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eep-fs01\E\DATA\OPERATIONS\Peel Electricity Networks Ltd\Use of System Charges\2026-27\2025-03 SEPD_SHEPD\"/>
    </mc:Choice>
  </mc:AlternateContent>
  <xr:revisionPtr revIDLastSave="0" documentId="13_ncr:1_{80118802-250E-43FA-8324-7369A7ACF493}" xr6:coauthVersionLast="47" xr6:coauthVersionMax="47" xr10:uidLastSave="{00000000-0000-0000-0000-000000000000}"/>
  <bookViews>
    <workbookView xWindow="-120" yWindow="-120" windowWidth="38640" windowHeight="21120" tabRatio="877" xr2:uid="{24F8ECCC-0B84-45FF-8D62-CF737133FBA0}"/>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35"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Annex 7 Pass-Through Costs_A" sheetId="66" r:id="rId47"/>
    <sheet name="Annex 7 Pass-Through Costs_B" sheetId="67" r:id="rId48"/>
    <sheet name="Annex 7 Pass-Through Costs_C" sheetId="68" r:id="rId49"/>
    <sheet name="Annex 7 Pass-Through Costs_D" sheetId="69" r:id="rId50"/>
    <sheet name="Annex 7 Pass-Through Costs_E" sheetId="70" r:id="rId51"/>
    <sheet name="Annex 7 Pass-Through Costs_F" sheetId="71" r:id="rId52"/>
    <sheet name="Annex 7 Pass-Through Costs_G" sheetId="72" r:id="rId53"/>
    <sheet name="Annex 7 Pass-Through Costs_H" sheetId="73" r:id="rId54"/>
    <sheet name="Annex 7 Pass-Through Costs_J" sheetId="74" r:id="rId55"/>
    <sheet name="Annex 7 Pass-Through Costs_K" sheetId="75" r:id="rId56"/>
    <sheet name="Annex 7 Pass-Through Costs_L" sheetId="76" r:id="rId57"/>
    <sheet name="Annex 7 Pass-Through Costs_M" sheetId="77" r:id="rId58"/>
    <sheet name="Annex 7 Pass-Through Costs_N" sheetId="78" r:id="rId59"/>
    <sheet name="Annex 7 Pass-Through Costs_P" sheetId="79" r:id="rId60"/>
    <sheet name="Nodal prices" sheetId="54" r:id="rId61"/>
    <sheet name="SSC TPR unit rate lookup" sheetId="16" r:id="rId62"/>
    <sheet name="Charge Calculator" sheetId="15" r:id="rId63"/>
  </sheets>
  <definedNames>
    <definedName name="_xlnm._FilterDatabase" localSheetId="1" hidden="1">'Annex 1 LV and HV charges_A'!$A$13:$S$32</definedName>
    <definedName name="_xlnm._FilterDatabase" localSheetId="3" hidden="1">'Annex 1 LV and HV charges_C'!$A$13:$K$32</definedName>
    <definedName name="_xlnm._FilterDatabase" localSheetId="4" hidden="1">'Annex 1 LV and HV charges_D'!$A$14:$O$32</definedName>
    <definedName name="_xlnm._FilterDatabase" localSheetId="9" hidden="1">'Annex 1 LV and HV charges_J'!$A$13:$K$32</definedName>
    <definedName name="_xlnm._FilterDatabase" localSheetId="15" hidden="1">'Annex 2 EHV charges'!$A$10:$M$10</definedName>
    <definedName name="_xlnm._FilterDatabase" localSheetId="17" hidden="1">'Annex 4 LDNO charges_A'!$A$13:$J$67</definedName>
    <definedName name="_xlnm._FilterDatabase" localSheetId="19" hidden="1">'Annex 4 LDNO charges_C'!$B$13:$J$140</definedName>
    <definedName name="_xlnm._FilterDatabase" localSheetId="20" hidden="1">'Annex 4 LDNO charges_D'!$A$13:$J$140</definedName>
    <definedName name="_xlnm._FilterDatabase" localSheetId="25" hidden="1">'Annex 4 LDNO charges_J'!$B$13:$J$140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61" hidden="1">'SSC TPR unit rate lookup'!$A$28:$D$1205</definedName>
    <definedName name="OLE_LINK1" localSheetId="16">'Annex 3 Preserved charges'!#REF!</definedName>
    <definedName name="_xlnm.Print_Area" localSheetId="1">'Annex 1 LV and HV charges_A'!$A$2:$K$32</definedName>
    <definedName name="_xlnm.Print_Area" localSheetId="2">'Annex 1 LV and HV charges_B'!$A$2:$K$32</definedName>
    <definedName name="_xlnm.Print_Area" localSheetId="3">'Annex 1 LV and HV charges_C'!$A$2:$K$32</definedName>
    <definedName name="_xlnm.Print_Area" localSheetId="4">'Annex 1 LV and HV charges_D'!$A$2:$K$32</definedName>
    <definedName name="_xlnm.Print_Area" localSheetId="5">'Annex 1 LV and HV charges_E'!$A$1:$L$32</definedName>
    <definedName name="_xlnm.Print_Area" localSheetId="6">'Annex 1 LV and HV charges_F'!$A$2:$K$32</definedName>
    <definedName name="_xlnm.Print_Area" localSheetId="7">'Annex 1 LV and HV charges_G'!$A$2:$K$33</definedName>
    <definedName name="_xlnm.Print_Area" localSheetId="8">'Annex 1 LV and HV charges_H'!$A$2:$K$32</definedName>
    <definedName name="_xlnm.Print_Area" localSheetId="9">'Annex 1 LV and HV charges_J'!$A$2:$K$32</definedName>
    <definedName name="_xlnm.Print_Area" localSheetId="10">'Annex 1 LV and HV charges_K'!$A$2:$K$32</definedName>
    <definedName name="_xlnm.Print_Area" localSheetId="11">'Annex 1 LV and HV charges_L'!$A$2:$K$32</definedName>
    <definedName name="_xlnm.Print_Area" localSheetId="12">'Annex 1 LV and HV charges_M'!$A$2:$K$32</definedName>
    <definedName name="_xlnm.Print_Area" localSheetId="13">'Annex 1 LV and HV charges_N'!$A$2:$K$32</definedName>
    <definedName name="_xlnm.Print_Area" localSheetId="14">'Annex 1 LV and HV charges_P'!$A$2:$K$32</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charges_B'!$A$1:$AT$149</definedName>
    <definedName name="_xlnm.Print_Area" localSheetId="19">'Annex 4 LDNO charges_C'!$A$2:$J$140</definedName>
    <definedName name="_xlnm.Print_Area" localSheetId="20">'Annex 4 LDNO charges_D'!$A$2:$J$140</definedName>
    <definedName name="_xlnm.Print_Area" localSheetId="21">'Annex 4 LDNO charges_E'!$A$1:$AM$158</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charges_L'!$A$2:$J$140</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LLFs_B'!$A$3:$F$32</definedName>
    <definedName name="_xlnm.Print_Area" localSheetId="33">'Annex 5 LLFs_C'!$A$3:$G$31</definedName>
    <definedName name="_xlnm.Print_Area" localSheetId="34">'Annex 5 LLFs_D'!$A$3:$F$32</definedName>
    <definedName name="_xlnm.Print_Area" localSheetId="35">'Annex 5 LLFs_E'!$A$3:$F$32</definedName>
    <definedName name="_xlnm.Print_Area" localSheetId="36">'Annex 5 LLFs_F'!$A$3:$F$32</definedName>
    <definedName name="_xlnm.Print_Area" localSheetId="37">'Annex 5 LLFs_G'!$A$3:$F$31</definedName>
    <definedName name="_xlnm.Print_Area" localSheetId="38">'Annex 5 LLFs_H'!$A$3:$F$30</definedName>
    <definedName name="_xlnm.Print_Area" localSheetId="39">'Annex 5 LLFs_J'!$A$3:$G$31</definedName>
    <definedName name="_xlnm.Print_Area" localSheetId="40">'Annex 5 LLFs_K'!$A$3:$F$32</definedName>
    <definedName name="_xlnm.Print_Area" localSheetId="41">'Annex 5 LLFs_L'!$A$3:$F$32</definedName>
    <definedName name="_xlnm.Print_Area" localSheetId="42">'Annex 5 LLFs_M'!$A$3:$F$31</definedName>
    <definedName name="_xlnm.Print_Area" localSheetId="43">'Annex 5 LLFs_N'!$A$3:$F$32</definedName>
    <definedName name="_xlnm.Print_Area" localSheetId="44">'Annex 5 LLFs_P'!$A$3:$F$29</definedName>
    <definedName name="_xlnm.Print_Area" localSheetId="45">'Annex 6 New or Amended EHV'!$A$4:$O$109</definedName>
    <definedName name="_xlnm.Print_Area" localSheetId="60">'Nodal prices'!$A$2:$D$3</definedName>
    <definedName name="_xlnm.Print_Titles" localSheetId="1">'Annex 1 LV and HV charges_A'!$2:$13</definedName>
    <definedName name="_xlnm.Print_Titles" localSheetId="2">'Annex 1 LV and HV charges_B'!$2:$13</definedName>
    <definedName name="_xlnm.Print_Titles" localSheetId="3">'Annex 1 LV and HV charges_C'!$2:$12</definedName>
    <definedName name="_xlnm.Print_Titles" localSheetId="4">'Annex 1 LV and HV charges_D'!$2:$14</definedName>
    <definedName name="_xlnm.Print_Titles" localSheetId="5">'Annex 1 LV and HV charges_E'!$2:$13</definedName>
    <definedName name="_xlnm.Print_Titles" localSheetId="6">'Annex 1 LV and HV charges_F'!$2:$13</definedName>
    <definedName name="_xlnm.Print_Titles" localSheetId="7">'Annex 1 LV and HV charges_G'!$2:$13</definedName>
    <definedName name="_xlnm.Print_Titles" localSheetId="8">'Annex 1 LV and HV charges_H'!$2:$13</definedName>
    <definedName name="_xlnm.Print_Titles" localSheetId="9">'Annex 1 LV and HV charges_J'!$2:$13</definedName>
    <definedName name="_xlnm.Print_Titles" localSheetId="10">'Annex 1 LV and HV charges_K'!$2:$13</definedName>
    <definedName name="_xlnm.Print_Titles" localSheetId="11">'Annex 1 LV and HV charges_L'!$2:$13</definedName>
    <definedName name="_xlnm.Print_Titles" localSheetId="12">'Annex 1 LV and HV charges_M'!$2:$13</definedName>
    <definedName name="_xlnm.Print_Titles" localSheetId="13">'Annex 1 LV and HV charges_N'!$2:$13</definedName>
    <definedName name="_xlnm.Print_Titles" localSheetId="14">'Annex 1 LV and HV charges_P'!$2:$13</definedName>
    <definedName name="_xlnm.Print_Titles" localSheetId="17">'Annex 4 LDNO charges_A'!$13:$13</definedName>
    <definedName name="_xlnm.Print_Titles" localSheetId="18">'Annex 4 LDNO charges_B'!$13:$13</definedName>
    <definedName name="_xlnm.Print_Titles" localSheetId="19">'Annex 4 LDNO charges_C'!$13:$13</definedName>
    <definedName name="_xlnm.Print_Titles" localSheetId="20">'Annex 4 LDNO charges_D'!$13:$13</definedName>
    <definedName name="_xlnm.Print_Titles" localSheetId="21">'Annex 4 LDNO charges_E'!$13:$13</definedName>
    <definedName name="_xlnm.Print_Titles" localSheetId="22">'Annex 4 LDNO charges_F'!$13:$13</definedName>
    <definedName name="_xlnm.Print_Titles" localSheetId="23">'Annex 4 LDNO charges_G'!$13:$13</definedName>
    <definedName name="_xlnm.Print_Titles" localSheetId="24">'Annex 4 LDNO charges_H'!$13:$13</definedName>
    <definedName name="_xlnm.Print_Titles" localSheetId="25">'Annex 4 LDNO charges_J'!$13:$13</definedName>
    <definedName name="_xlnm.Print_Titles" localSheetId="26">'Annex 4 LDNO charges_K'!$13:$13</definedName>
    <definedName name="_xlnm.Print_Titles" localSheetId="27">'Annex 4 LDNO charges_L'!$13:$13</definedName>
    <definedName name="_xlnm.Print_Titles" localSheetId="28">'Annex 4 LDNO charges_M'!$13:$13</definedName>
    <definedName name="_xlnm.Print_Titles" localSheetId="29">'Annex 4 LDNO charges_N'!$13:$13</definedName>
    <definedName name="_xlnm.Print_Titles" localSheetId="30">'Annex 4 LDNO charges_P'!$13:$13</definedName>
    <definedName name="_xlnm.Print_Titles" localSheetId="35">'Annex 5 LLFs_E'!$26:$26</definedName>
    <definedName name="_xlnm.Print_Titles" localSheetId="36">'Annex 5 LLFs_F'!$26:$26</definedName>
    <definedName name="_xlnm.Print_Titles" localSheetId="38">'Annex 5 LLFs_H'!$24:$24</definedName>
    <definedName name="_xlnm.Print_Titles" localSheetId="39">'Annex 5 LLFs_J'!$25:$25</definedName>
    <definedName name="_xlnm.Print_Titles" localSheetId="40">'Annex 5 LLFs_K'!$26:$26</definedName>
    <definedName name="_xlnm.Print_Titles" localSheetId="41">'Annex 5 LLFs_L'!$26:$26</definedName>
    <definedName name="_xlnm.Print_Titles" localSheetId="42">'Annex 5 LLFs_M'!$25:$25</definedName>
    <definedName name="_xlnm.Print_Titles" localSheetId="43">'Annex 5 LLFs_N'!$26:$26</definedName>
    <definedName name="_xlnm.Print_Titles" localSheetId="44">'Annex 5 LLFs_P'!$23:$23</definedName>
    <definedName name="_xlnm.Print_Titles" localSheetId="45">'Annex 6 New or Amended EHV'!$4:$5</definedName>
    <definedName name="_xlnm.Print_Titles" localSheetId="60">'Nodal prices'!$2:$3</definedName>
    <definedName name="_xlnm.Print_Titles" localSheetId="61">'SSC TPR unit rate lookup'!$28:$28</definedName>
    <definedName name="Z_5032A364_B81A_48DA_88DA_AB3B86B47EE9_.wvu.PrintArea" localSheetId="1" hidden="1">'Annex 1 LV and HV charges_A'!$A$2:$K$32</definedName>
    <definedName name="Z_5032A364_B81A_48DA_88DA_AB3B86B47EE9_.wvu.PrintArea" localSheetId="2" hidden="1">'Annex 1 LV and HV charges_B'!$A$2:$K$32</definedName>
    <definedName name="Z_5032A364_B81A_48DA_88DA_AB3B86B47EE9_.wvu.PrintArea" localSheetId="3" hidden="1">'Annex 1 LV and HV charges_C'!$A$2:$K$32</definedName>
    <definedName name="Z_5032A364_B81A_48DA_88DA_AB3B86B47EE9_.wvu.PrintArea" localSheetId="4" hidden="1">'Annex 1 LV and HV charges_D'!$A$2:$K$32</definedName>
    <definedName name="Z_5032A364_B81A_48DA_88DA_AB3B86B47EE9_.wvu.PrintArea" localSheetId="5" hidden="1">'Annex 1 LV and HV charges_E'!$A$2:$K$32</definedName>
    <definedName name="Z_5032A364_B81A_48DA_88DA_AB3B86B47EE9_.wvu.PrintArea" localSheetId="6" hidden="1">'Annex 1 LV and HV charges_F'!$A$2:$K$32</definedName>
    <definedName name="Z_5032A364_B81A_48DA_88DA_AB3B86B47EE9_.wvu.PrintArea" localSheetId="7" hidden="1">'Annex 1 LV and HV charges_G'!$A$2:$K$33</definedName>
    <definedName name="Z_5032A364_B81A_48DA_88DA_AB3B86B47EE9_.wvu.PrintArea" localSheetId="8" hidden="1">'Annex 1 LV and HV charges_H'!$A$2:$K$32</definedName>
    <definedName name="Z_5032A364_B81A_48DA_88DA_AB3B86B47EE9_.wvu.PrintArea" localSheetId="9" hidden="1">'Annex 1 LV and HV charges_J'!$A$2:$K$32</definedName>
    <definedName name="Z_5032A364_B81A_48DA_88DA_AB3B86B47EE9_.wvu.PrintArea" localSheetId="10" hidden="1">'Annex 1 LV and HV charges_K'!$A$2:$K$32</definedName>
    <definedName name="Z_5032A364_B81A_48DA_88DA_AB3B86B47EE9_.wvu.PrintArea" localSheetId="11" hidden="1">'Annex 1 LV and HV charges_L'!$A$2:$K$32</definedName>
    <definedName name="Z_5032A364_B81A_48DA_88DA_AB3B86B47EE9_.wvu.PrintArea" localSheetId="12" hidden="1">'Annex 1 LV and HV charges_M'!$A$2:$K$32</definedName>
    <definedName name="Z_5032A364_B81A_48DA_88DA_AB3B86B47EE9_.wvu.PrintArea" localSheetId="13" hidden="1">'Annex 1 LV and HV charges_N'!$A$2:$K$32</definedName>
    <definedName name="Z_5032A364_B81A_48DA_88DA_AB3B86B47EE9_.wvu.PrintArea" localSheetId="14" hidden="1">'Annex 1 LV and HV charges_P'!$A$2:$K$32</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charges_L'!$A$2:$I$140</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LLFs_B'!$A$3:$F$32</definedName>
    <definedName name="Z_5032A364_B81A_48DA_88DA_AB3B86B47EE9_.wvu.PrintArea" localSheetId="33" hidden="1">'Annex 5 LLFs_C'!$A$3:$E$31</definedName>
    <definedName name="Z_5032A364_B81A_48DA_88DA_AB3B86B47EE9_.wvu.PrintArea" localSheetId="34" hidden="1">'Annex 5 LLFs_D'!$A$3:$F$32</definedName>
    <definedName name="Z_5032A364_B81A_48DA_88DA_AB3B86B47EE9_.wvu.PrintArea" localSheetId="35" hidden="1">'Annex 5 LLFs_E'!$A$3:$F$32</definedName>
    <definedName name="Z_5032A364_B81A_48DA_88DA_AB3B86B47EE9_.wvu.PrintArea" localSheetId="36" hidden="1">'Annex 5 LLFs_F'!$A$3:$F$32</definedName>
    <definedName name="Z_5032A364_B81A_48DA_88DA_AB3B86B47EE9_.wvu.PrintArea" localSheetId="37" hidden="1">'Annex 5 LLFs_G'!$A$3:$F$31</definedName>
    <definedName name="Z_5032A364_B81A_48DA_88DA_AB3B86B47EE9_.wvu.PrintArea" localSheetId="38" hidden="1">'Annex 5 LLFs_H'!$A$3:$F$30</definedName>
    <definedName name="Z_5032A364_B81A_48DA_88DA_AB3B86B47EE9_.wvu.PrintArea" localSheetId="39" hidden="1">'Annex 5 LLFs_J'!$A$3:$E$31</definedName>
    <definedName name="Z_5032A364_B81A_48DA_88DA_AB3B86B47EE9_.wvu.PrintArea" localSheetId="40" hidden="1">'Annex 5 LLFs_K'!$A$3:$F$32</definedName>
    <definedName name="Z_5032A364_B81A_48DA_88DA_AB3B86B47EE9_.wvu.PrintArea" localSheetId="41" hidden="1">'Annex 5 LLFs_L'!$A$3:$F$32</definedName>
    <definedName name="Z_5032A364_B81A_48DA_88DA_AB3B86B47EE9_.wvu.PrintArea" localSheetId="42" hidden="1">'Annex 5 LLFs_M'!$A$3:$F$31</definedName>
    <definedName name="Z_5032A364_B81A_48DA_88DA_AB3B86B47EE9_.wvu.PrintArea" localSheetId="43" hidden="1">'Annex 5 LLFs_N'!$A$3:$F$32</definedName>
    <definedName name="Z_5032A364_B81A_48DA_88DA_AB3B86B47EE9_.wvu.PrintArea" localSheetId="44" hidden="1">'Annex 5 LLFs_P'!$A$3:$F$29</definedName>
    <definedName name="Z_5032A364_B81A_48DA_88DA_AB3B86B47EE9_.wvu.PrintArea" localSheetId="45" hidden="1">'Annex 6 New or Amended EHV'!$A$1:$M$28</definedName>
    <definedName name="Z_5032A364_B81A_48DA_88DA_AB3B86B47EE9_.wvu.PrintArea" localSheetId="60" hidden="1">'Nodal prices'!$A$2:$D$3</definedName>
    <definedName name="Z_5032A364_B81A_48DA_88DA_AB3B86B47EE9_.wvu.PrintTitles" localSheetId="1" hidden="1">'Annex 1 LV and HV charges_A'!$2:$13</definedName>
    <definedName name="Z_5032A364_B81A_48DA_88DA_AB3B86B47EE9_.wvu.PrintTitles" localSheetId="2" hidden="1">'Annex 1 LV and HV charges_B'!$2:$13</definedName>
    <definedName name="Z_5032A364_B81A_48DA_88DA_AB3B86B47EE9_.wvu.PrintTitles" localSheetId="3" hidden="1">'Annex 1 LV and HV charges_C'!$2:$12</definedName>
    <definedName name="Z_5032A364_B81A_48DA_88DA_AB3B86B47EE9_.wvu.PrintTitles" localSheetId="4" hidden="1">'Annex 1 LV and HV charges_D'!$2:$14</definedName>
    <definedName name="Z_5032A364_B81A_48DA_88DA_AB3B86B47EE9_.wvu.PrintTitles" localSheetId="5" hidden="1">'Annex 1 LV and HV charges_E'!$2:$13</definedName>
    <definedName name="Z_5032A364_B81A_48DA_88DA_AB3B86B47EE9_.wvu.PrintTitles" localSheetId="6" hidden="1">'Annex 1 LV and HV charges_F'!$2:$13</definedName>
    <definedName name="Z_5032A364_B81A_48DA_88DA_AB3B86B47EE9_.wvu.PrintTitles" localSheetId="7" hidden="1">'Annex 1 LV and HV charges_G'!$2:$13</definedName>
    <definedName name="Z_5032A364_B81A_48DA_88DA_AB3B86B47EE9_.wvu.PrintTitles" localSheetId="8" hidden="1">'Annex 1 LV and HV charges_H'!$2:$13</definedName>
    <definedName name="Z_5032A364_B81A_48DA_88DA_AB3B86B47EE9_.wvu.PrintTitles" localSheetId="9" hidden="1">'Annex 1 LV and HV charges_J'!$2:$13</definedName>
    <definedName name="Z_5032A364_B81A_48DA_88DA_AB3B86B47EE9_.wvu.PrintTitles" localSheetId="10" hidden="1">'Annex 1 LV and HV charges_K'!$2:$13</definedName>
    <definedName name="Z_5032A364_B81A_48DA_88DA_AB3B86B47EE9_.wvu.PrintTitles" localSheetId="11" hidden="1">'Annex 1 LV and HV charges_L'!$2:$13</definedName>
    <definedName name="Z_5032A364_B81A_48DA_88DA_AB3B86B47EE9_.wvu.PrintTitles" localSheetId="12" hidden="1">'Annex 1 LV and HV charges_M'!$2:$13</definedName>
    <definedName name="Z_5032A364_B81A_48DA_88DA_AB3B86B47EE9_.wvu.PrintTitles" localSheetId="13" hidden="1">'Annex 1 LV and HV charges_N'!$2:$13</definedName>
    <definedName name="Z_5032A364_B81A_48DA_88DA_AB3B86B47EE9_.wvu.PrintTitles" localSheetId="14" hidden="1">'Annex 1 LV and HV charges_P'!$2:$13</definedName>
    <definedName name="Z_5032A364_B81A_48DA_88DA_AB3B86B47EE9_.wvu.PrintTitles" localSheetId="15" hidden="1">'Annex 2 EHV charges'!$2:$10</definedName>
    <definedName name="Z_5032A364_B81A_48DA_88DA_AB3B86B47EE9_.wvu.PrintTitles" localSheetId="17" hidden="1">'Annex 4 LDNO charges_A'!$2:$13</definedName>
    <definedName name="Z_5032A364_B81A_48DA_88DA_AB3B86B47EE9_.wvu.PrintTitles" localSheetId="18" hidden="1">'Annex 4 LDNO charges_B'!$2:$13</definedName>
    <definedName name="Z_5032A364_B81A_48DA_88DA_AB3B86B47EE9_.wvu.PrintTitles" localSheetId="19" hidden="1">'Annex 4 LDNO charges_C'!$2:$13</definedName>
    <definedName name="Z_5032A364_B81A_48DA_88DA_AB3B86B47EE9_.wvu.PrintTitles" localSheetId="20" hidden="1">'Annex 4 LDNO charges_D'!$2:$13</definedName>
    <definedName name="Z_5032A364_B81A_48DA_88DA_AB3B86B47EE9_.wvu.PrintTitles" localSheetId="21" hidden="1">'Annex 4 LDNO charges_E'!$2:$13</definedName>
    <definedName name="Z_5032A364_B81A_48DA_88DA_AB3B86B47EE9_.wvu.PrintTitles" localSheetId="22" hidden="1">'Annex 4 LDNO charges_F'!$2:$13</definedName>
    <definedName name="Z_5032A364_B81A_48DA_88DA_AB3B86B47EE9_.wvu.PrintTitles" localSheetId="23" hidden="1">'Annex 4 LDNO charges_G'!$2:$13</definedName>
    <definedName name="Z_5032A364_B81A_48DA_88DA_AB3B86B47EE9_.wvu.PrintTitles" localSheetId="24" hidden="1">'Annex 4 LDNO charges_H'!$2:$13</definedName>
    <definedName name="Z_5032A364_B81A_48DA_88DA_AB3B86B47EE9_.wvu.PrintTitles" localSheetId="25" hidden="1">'Annex 4 LDNO charges_J'!$2:$13</definedName>
    <definedName name="Z_5032A364_B81A_48DA_88DA_AB3B86B47EE9_.wvu.PrintTitles" localSheetId="26" hidden="1">'Annex 4 LDNO charges_K'!$2:$13</definedName>
    <definedName name="Z_5032A364_B81A_48DA_88DA_AB3B86B47EE9_.wvu.PrintTitles" localSheetId="27" hidden="1">'Annex 4 LDNO charges_L'!$2:$13</definedName>
    <definedName name="Z_5032A364_B81A_48DA_88DA_AB3B86B47EE9_.wvu.PrintTitles" localSheetId="28" hidden="1">'Annex 4 LDNO charges_M'!$2:$13</definedName>
    <definedName name="Z_5032A364_B81A_48DA_88DA_AB3B86B47EE9_.wvu.PrintTitles" localSheetId="29" hidden="1">'Annex 4 LDNO charges_N'!$2:$13</definedName>
    <definedName name="Z_5032A364_B81A_48DA_88DA_AB3B86B47EE9_.wvu.PrintTitles" localSheetId="30" hidden="1">'Annex 4 LDNO charges_P'!$2:$13</definedName>
    <definedName name="Z_5032A364_B81A_48DA_88DA_AB3B86B47EE9_.wvu.PrintTitles" localSheetId="45" hidden="1">'Annex 6 New or Amended EHV'!$4:$5</definedName>
    <definedName name="Z_5032A364_B81A_48DA_88DA_AB3B86B47EE9_.wvu.PrintTitles" localSheetId="6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F79" i="69" l="1"/>
  <c r="F58" i="69"/>
  <c r="F37" i="69"/>
  <c r="F26" i="69"/>
  <c r="F79" i="72"/>
  <c r="F58" i="72"/>
  <c r="F37" i="72"/>
  <c r="F26" i="72"/>
  <c r="F79" i="73"/>
  <c r="F58" i="73"/>
  <c r="F37" i="73"/>
  <c r="F26" i="73"/>
  <c r="F79" i="79"/>
  <c r="F58" i="79"/>
  <c r="F37" i="79"/>
  <c r="F26" i="79"/>
  <c r="F79" i="78"/>
  <c r="F58" i="78"/>
  <c r="F37" i="78"/>
  <c r="F26" i="78"/>
  <c r="F9" i="63" l="1"/>
  <c r="D9" i="63"/>
  <c r="D7" i="63"/>
  <c r="J6" i="63"/>
  <c r="F9" i="62"/>
  <c r="I8" i="62"/>
  <c r="B8" i="62"/>
  <c r="H7" i="62"/>
  <c r="C7" i="62"/>
  <c r="I6" i="62"/>
  <c r="D6" i="62"/>
  <c r="H9" i="37"/>
  <c r="H10" i="58"/>
  <c r="D9" i="58"/>
  <c r="J8" i="58"/>
  <c r="H8" i="58"/>
  <c r="A8" i="58"/>
  <c r="F7" i="58"/>
  <c r="D7" i="58"/>
  <c r="H6" i="58"/>
  <c r="C6" i="58"/>
  <c r="H9" i="34"/>
  <c r="J8" i="34"/>
  <c r="I7" i="34"/>
  <c r="D7" i="34"/>
  <c r="J6" i="34"/>
  <c r="A6" i="34"/>
  <c r="F10" i="33"/>
  <c r="J9" i="33"/>
  <c r="F8" i="33"/>
  <c r="J7" i="33"/>
  <c r="F6" i="33"/>
  <c r="B6" i="33"/>
  <c r="H10" i="32"/>
  <c r="F10" i="32"/>
  <c r="J9" i="32"/>
  <c r="I9" i="32"/>
  <c r="H8" i="32"/>
  <c r="F8" i="32"/>
  <c r="J7" i="32"/>
  <c r="A7" i="32"/>
  <c r="H6" i="32"/>
  <c r="B6" i="32"/>
  <c r="I8" i="31"/>
  <c r="H8" i="31"/>
  <c r="F8" i="31"/>
  <c r="I7" i="31"/>
  <c r="F7" i="31"/>
  <c r="D7" i="31"/>
  <c r="A7" i="31"/>
  <c r="I6" i="31"/>
  <c r="F6" i="31"/>
  <c r="D6" i="31"/>
  <c r="B6" i="31"/>
  <c r="H9" i="30"/>
  <c r="F9" i="30"/>
  <c r="J8" i="30"/>
  <c r="I8" i="30"/>
  <c r="H8" i="30"/>
  <c r="F8" i="30"/>
  <c r="B8" i="30"/>
  <c r="A8" i="30"/>
  <c r="J7" i="30"/>
  <c r="I7" i="30"/>
  <c r="H7" i="30"/>
  <c r="F7" i="30"/>
  <c r="D7" i="30"/>
  <c r="C7" i="30"/>
  <c r="B7" i="30"/>
  <c r="A7" i="30"/>
  <c r="J6" i="30"/>
  <c r="I6" i="30"/>
  <c r="H6" i="30"/>
  <c r="F6" i="30"/>
  <c r="D6" i="30"/>
  <c r="C6" i="30"/>
  <c r="B6" i="30"/>
  <c r="A6" i="30"/>
  <c r="A2" i="60"/>
  <c r="A2" i="61"/>
  <c r="A2" i="27"/>
  <c r="A2" i="26"/>
  <c r="A2" i="25"/>
  <c r="A2" i="24"/>
  <c r="A2" i="57"/>
  <c r="A2" i="23"/>
  <c r="A2" i="22"/>
  <c r="A46" i="22" s="1"/>
  <c r="A2" i="21"/>
  <c r="A2" i="20"/>
  <c r="A2" i="19"/>
  <c r="A2" i="18"/>
  <c r="A2" i="17"/>
  <c r="A47" i="60"/>
  <c r="A46" i="27"/>
  <c r="A47" i="20"/>
  <c r="A46" i="57"/>
  <c r="A46" i="25"/>
  <c r="A2" i="79"/>
  <c r="A2" i="78"/>
  <c r="A2" i="77"/>
  <c r="A2" i="76"/>
  <c r="A2" i="75"/>
  <c r="A2" i="74"/>
  <c r="A2" i="73"/>
  <c r="A2" i="72"/>
  <c r="A2" i="71"/>
  <c r="A2" i="70"/>
  <c r="A2" i="69"/>
  <c r="B60" i="1" s="1"/>
  <c r="A2" i="68"/>
  <c r="A2" i="67"/>
  <c r="A2" i="66"/>
  <c r="B57" i="1" s="1"/>
  <c r="A2" i="30"/>
  <c r="A3" i="65"/>
  <c r="A3" i="64"/>
  <c r="B53" i="1" s="1"/>
  <c r="A3" i="52"/>
  <c r="B52" i="1" s="1"/>
  <c r="A3" i="51"/>
  <c r="A3" i="50"/>
  <c r="A3" i="49"/>
  <c r="A3" i="59"/>
  <c r="B48" i="1" s="1"/>
  <c r="A3" i="48"/>
  <c r="A3" i="46"/>
  <c r="A3" i="45"/>
  <c r="A3" i="44"/>
  <c r="B44" i="1" s="1"/>
  <c r="A3" i="43"/>
  <c r="A3" i="42"/>
  <c r="A3" i="41"/>
  <c r="A2" i="63"/>
  <c r="B39" i="1" s="1"/>
  <c r="Q203" i="63"/>
  <c r="P203" i="63"/>
  <c r="O203" i="63"/>
  <c r="N203" i="63"/>
  <c r="M203" i="63"/>
  <c r="L203" i="63"/>
  <c r="K203" i="63"/>
  <c r="Q202" i="63"/>
  <c r="P202" i="63"/>
  <c r="O202" i="63"/>
  <c r="N202" i="63"/>
  <c r="M202" i="63"/>
  <c r="L202" i="63"/>
  <c r="K202" i="63"/>
  <c r="Q201" i="63"/>
  <c r="P201" i="63"/>
  <c r="O201" i="63"/>
  <c r="N201" i="63"/>
  <c r="M201" i="63"/>
  <c r="L201" i="63"/>
  <c r="K201" i="63"/>
  <c r="Q200" i="63"/>
  <c r="P200" i="63"/>
  <c r="O200" i="63"/>
  <c r="N200" i="63"/>
  <c r="M200" i="63"/>
  <c r="L200" i="63"/>
  <c r="K200" i="63"/>
  <c r="Q199" i="63"/>
  <c r="P199" i="63"/>
  <c r="O199" i="63"/>
  <c r="N199" i="63"/>
  <c r="M199" i="63"/>
  <c r="L199" i="63"/>
  <c r="K199" i="63"/>
  <c r="Q198" i="63"/>
  <c r="P198" i="63"/>
  <c r="O198" i="63"/>
  <c r="N198" i="63"/>
  <c r="M198" i="63"/>
  <c r="L198" i="63"/>
  <c r="K198" i="63"/>
  <c r="Q197" i="63"/>
  <c r="P197" i="63"/>
  <c r="O197" i="63"/>
  <c r="N197" i="63"/>
  <c r="M197" i="63"/>
  <c r="L197" i="63"/>
  <c r="K197" i="63"/>
  <c r="Q196" i="63"/>
  <c r="P196" i="63"/>
  <c r="O196" i="63"/>
  <c r="N196" i="63"/>
  <c r="M196" i="63"/>
  <c r="L196" i="63"/>
  <c r="K196" i="63"/>
  <c r="Q195" i="63"/>
  <c r="P195" i="63"/>
  <c r="O195" i="63"/>
  <c r="N195" i="63"/>
  <c r="M195" i="63"/>
  <c r="L195" i="63"/>
  <c r="K195" i="63"/>
  <c r="Q194" i="63"/>
  <c r="P194" i="63"/>
  <c r="O194" i="63"/>
  <c r="N194" i="63"/>
  <c r="M194" i="63"/>
  <c r="L194" i="63"/>
  <c r="K194" i="63"/>
  <c r="Q193" i="63"/>
  <c r="P193" i="63"/>
  <c r="O193" i="63"/>
  <c r="N193" i="63"/>
  <c r="M193" i="63"/>
  <c r="L193" i="63"/>
  <c r="K193" i="63"/>
  <c r="Q192" i="63"/>
  <c r="P192" i="63"/>
  <c r="O192" i="63"/>
  <c r="N192" i="63"/>
  <c r="M192" i="63"/>
  <c r="L192" i="63"/>
  <c r="K192" i="63"/>
  <c r="Q191" i="63"/>
  <c r="P191" i="63"/>
  <c r="O191" i="63"/>
  <c r="N191" i="63"/>
  <c r="M191" i="63"/>
  <c r="L191" i="63"/>
  <c r="K191" i="63"/>
  <c r="Q190" i="63"/>
  <c r="P190" i="63"/>
  <c r="O190" i="63"/>
  <c r="N190" i="63"/>
  <c r="M190" i="63"/>
  <c r="L190" i="63"/>
  <c r="K190" i="63"/>
  <c r="Q189" i="63"/>
  <c r="P189" i="63"/>
  <c r="O189" i="63"/>
  <c r="N189" i="63"/>
  <c r="M189" i="63"/>
  <c r="L189" i="63"/>
  <c r="K189" i="63"/>
  <c r="Q188" i="63"/>
  <c r="P188" i="63"/>
  <c r="O188" i="63"/>
  <c r="N188" i="63"/>
  <c r="M188" i="63"/>
  <c r="L188" i="63"/>
  <c r="K188" i="63"/>
  <c r="Q187" i="63"/>
  <c r="P187" i="63"/>
  <c r="O187" i="63"/>
  <c r="N187" i="63"/>
  <c r="M187" i="63"/>
  <c r="L187" i="63"/>
  <c r="K187" i="63"/>
  <c r="Q186" i="63"/>
  <c r="P186" i="63"/>
  <c r="O186" i="63"/>
  <c r="N186" i="63"/>
  <c r="M186" i="63"/>
  <c r="L186" i="63"/>
  <c r="K186" i="63"/>
  <c r="Q185" i="63"/>
  <c r="P185" i="63"/>
  <c r="O185" i="63"/>
  <c r="N185" i="63"/>
  <c r="M185" i="63"/>
  <c r="L185" i="63"/>
  <c r="K185" i="63"/>
  <c r="Q184" i="63"/>
  <c r="P184" i="63"/>
  <c r="O184" i="63"/>
  <c r="N184" i="63"/>
  <c r="M184" i="63"/>
  <c r="L184" i="63"/>
  <c r="K184" i="63"/>
  <c r="Q183" i="63"/>
  <c r="P183" i="63"/>
  <c r="O183" i="63"/>
  <c r="N183" i="63"/>
  <c r="M183" i="63"/>
  <c r="L183" i="63"/>
  <c r="K183" i="63"/>
  <c r="Q182" i="63"/>
  <c r="P182" i="63"/>
  <c r="O182" i="63"/>
  <c r="N182" i="63"/>
  <c r="M182" i="63"/>
  <c r="L182" i="63"/>
  <c r="K182" i="63"/>
  <c r="Q181" i="63"/>
  <c r="P181" i="63"/>
  <c r="O181" i="63"/>
  <c r="N181" i="63"/>
  <c r="M181" i="63"/>
  <c r="L181" i="63"/>
  <c r="K181" i="63"/>
  <c r="Q180" i="63"/>
  <c r="P180" i="63"/>
  <c r="O180" i="63"/>
  <c r="N180" i="63"/>
  <c r="M180" i="63"/>
  <c r="L180" i="63"/>
  <c r="K180" i="63"/>
  <c r="Q179" i="63"/>
  <c r="P179" i="63"/>
  <c r="O179" i="63"/>
  <c r="N179" i="63"/>
  <c r="M179" i="63"/>
  <c r="L179" i="63"/>
  <c r="K179" i="63"/>
  <c r="Q178" i="63"/>
  <c r="P178" i="63"/>
  <c r="O178" i="63"/>
  <c r="N178" i="63"/>
  <c r="M178" i="63"/>
  <c r="L178" i="63"/>
  <c r="K178" i="63"/>
  <c r="Q177" i="63"/>
  <c r="P177" i="63"/>
  <c r="O177" i="63"/>
  <c r="N177" i="63"/>
  <c r="M177" i="63"/>
  <c r="L177" i="63"/>
  <c r="K177" i="63"/>
  <c r="Q176" i="63"/>
  <c r="P176" i="63"/>
  <c r="O176" i="63"/>
  <c r="N176" i="63"/>
  <c r="M176" i="63"/>
  <c r="L176" i="63"/>
  <c r="K176" i="63"/>
  <c r="Q175" i="63"/>
  <c r="P175" i="63"/>
  <c r="O175" i="63"/>
  <c r="N175" i="63"/>
  <c r="M175" i="63"/>
  <c r="L175" i="63"/>
  <c r="K175" i="63"/>
  <c r="Q174" i="63"/>
  <c r="P174" i="63"/>
  <c r="O174" i="63"/>
  <c r="N174" i="63"/>
  <c r="M174" i="63"/>
  <c r="L174" i="63"/>
  <c r="K174" i="63"/>
  <c r="Q173" i="63"/>
  <c r="P173" i="63"/>
  <c r="O173" i="63"/>
  <c r="N173" i="63"/>
  <c r="M173" i="63"/>
  <c r="L173" i="63"/>
  <c r="K173" i="63"/>
  <c r="Q172" i="63"/>
  <c r="P172" i="63"/>
  <c r="O172" i="63"/>
  <c r="N172" i="63"/>
  <c r="M172" i="63"/>
  <c r="L172" i="63"/>
  <c r="K172" i="63"/>
  <c r="Q171" i="63"/>
  <c r="P171" i="63"/>
  <c r="O171" i="63"/>
  <c r="N171" i="63"/>
  <c r="M171" i="63"/>
  <c r="L171" i="63"/>
  <c r="K171" i="63"/>
  <c r="Q170" i="63"/>
  <c r="P170" i="63"/>
  <c r="O170" i="63"/>
  <c r="N170" i="63"/>
  <c r="M170" i="63"/>
  <c r="L170" i="63"/>
  <c r="K170" i="63"/>
  <c r="Q169" i="63"/>
  <c r="P169" i="63"/>
  <c r="O169" i="63"/>
  <c r="N169" i="63"/>
  <c r="M169" i="63"/>
  <c r="L169" i="63"/>
  <c r="K169" i="63"/>
  <c r="Q168" i="63"/>
  <c r="P168" i="63"/>
  <c r="O168" i="63"/>
  <c r="N168" i="63"/>
  <c r="M168" i="63"/>
  <c r="L168" i="63"/>
  <c r="K168" i="63"/>
  <c r="Q167" i="63"/>
  <c r="P167" i="63"/>
  <c r="O167" i="63"/>
  <c r="N167" i="63"/>
  <c r="M167" i="63"/>
  <c r="L167" i="63"/>
  <c r="K167" i="63"/>
  <c r="Q166" i="63"/>
  <c r="P166" i="63"/>
  <c r="O166" i="63"/>
  <c r="N166" i="63"/>
  <c r="M166" i="63"/>
  <c r="L166" i="63"/>
  <c r="K166" i="63"/>
  <c r="Q165" i="63"/>
  <c r="P165" i="63"/>
  <c r="O165" i="63"/>
  <c r="N165" i="63"/>
  <c r="M165" i="63"/>
  <c r="L165" i="63"/>
  <c r="K165" i="63"/>
  <c r="Q164" i="63"/>
  <c r="P164" i="63"/>
  <c r="O164" i="63"/>
  <c r="N164" i="63"/>
  <c r="M164" i="63"/>
  <c r="L164" i="63"/>
  <c r="K164" i="63"/>
  <c r="Q163" i="63"/>
  <c r="P163" i="63"/>
  <c r="O163" i="63"/>
  <c r="N163" i="63"/>
  <c r="M163" i="63"/>
  <c r="L163" i="63"/>
  <c r="K163" i="63"/>
  <c r="Q162" i="63"/>
  <c r="P162" i="63"/>
  <c r="O162" i="63"/>
  <c r="N162" i="63"/>
  <c r="M162" i="63"/>
  <c r="L162" i="63"/>
  <c r="K162" i="63"/>
  <c r="Q161" i="63"/>
  <c r="P161" i="63"/>
  <c r="O161" i="63"/>
  <c r="N161" i="63"/>
  <c r="M161" i="63"/>
  <c r="L161" i="63"/>
  <c r="K161" i="63"/>
  <c r="Q160" i="63"/>
  <c r="P160" i="63"/>
  <c r="O160" i="63"/>
  <c r="N160" i="63"/>
  <c r="M160" i="63"/>
  <c r="L160" i="63"/>
  <c r="K160" i="63"/>
  <c r="Q159" i="63"/>
  <c r="P159" i="63"/>
  <c r="O159" i="63"/>
  <c r="N159" i="63"/>
  <c r="M159" i="63"/>
  <c r="L159" i="63"/>
  <c r="K159" i="63"/>
  <c r="Q158" i="63"/>
  <c r="P158" i="63"/>
  <c r="O158" i="63"/>
  <c r="N158" i="63"/>
  <c r="M158" i="63"/>
  <c r="L158" i="63"/>
  <c r="K158" i="63"/>
  <c r="Q157" i="63"/>
  <c r="P157" i="63"/>
  <c r="O157" i="63"/>
  <c r="N157" i="63"/>
  <c r="M157" i="63"/>
  <c r="L157" i="63"/>
  <c r="K157" i="63"/>
  <c r="Q156" i="63"/>
  <c r="P156" i="63"/>
  <c r="O156" i="63"/>
  <c r="N156" i="63"/>
  <c r="M156" i="63"/>
  <c r="L156" i="63"/>
  <c r="K156" i="63"/>
  <c r="Q155" i="63"/>
  <c r="P155" i="63"/>
  <c r="O155" i="63"/>
  <c r="N155" i="63"/>
  <c r="M155" i="63"/>
  <c r="L155" i="63"/>
  <c r="K155" i="63"/>
  <c r="Q154" i="63"/>
  <c r="P154" i="63"/>
  <c r="O154" i="63"/>
  <c r="N154" i="63"/>
  <c r="M154" i="63"/>
  <c r="L154" i="63"/>
  <c r="K154" i="63"/>
  <c r="Q153" i="63"/>
  <c r="P153" i="63"/>
  <c r="O153" i="63"/>
  <c r="N153" i="63"/>
  <c r="M153" i="63"/>
  <c r="L153" i="63"/>
  <c r="K153" i="63"/>
  <c r="Q152" i="63"/>
  <c r="P152" i="63"/>
  <c r="O152" i="63"/>
  <c r="N152" i="63"/>
  <c r="M152" i="63"/>
  <c r="L152" i="63"/>
  <c r="K152" i="63"/>
  <c r="Q151" i="63"/>
  <c r="P151" i="63"/>
  <c r="O151" i="63"/>
  <c r="N151" i="63"/>
  <c r="M151" i="63"/>
  <c r="L151" i="63"/>
  <c r="K151" i="63"/>
  <c r="Q150" i="63"/>
  <c r="P150" i="63"/>
  <c r="O150" i="63"/>
  <c r="N150" i="63"/>
  <c r="M150" i="63"/>
  <c r="L150" i="63"/>
  <c r="K150" i="63"/>
  <c r="Q149" i="63"/>
  <c r="P149" i="63"/>
  <c r="O149" i="63"/>
  <c r="N149" i="63"/>
  <c r="M149" i="63"/>
  <c r="L149" i="63"/>
  <c r="K149" i="63"/>
  <c r="Q148" i="63"/>
  <c r="P148" i="63"/>
  <c r="O148" i="63"/>
  <c r="N148" i="63"/>
  <c r="M148" i="63"/>
  <c r="L148" i="63"/>
  <c r="K148" i="63"/>
  <c r="Q147" i="63"/>
  <c r="P147" i="63"/>
  <c r="O147" i="63"/>
  <c r="N147" i="63"/>
  <c r="M147" i="63"/>
  <c r="L147" i="63"/>
  <c r="K147" i="63"/>
  <c r="Q146" i="63"/>
  <c r="P146" i="63"/>
  <c r="O146" i="63"/>
  <c r="N146" i="63"/>
  <c r="M146" i="63"/>
  <c r="L146" i="63"/>
  <c r="K146" i="63"/>
  <c r="Q145" i="63"/>
  <c r="P145" i="63"/>
  <c r="O145" i="63"/>
  <c r="N145" i="63"/>
  <c r="M145" i="63"/>
  <c r="L145" i="63"/>
  <c r="K145" i="63"/>
  <c r="Q144" i="63"/>
  <c r="P144" i="63"/>
  <c r="O144" i="63"/>
  <c r="N144" i="63"/>
  <c r="M144" i="63"/>
  <c r="L144" i="63"/>
  <c r="K144" i="63"/>
  <c r="Q143" i="63"/>
  <c r="P143" i="63"/>
  <c r="O143" i="63"/>
  <c r="N143" i="63"/>
  <c r="M143" i="63"/>
  <c r="L143" i="63"/>
  <c r="K143" i="63"/>
  <c r="Q142" i="63"/>
  <c r="P142" i="63"/>
  <c r="O142" i="63"/>
  <c r="N142" i="63"/>
  <c r="M142" i="63"/>
  <c r="L142" i="63"/>
  <c r="K142" i="63"/>
  <c r="Q141" i="63"/>
  <c r="P141" i="63"/>
  <c r="O141" i="63"/>
  <c r="N141" i="63"/>
  <c r="M141" i="63"/>
  <c r="L141" i="63"/>
  <c r="K141" i="63"/>
  <c r="Q140" i="63"/>
  <c r="P140" i="63"/>
  <c r="O140" i="63"/>
  <c r="N140" i="63"/>
  <c r="M140" i="63"/>
  <c r="L140" i="63"/>
  <c r="K140" i="63"/>
  <c r="Q139" i="63"/>
  <c r="P139" i="63"/>
  <c r="O139" i="63"/>
  <c r="N139" i="63"/>
  <c r="M139" i="63"/>
  <c r="L139" i="63"/>
  <c r="K139" i="63"/>
  <c r="Q138" i="63"/>
  <c r="P138" i="63"/>
  <c r="O138" i="63"/>
  <c r="N138" i="63"/>
  <c r="M138" i="63"/>
  <c r="L138" i="63"/>
  <c r="K138" i="63"/>
  <c r="Q137" i="63"/>
  <c r="P137" i="63"/>
  <c r="O137" i="63"/>
  <c r="N137" i="63"/>
  <c r="M137" i="63"/>
  <c r="L137" i="63"/>
  <c r="K137" i="63"/>
  <c r="Q136" i="63"/>
  <c r="P136" i="63"/>
  <c r="O136" i="63"/>
  <c r="N136" i="63"/>
  <c r="M136" i="63"/>
  <c r="L136" i="63"/>
  <c r="K136" i="63"/>
  <c r="Q135" i="63"/>
  <c r="P135" i="63"/>
  <c r="O135" i="63"/>
  <c r="N135" i="63"/>
  <c r="M135" i="63"/>
  <c r="L135" i="63"/>
  <c r="K135" i="63"/>
  <c r="Q134" i="63"/>
  <c r="P134" i="63"/>
  <c r="O134" i="63"/>
  <c r="N134" i="63"/>
  <c r="M134" i="63"/>
  <c r="L134" i="63"/>
  <c r="K134" i="63"/>
  <c r="Q133" i="63"/>
  <c r="P133" i="63"/>
  <c r="O133" i="63"/>
  <c r="N133" i="63"/>
  <c r="M133" i="63"/>
  <c r="L133" i="63"/>
  <c r="K133" i="63"/>
  <c r="Q132" i="63"/>
  <c r="P132" i="63"/>
  <c r="O132" i="63"/>
  <c r="N132" i="63"/>
  <c r="M132" i="63"/>
  <c r="L132" i="63"/>
  <c r="K132" i="63"/>
  <c r="Q131" i="63"/>
  <c r="P131" i="63"/>
  <c r="O131" i="63"/>
  <c r="N131" i="63"/>
  <c r="M131" i="63"/>
  <c r="L131" i="63"/>
  <c r="K131" i="63"/>
  <c r="Q130" i="63"/>
  <c r="P130" i="63"/>
  <c r="O130" i="63"/>
  <c r="N130" i="63"/>
  <c r="M130" i="63"/>
  <c r="L130" i="63"/>
  <c r="K130" i="63"/>
  <c r="Q129" i="63"/>
  <c r="P129" i="63"/>
  <c r="O129" i="63"/>
  <c r="N129" i="63"/>
  <c r="M129" i="63"/>
  <c r="L129" i="63"/>
  <c r="K129" i="63"/>
  <c r="Q128" i="63"/>
  <c r="P128" i="63"/>
  <c r="O128" i="63"/>
  <c r="N128" i="63"/>
  <c r="M128" i="63"/>
  <c r="L128" i="63"/>
  <c r="K128" i="63"/>
  <c r="Q127" i="63"/>
  <c r="P127" i="63"/>
  <c r="O127" i="63"/>
  <c r="N127" i="63"/>
  <c r="M127" i="63"/>
  <c r="L127" i="63"/>
  <c r="K127" i="63"/>
  <c r="Q126" i="63"/>
  <c r="P126" i="63"/>
  <c r="O126" i="63"/>
  <c r="N126" i="63"/>
  <c r="M126" i="63"/>
  <c r="L126" i="63"/>
  <c r="K126" i="63"/>
  <c r="Q125" i="63"/>
  <c r="P125" i="63"/>
  <c r="O125" i="63"/>
  <c r="N125" i="63"/>
  <c r="M125" i="63"/>
  <c r="L125" i="63"/>
  <c r="K125" i="63"/>
  <c r="Q124" i="63"/>
  <c r="P124" i="63"/>
  <c r="O124" i="63"/>
  <c r="N124" i="63"/>
  <c r="M124" i="63"/>
  <c r="L124" i="63"/>
  <c r="K124" i="63"/>
  <c r="Q123" i="63"/>
  <c r="P123" i="63"/>
  <c r="O123" i="63"/>
  <c r="N123" i="63"/>
  <c r="M123" i="63"/>
  <c r="L123" i="63"/>
  <c r="K123" i="63"/>
  <c r="Q122" i="63"/>
  <c r="P122" i="63"/>
  <c r="O122" i="63"/>
  <c r="N122" i="63"/>
  <c r="M122" i="63"/>
  <c r="L122" i="63"/>
  <c r="K122" i="63"/>
  <c r="Q121" i="63"/>
  <c r="P121" i="63"/>
  <c r="O121" i="63"/>
  <c r="N121" i="63"/>
  <c r="M121" i="63"/>
  <c r="L121" i="63"/>
  <c r="K121" i="63"/>
  <c r="Q120" i="63"/>
  <c r="P120" i="63"/>
  <c r="O120" i="63"/>
  <c r="N120" i="63"/>
  <c r="M120" i="63"/>
  <c r="L120" i="63"/>
  <c r="K120" i="63"/>
  <c r="Q119" i="63"/>
  <c r="P119" i="63"/>
  <c r="O119" i="63"/>
  <c r="N119" i="63"/>
  <c r="M119" i="63"/>
  <c r="L119" i="63"/>
  <c r="K119" i="63"/>
  <c r="Q118" i="63"/>
  <c r="P118" i="63"/>
  <c r="O118" i="63"/>
  <c r="N118" i="63"/>
  <c r="M118" i="63"/>
  <c r="L118" i="63"/>
  <c r="K118" i="63"/>
  <c r="Q117" i="63"/>
  <c r="P117" i="63"/>
  <c r="O117" i="63"/>
  <c r="N117" i="63"/>
  <c r="M117" i="63"/>
  <c r="L117" i="63"/>
  <c r="K117" i="63"/>
  <c r="Q116" i="63"/>
  <c r="P116" i="63"/>
  <c r="O116" i="63"/>
  <c r="N116" i="63"/>
  <c r="M116" i="63"/>
  <c r="L116" i="63"/>
  <c r="K116" i="63"/>
  <c r="Q115" i="63"/>
  <c r="P115" i="63"/>
  <c r="O115" i="63"/>
  <c r="N115" i="63"/>
  <c r="M115" i="63"/>
  <c r="L115" i="63"/>
  <c r="K115" i="63"/>
  <c r="Q114" i="63"/>
  <c r="P114" i="63"/>
  <c r="O114" i="63"/>
  <c r="N114" i="63"/>
  <c r="M114" i="63"/>
  <c r="L114" i="63"/>
  <c r="K114" i="63"/>
  <c r="Q113" i="63"/>
  <c r="P113" i="63"/>
  <c r="O113" i="63"/>
  <c r="N113" i="63"/>
  <c r="M113" i="63"/>
  <c r="L113" i="63"/>
  <c r="K113" i="63"/>
  <c r="Q112" i="63"/>
  <c r="P112" i="63"/>
  <c r="O112" i="63"/>
  <c r="N112" i="63"/>
  <c r="M112" i="63"/>
  <c r="L112" i="63"/>
  <c r="K112" i="63"/>
  <c r="Q111" i="63"/>
  <c r="P111" i="63"/>
  <c r="O111" i="63"/>
  <c r="N111" i="63"/>
  <c r="M111" i="63"/>
  <c r="L111" i="63"/>
  <c r="K111" i="63"/>
  <c r="Q110" i="63"/>
  <c r="P110" i="63"/>
  <c r="O110" i="63"/>
  <c r="N110" i="63"/>
  <c r="M110" i="63"/>
  <c r="L110" i="63"/>
  <c r="K110" i="63"/>
  <c r="Q109" i="63"/>
  <c r="P109" i="63"/>
  <c r="O109" i="63"/>
  <c r="N109" i="63"/>
  <c r="M109" i="63"/>
  <c r="L109" i="63"/>
  <c r="K109" i="63"/>
  <c r="Q108" i="63"/>
  <c r="P108" i="63"/>
  <c r="O108" i="63"/>
  <c r="N108" i="63"/>
  <c r="M108" i="63"/>
  <c r="L108" i="63"/>
  <c r="K108" i="63"/>
  <c r="Q107" i="63"/>
  <c r="P107" i="63"/>
  <c r="O107" i="63"/>
  <c r="N107" i="63"/>
  <c r="M107" i="63"/>
  <c r="L107" i="63"/>
  <c r="K107" i="63"/>
  <c r="Q106" i="63"/>
  <c r="P106" i="63"/>
  <c r="O106" i="63"/>
  <c r="N106" i="63"/>
  <c r="M106" i="63"/>
  <c r="L106" i="63"/>
  <c r="K106" i="63"/>
  <c r="Q105" i="63"/>
  <c r="P105" i="63"/>
  <c r="O105" i="63"/>
  <c r="N105" i="63"/>
  <c r="M105" i="63"/>
  <c r="L105" i="63"/>
  <c r="K105" i="63"/>
  <c r="Q104" i="63"/>
  <c r="P104" i="63"/>
  <c r="O104" i="63"/>
  <c r="N104" i="63"/>
  <c r="M104" i="63"/>
  <c r="L104" i="63"/>
  <c r="K104" i="63"/>
  <c r="Q103" i="63"/>
  <c r="P103" i="63"/>
  <c r="O103" i="63"/>
  <c r="N103" i="63"/>
  <c r="M103" i="63"/>
  <c r="L103" i="63"/>
  <c r="K103" i="63"/>
  <c r="Q102" i="63"/>
  <c r="P102" i="63"/>
  <c r="O102" i="63"/>
  <c r="N102" i="63"/>
  <c r="M102" i="63"/>
  <c r="L102" i="63"/>
  <c r="K102" i="63"/>
  <c r="Q101" i="63"/>
  <c r="P101" i="63"/>
  <c r="O101" i="63"/>
  <c r="N101" i="63"/>
  <c r="M101" i="63"/>
  <c r="L101" i="63"/>
  <c r="K101" i="63"/>
  <c r="Q100" i="63"/>
  <c r="P100" i="63"/>
  <c r="O100" i="63"/>
  <c r="N100" i="63"/>
  <c r="M100" i="63"/>
  <c r="L100" i="63"/>
  <c r="K100" i="63"/>
  <c r="Q99" i="63"/>
  <c r="P99" i="63"/>
  <c r="O99" i="63"/>
  <c r="N99" i="63"/>
  <c r="M99" i="63"/>
  <c r="L99" i="63"/>
  <c r="K99" i="63"/>
  <c r="Q98" i="63"/>
  <c r="P98" i="63"/>
  <c r="O98" i="63"/>
  <c r="N98" i="63"/>
  <c r="M98" i="63"/>
  <c r="L98" i="63"/>
  <c r="K98" i="63"/>
  <c r="Q97" i="63"/>
  <c r="P97" i="63"/>
  <c r="O97" i="63"/>
  <c r="N97" i="63"/>
  <c r="M97" i="63"/>
  <c r="L97" i="63"/>
  <c r="K97" i="63"/>
  <c r="Q96" i="63"/>
  <c r="P96" i="63"/>
  <c r="O96" i="63"/>
  <c r="N96" i="63"/>
  <c r="M96" i="63"/>
  <c r="L96" i="63"/>
  <c r="K96" i="63"/>
  <c r="Q95" i="63"/>
  <c r="P95" i="63"/>
  <c r="O95" i="63"/>
  <c r="N95" i="63"/>
  <c r="M95" i="63"/>
  <c r="L95" i="63"/>
  <c r="K95" i="63"/>
  <c r="Q94" i="63"/>
  <c r="P94" i="63"/>
  <c r="O94" i="63"/>
  <c r="N94" i="63"/>
  <c r="M94" i="63"/>
  <c r="L94" i="63"/>
  <c r="K94" i="63"/>
  <c r="Q93" i="63"/>
  <c r="P93" i="63"/>
  <c r="O93" i="63"/>
  <c r="N93" i="63"/>
  <c r="M93" i="63"/>
  <c r="L93" i="63"/>
  <c r="K93" i="63"/>
  <c r="Q92" i="63"/>
  <c r="P92" i="63"/>
  <c r="O92" i="63"/>
  <c r="N92" i="63"/>
  <c r="M92" i="63"/>
  <c r="L92" i="63"/>
  <c r="K92" i="63"/>
  <c r="Q91" i="63"/>
  <c r="P91" i="63"/>
  <c r="O91" i="63"/>
  <c r="N91" i="63"/>
  <c r="M91" i="63"/>
  <c r="L91" i="63"/>
  <c r="K91" i="63"/>
  <c r="Q90" i="63"/>
  <c r="P90" i="63"/>
  <c r="O90" i="63"/>
  <c r="N90" i="63"/>
  <c r="M90" i="63"/>
  <c r="L90" i="63"/>
  <c r="K90" i="63"/>
  <c r="Q89" i="63"/>
  <c r="P89" i="63"/>
  <c r="O89" i="63"/>
  <c r="N89" i="63"/>
  <c r="M89" i="63"/>
  <c r="L89" i="63"/>
  <c r="K89" i="63"/>
  <c r="Q88" i="63"/>
  <c r="P88" i="63"/>
  <c r="O88" i="63"/>
  <c r="N88" i="63"/>
  <c r="M88" i="63"/>
  <c r="L88" i="63"/>
  <c r="K88" i="63"/>
  <c r="Q87" i="63"/>
  <c r="P87" i="63"/>
  <c r="O87" i="63"/>
  <c r="N87" i="63"/>
  <c r="M87" i="63"/>
  <c r="L87" i="63"/>
  <c r="K87" i="63"/>
  <c r="Q86" i="63"/>
  <c r="P86" i="63"/>
  <c r="O86" i="63"/>
  <c r="N86" i="63"/>
  <c r="M86" i="63"/>
  <c r="L86" i="63"/>
  <c r="K86" i="63"/>
  <c r="Q85" i="63"/>
  <c r="P85" i="63"/>
  <c r="O85" i="63"/>
  <c r="N85" i="63"/>
  <c r="M85" i="63"/>
  <c r="L85" i="63"/>
  <c r="K85" i="63"/>
  <c r="Q84" i="63"/>
  <c r="P84" i="63"/>
  <c r="O84" i="63"/>
  <c r="N84" i="63"/>
  <c r="M84" i="63"/>
  <c r="L84" i="63"/>
  <c r="K84" i="63"/>
  <c r="Q83" i="63"/>
  <c r="P83" i="63"/>
  <c r="O83" i="63"/>
  <c r="N83" i="63"/>
  <c r="M83" i="63"/>
  <c r="L83" i="63"/>
  <c r="K83" i="63"/>
  <c r="Q82" i="63"/>
  <c r="P82" i="63"/>
  <c r="O82" i="63"/>
  <c r="N82" i="63"/>
  <c r="M82" i="63"/>
  <c r="L82" i="63"/>
  <c r="K82" i="63"/>
  <c r="Q81" i="63"/>
  <c r="P81" i="63"/>
  <c r="O81" i="63"/>
  <c r="N81" i="63"/>
  <c r="M81" i="63"/>
  <c r="L81" i="63"/>
  <c r="K81" i="63"/>
  <c r="Q80" i="63"/>
  <c r="P80" i="63"/>
  <c r="O80" i="63"/>
  <c r="N80" i="63"/>
  <c r="M80" i="63"/>
  <c r="L80" i="63"/>
  <c r="K80" i="63"/>
  <c r="Q79" i="63"/>
  <c r="P79" i="63"/>
  <c r="O79" i="63"/>
  <c r="N79" i="63"/>
  <c r="M79" i="63"/>
  <c r="L79" i="63"/>
  <c r="K79" i="63"/>
  <c r="Q78" i="63"/>
  <c r="P78" i="63"/>
  <c r="O78" i="63"/>
  <c r="N78" i="63"/>
  <c r="M78" i="63"/>
  <c r="L78" i="63"/>
  <c r="K78" i="63"/>
  <c r="Q77" i="63"/>
  <c r="P77" i="63"/>
  <c r="O77" i="63"/>
  <c r="N77" i="63"/>
  <c r="M77" i="63"/>
  <c r="L77" i="63"/>
  <c r="K77" i="63"/>
  <c r="Q76" i="63"/>
  <c r="P76" i="63"/>
  <c r="O76" i="63"/>
  <c r="N76" i="63"/>
  <c r="M76" i="63"/>
  <c r="L76" i="63"/>
  <c r="K76" i="63"/>
  <c r="Q75" i="63"/>
  <c r="P75" i="63"/>
  <c r="O75" i="63"/>
  <c r="N75" i="63"/>
  <c r="M75" i="63"/>
  <c r="L75" i="63"/>
  <c r="K75" i="63"/>
  <c r="Q74" i="63"/>
  <c r="P74" i="63"/>
  <c r="O74" i="63"/>
  <c r="N74" i="63"/>
  <c r="M74" i="63"/>
  <c r="L74" i="63"/>
  <c r="K74" i="63"/>
  <c r="Q73" i="63"/>
  <c r="P73" i="63"/>
  <c r="O73" i="63"/>
  <c r="N73" i="63"/>
  <c r="M73" i="63"/>
  <c r="L73" i="63"/>
  <c r="K73" i="63"/>
  <c r="Q72" i="63"/>
  <c r="P72" i="63"/>
  <c r="O72" i="63"/>
  <c r="N72" i="63"/>
  <c r="M72" i="63"/>
  <c r="L72" i="63"/>
  <c r="K72" i="63"/>
  <c r="Q71" i="63"/>
  <c r="P71" i="63"/>
  <c r="O71" i="63"/>
  <c r="N71" i="63"/>
  <c r="M71" i="63"/>
  <c r="L71" i="63"/>
  <c r="K71" i="63"/>
  <c r="Q70" i="63"/>
  <c r="P70" i="63"/>
  <c r="O70" i="63"/>
  <c r="N70" i="63"/>
  <c r="M70" i="63"/>
  <c r="L70" i="63"/>
  <c r="K70" i="63"/>
  <c r="Q69" i="63"/>
  <c r="P69" i="63"/>
  <c r="O69" i="63"/>
  <c r="N69" i="63"/>
  <c r="M69" i="63"/>
  <c r="L69" i="63"/>
  <c r="K69" i="63"/>
  <c r="Q68" i="63"/>
  <c r="P68" i="63"/>
  <c r="O68" i="63"/>
  <c r="N68" i="63"/>
  <c r="M68" i="63"/>
  <c r="L68" i="63"/>
  <c r="K68" i="63"/>
  <c r="Q67" i="63"/>
  <c r="P67" i="63"/>
  <c r="O67" i="63"/>
  <c r="N67" i="63"/>
  <c r="M67" i="63"/>
  <c r="L67" i="63"/>
  <c r="K67" i="63"/>
  <c r="Q66" i="63"/>
  <c r="P66" i="63"/>
  <c r="O66" i="63"/>
  <c r="N66" i="63"/>
  <c r="M66" i="63"/>
  <c r="L66" i="63"/>
  <c r="K66" i="63"/>
  <c r="Q65" i="63"/>
  <c r="P65" i="63"/>
  <c r="O65" i="63"/>
  <c r="N65" i="63"/>
  <c r="M65" i="63"/>
  <c r="L65" i="63"/>
  <c r="K65" i="63"/>
  <c r="Q64" i="63"/>
  <c r="P64" i="63"/>
  <c r="O64" i="63"/>
  <c r="N64" i="63"/>
  <c r="M64" i="63"/>
  <c r="L64" i="63"/>
  <c r="K64" i="63"/>
  <c r="Q63" i="63"/>
  <c r="P63" i="63"/>
  <c r="O63" i="63"/>
  <c r="N63" i="63"/>
  <c r="M63" i="63"/>
  <c r="L63" i="63"/>
  <c r="K63" i="63"/>
  <c r="Q62" i="63"/>
  <c r="P62" i="63"/>
  <c r="O62" i="63"/>
  <c r="N62" i="63"/>
  <c r="M62" i="63"/>
  <c r="L62" i="63"/>
  <c r="K62" i="63"/>
  <c r="Q61" i="63"/>
  <c r="P61" i="63"/>
  <c r="O61" i="63"/>
  <c r="N61" i="63"/>
  <c r="M61" i="63"/>
  <c r="L61" i="63"/>
  <c r="K61" i="63"/>
  <c r="Q60" i="63"/>
  <c r="P60" i="63"/>
  <c r="O60" i="63"/>
  <c r="N60" i="63"/>
  <c r="M60" i="63"/>
  <c r="L60" i="63"/>
  <c r="K60" i="63"/>
  <c r="Q59" i="63"/>
  <c r="P59" i="63"/>
  <c r="O59" i="63"/>
  <c r="N59" i="63"/>
  <c r="M59" i="63"/>
  <c r="L59" i="63"/>
  <c r="K59" i="63"/>
  <c r="Q58" i="63"/>
  <c r="P58" i="63"/>
  <c r="O58" i="63"/>
  <c r="N58" i="63"/>
  <c r="M58" i="63"/>
  <c r="L58" i="63"/>
  <c r="K58" i="63"/>
  <c r="Q57" i="63"/>
  <c r="P57" i="63"/>
  <c r="O57" i="63"/>
  <c r="N57" i="63"/>
  <c r="M57" i="63"/>
  <c r="L57" i="63"/>
  <c r="K57" i="63"/>
  <c r="Q56" i="63"/>
  <c r="P56" i="63"/>
  <c r="O56" i="63"/>
  <c r="N56" i="63"/>
  <c r="M56" i="63"/>
  <c r="L56" i="63"/>
  <c r="K56" i="63"/>
  <c r="Q55" i="63"/>
  <c r="P55" i="63"/>
  <c r="O55" i="63"/>
  <c r="N55" i="63"/>
  <c r="M55" i="63"/>
  <c r="L55" i="63"/>
  <c r="K55" i="63"/>
  <c r="Q54" i="63"/>
  <c r="P54" i="63"/>
  <c r="O54" i="63"/>
  <c r="N54" i="63"/>
  <c r="M54" i="63"/>
  <c r="L54" i="63"/>
  <c r="K54" i="63"/>
  <c r="Q53" i="63"/>
  <c r="P53" i="63"/>
  <c r="O53" i="63"/>
  <c r="N53" i="63"/>
  <c r="M53" i="63"/>
  <c r="L53" i="63"/>
  <c r="K53" i="63"/>
  <c r="Q52" i="63"/>
  <c r="P52" i="63"/>
  <c r="O52" i="63"/>
  <c r="N52" i="63"/>
  <c r="M52" i="63"/>
  <c r="L52" i="63"/>
  <c r="K52" i="63"/>
  <c r="Q51" i="63"/>
  <c r="P51" i="63"/>
  <c r="O51" i="63"/>
  <c r="N51" i="63"/>
  <c r="M51" i="63"/>
  <c r="L51" i="63"/>
  <c r="K51" i="63"/>
  <c r="Q50" i="63"/>
  <c r="P50" i="63"/>
  <c r="O50" i="63"/>
  <c r="N50" i="63"/>
  <c r="M50" i="63"/>
  <c r="L50" i="63"/>
  <c r="K50" i="63"/>
  <c r="Q49" i="63"/>
  <c r="P49" i="63"/>
  <c r="O49" i="63"/>
  <c r="N49" i="63"/>
  <c r="M49" i="63"/>
  <c r="L49" i="63"/>
  <c r="K49" i="63"/>
  <c r="Q48" i="63"/>
  <c r="P48" i="63"/>
  <c r="O48" i="63"/>
  <c r="N48" i="63"/>
  <c r="M48" i="63"/>
  <c r="L48" i="63"/>
  <c r="K48" i="63"/>
  <c r="Q47" i="63"/>
  <c r="P47" i="63"/>
  <c r="O47" i="63"/>
  <c r="N47" i="63"/>
  <c r="M47" i="63"/>
  <c r="L47" i="63"/>
  <c r="K47" i="63"/>
  <c r="Q46" i="63"/>
  <c r="P46" i="63"/>
  <c r="O46" i="63"/>
  <c r="N46" i="63"/>
  <c r="M46" i="63"/>
  <c r="L46" i="63"/>
  <c r="K46" i="63"/>
  <c r="Q45" i="63"/>
  <c r="P45" i="63"/>
  <c r="O45" i="63"/>
  <c r="N45" i="63"/>
  <c r="M45" i="63"/>
  <c r="L45" i="63"/>
  <c r="K45" i="63"/>
  <c r="Q44" i="63"/>
  <c r="P44" i="63"/>
  <c r="O44" i="63"/>
  <c r="N44" i="63"/>
  <c r="M44" i="63"/>
  <c r="L44" i="63"/>
  <c r="K44" i="63"/>
  <c r="Q43" i="63"/>
  <c r="P43" i="63"/>
  <c r="O43" i="63"/>
  <c r="N43" i="63"/>
  <c r="M43" i="63"/>
  <c r="L43" i="63"/>
  <c r="K43" i="63"/>
  <c r="Q42" i="63"/>
  <c r="P42" i="63"/>
  <c r="O42" i="63"/>
  <c r="N42" i="63"/>
  <c r="M42" i="63"/>
  <c r="L42" i="63"/>
  <c r="K42" i="63"/>
  <c r="Q41" i="63"/>
  <c r="P41" i="63"/>
  <c r="O41" i="63"/>
  <c r="N41" i="63"/>
  <c r="M41" i="63"/>
  <c r="L41" i="63"/>
  <c r="K41" i="63"/>
  <c r="Q40" i="63"/>
  <c r="P40" i="63"/>
  <c r="O40" i="63"/>
  <c r="N40" i="63"/>
  <c r="M40" i="63"/>
  <c r="L40" i="63"/>
  <c r="K40" i="63"/>
  <c r="Q39" i="63"/>
  <c r="P39" i="63"/>
  <c r="O39" i="63"/>
  <c r="N39" i="63"/>
  <c r="M39" i="63"/>
  <c r="L39" i="63"/>
  <c r="K39" i="63"/>
  <c r="Q38" i="63"/>
  <c r="P38" i="63"/>
  <c r="O38" i="63"/>
  <c r="N38" i="63"/>
  <c r="M38" i="63"/>
  <c r="L38" i="63"/>
  <c r="K38" i="63"/>
  <c r="Q37" i="63"/>
  <c r="P37" i="63"/>
  <c r="O37" i="63"/>
  <c r="N37" i="63"/>
  <c r="M37" i="63"/>
  <c r="L37" i="63"/>
  <c r="K37" i="63"/>
  <c r="Q36" i="63"/>
  <c r="P36" i="63"/>
  <c r="O36" i="63"/>
  <c r="N36" i="63"/>
  <c r="M36" i="63"/>
  <c r="L36" i="63"/>
  <c r="K36" i="63"/>
  <c r="Q35" i="63"/>
  <c r="P35" i="63"/>
  <c r="O35" i="63"/>
  <c r="N35" i="63"/>
  <c r="M35" i="63"/>
  <c r="L35" i="63"/>
  <c r="K35" i="63"/>
  <c r="Q34" i="63"/>
  <c r="P34" i="63"/>
  <c r="O34" i="63"/>
  <c r="N34" i="63"/>
  <c r="M34" i="63"/>
  <c r="L34" i="63"/>
  <c r="K34" i="63"/>
  <c r="Q33" i="63"/>
  <c r="P33" i="63"/>
  <c r="O33" i="63"/>
  <c r="N33" i="63"/>
  <c r="M33" i="63"/>
  <c r="L33" i="63"/>
  <c r="K33" i="63"/>
  <c r="Q32" i="63"/>
  <c r="P32" i="63"/>
  <c r="O32" i="63"/>
  <c r="N32" i="63"/>
  <c r="M32" i="63"/>
  <c r="L32" i="63"/>
  <c r="K32" i="63"/>
  <c r="Q31" i="63"/>
  <c r="P31" i="63"/>
  <c r="O31" i="63"/>
  <c r="N31" i="63"/>
  <c r="M31" i="63"/>
  <c r="L31" i="63"/>
  <c r="K31" i="63"/>
  <c r="Q30" i="63"/>
  <c r="P30" i="63"/>
  <c r="O30" i="63"/>
  <c r="N30" i="63"/>
  <c r="M30" i="63"/>
  <c r="L30" i="63"/>
  <c r="K30" i="63"/>
  <c r="Q29" i="63"/>
  <c r="P29" i="63"/>
  <c r="O29" i="63"/>
  <c r="N29" i="63"/>
  <c r="M29" i="63"/>
  <c r="L29" i="63"/>
  <c r="K29" i="63"/>
  <c r="Q28" i="63"/>
  <c r="P28" i="63"/>
  <c r="O28" i="63"/>
  <c r="N28" i="63"/>
  <c r="M28" i="63"/>
  <c r="L28" i="63"/>
  <c r="K28" i="63"/>
  <c r="Q27" i="63"/>
  <c r="P27" i="63"/>
  <c r="O27" i="63"/>
  <c r="N27" i="63"/>
  <c r="M27" i="63"/>
  <c r="L27" i="63"/>
  <c r="K27" i="63"/>
  <c r="Q26" i="63"/>
  <c r="P26" i="63"/>
  <c r="O26" i="63"/>
  <c r="N26" i="63"/>
  <c r="M26" i="63"/>
  <c r="L26" i="63"/>
  <c r="K26" i="63"/>
  <c r="Q25" i="63"/>
  <c r="P25" i="63"/>
  <c r="O25" i="63"/>
  <c r="N25" i="63"/>
  <c r="M25" i="63"/>
  <c r="L25" i="63"/>
  <c r="K25" i="63"/>
  <c r="Q24" i="63"/>
  <c r="P24" i="63"/>
  <c r="O24" i="63"/>
  <c r="N24" i="63"/>
  <c r="M24" i="63"/>
  <c r="L24" i="63"/>
  <c r="K24" i="63"/>
  <c r="Q23" i="63"/>
  <c r="P23" i="63"/>
  <c r="O23" i="63"/>
  <c r="N23" i="63"/>
  <c r="M23" i="63"/>
  <c r="L23" i="63"/>
  <c r="K23" i="63"/>
  <c r="Q22" i="63"/>
  <c r="P22" i="63"/>
  <c r="O22" i="63"/>
  <c r="N22" i="63"/>
  <c r="M22" i="63"/>
  <c r="L22" i="63"/>
  <c r="K22" i="63"/>
  <c r="Q21" i="63"/>
  <c r="P21" i="63"/>
  <c r="O21" i="63"/>
  <c r="N21" i="63"/>
  <c r="M21" i="63"/>
  <c r="L21" i="63"/>
  <c r="K21" i="63"/>
  <c r="Q20" i="63"/>
  <c r="P20" i="63"/>
  <c r="O20" i="63"/>
  <c r="N20" i="63"/>
  <c r="M20" i="63"/>
  <c r="L20" i="63"/>
  <c r="K20" i="63"/>
  <c r="Q19" i="63"/>
  <c r="P19" i="63"/>
  <c r="O19" i="63"/>
  <c r="N19" i="63"/>
  <c r="M19" i="63"/>
  <c r="L19" i="63"/>
  <c r="K19" i="63"/>
  <c r="Q18" i="63"/>
  <c r="P18" i="63"/>
  <c r="O18" i="63"/>
  <c r="N18" i="63"/>
  <c r="M18" i="63"/>
  <c r="L18" i="63"/>
  <c r="K18" i="63"/>
  <c r="Q17" i="63"/>
  <c r="P17" i="63"/>
  <c r="O17" i="63"/>
  <c r="N17" i="63"/>
  <c r="M17" i="63"/>
  <c r="L17" i="63"/>
  <c r="K17" i="63"/>
  <c r="Q16" i="63"/>
  <c r="P16" i="63"/>
  <c r="O16" i="63"/>
  <c r="N16" i="63"/>
  <c r="M16" i="63"/>
  <c r="L16" i="63"/>
  <c r="K16" i="63"/>
  <c r="Q15" i="63"/>
  <c r="P15" i="63"/>
  <c r="O15" i="63"/>
  <c r="N15" i="63"/>
  <c r="M15" i="63"/>
  <c r="L15" i="63"/>
  <c r="K15" i="63"/>
  <c r="Q14" i="63"/>
  <c r="P14" i="63"/>
  <c r="O14" i="63"/>
  <c r="N14" i="63"/>
  <c r="M14" i="63"/>
  <c r="L14" i="63"/>
  <c r="K14" i="63"/>
  <c r="A2" i="62"/>
  <c r="Q203" i="62"/>
  <c r="P203" i="62"/>
  <c r="O203" i="62"/>
  <c r="N203" i="62"/>
  <c r="M203" i="62"/>
  <c r="L203" i="62"/>
  <c r="K203" i="62"/>
  <c r="Q202" i="62"/>
  <c r="P202" i="62"/>
  <c r="O202" i="62"/>
  <c r="N202" i="62"/>
  <c r="M202" i="62"/>
  <c r="L202" i="62"/>
  <c r="K202" i="62"/>
  <c r="Q201" i="62"/>
  <c r="P201" i="62"/>
  <c r="O201" i="62"/>
  <c r="N201" i="62"/>
  <c r="M201" i="62"/>
  <c r="L201" i="62"/>
  <c r="K201" i="62"/>
  <c r="Q200" i="62"/>
  <c r="P200" i="62"/>
  <c r="O200" i="62"/>
  <c r="N200" i="62"/>
  <c r="M200" i="62"/>
  <c r="L200" i="62"/>
  <c r="K200" i="62"/>
  <c r="Q199" i="62"/>
  <c r="P199" i="62"/>
  <c r="O199" i="62"/>
  <c r="N199" i="62"/>
  <c r="M199" i="62"/>
  <c r="L199" i="62"/>
  <c r="K199" i="62"/>
  <c r="Q198" i="62"/>
  <c r="P198" i="62"/>
  <c r="O198" i="62"/>
  <c r="N198" i="62"/>
  <c r="M198" i="62"/>
  <c r="L198" i="62"/>
  <c r="K198" i="62"/>
  <c r="Q197" i="62"/>
  <c r="P197" i="62"/>
  <c r="O197" i="62"/>
  <c r="N197" i="62"/>
  <c r="M197" i="62"/>
  <c r="L197" i="62"/>
  <c r="K197" i="62"/>
  <c r="Q196" i="62"/>
  <c r="P196" i="62"/>
  <c r="O196" i="62"/>
  <c r="N196" i="62"/>
  <c r="M196" i="62"/>
  <c r="L196" i="62"/>
  <c r="K196" i="62"/>
  <c r="Q195" i="62"/>
  <c r="P195" i="62"/>
  <c r="O195" i="62"/>
  <c r="N195" i="62"/>
  <c r="M195" i="62"/>
  <c r="L195" i="62"/>
  <c r="K195" i="62"/>
  <c r="Q194" i="62"/>
  <c r="P194" i="62"/>
  <c r="O194" i="62"/>
  <c r="N194" i="62"/>
  <c r="M194" i="62"/>
  <c r="L194" i="62"/>
  <c r="K194" i="62"/>
  <c r="Q193" i="62"/>
  <c r="P193" i="62"/>
  <c r="O193" i="62"/>
  <c r="N193" i="62"/>
  <c r="M193" i="62"/>
  <c r="L193" i="62"/>
  <c r="K193" i="62"/>
  <c r="Q192" i="62"/>
  <c r="P192" i="62"/>
  <c r="O192" i="62"/>
  <c r="N192" i="62"/>
  <c r="M192" i="62"/>
  <c r="L192" i="62"/>
  <c r="K192" i="62"/>
  <c r="Q191" i="62"/>
  <c r="P191" i="62"/>
  <c r="O191" i="62"/>
  <c r="N191" i="62"/>
  <c r="M191" i="62"/>
  <c r="L191" i="62"/>
  <c r="K191" i="62"/>
  <c r="Q190" i="62"/>
  <c r="P190" i="62"/>
  <c r="O190" i="62"/>
  <c r="N190" i="62"/>
  <c r="M190" i="62"/>
  <c r="L190" i="62"/>
  <c r="K190" i="62"/>
  <c r="Q189" i="62"/>
  <c r="P189" i="62"/>
  <c r="O189" i="62"/>
  <c r="N189" i="62"/>
  <c r="M189" i="62"/>
  <c r="L189" i="62"/>
  <c r="K189" i="62"/>
  <c r="Q188" i="62"/>
  <c r="P188" i="62"/>
  <c r="O188" i="62"/>
  <c r="N188" i="62"/>
  <c r="M188" i="62"/>
  <c r="L188" i="62"/>
  <c r="K188" i="62"/>
  <c r="Q187" i="62"/>
  <c r="P187" i="62"/>
  <c r="O187" i="62"/>
  <c r="N187" i="62"/>
  <c r="M187" i="62"/>
  <c r="L187" i="62"/>
  <c r="K187" i="62"/>
  <c r="Q186" i="62"/>
  <c r="P186" i="62"/>
  <c r="O186" i="62"/>
  <c r="N186" i="62"/>
  <c r="M186" i="62"/>
  <c r="L186" i="62"/>
  <c r="K186" i="62"/>
  <c r="Q185" i="62"/>
  <c r="P185" i="62"/>
  <c r="O185" i="62"/>
  <c r="N185" i="62"/>
  <c r="M185" i="62"/>
  <c r="L185" i="62"/>
  <c r="K185" i="62"/>
  <c r="Q184" i="62"/>
  <c r="P184" i="62"/>
  <c r="O184" i="62"/>
  <c r="N184" i="62"/>
  <c r="M184" i="62"/>
  <c r="L184" i="62"/>
  <c r="K184" i="62"/>
  <c r="Q183" i="62"/>
  <c r="P183" i="62"/>
  <c r="O183" i="62"/>
  <c r="N183" i="62"/>
  <c r="M183" i="62"/>
  <c r="L183" i="62"/>
  <c r="K183" i="62"/>
  <c r="Q182" i="62"/>
  <c r="P182" i="62"/>
  <c r="O182" i="62"/>
  <c r="N182" i="62"/>
  <c r="M182" i="62"/>
  <c r="L182" i="62"/>
  <c r="K182" i="62"/>
  <c r="Q181" i="62"/>
  <c r="P181" i="62"/>
  <c r="O181" i="62"/>
  <c r="N181" i="62"/>
  <c r="M181" i="62"/>
  <c r="L181" i="62"/>
  <c r="K181" i="62"/>
  <c r="Q180" i="62"/>
  <c r="P180" i="62"/>
  <c r="O180" i="62"/>
  <c r="N180" i="62"/>
  <c r="M180" i="62"/>
  <c r="L180" i="62"/>
  <c r="K180" i="62"/>
  <c r="Q179" i="62"/>
  <c r="P179" i="62"/>
  <c r="O179" i="62"/>
  <c r="N179" i="62"/>
  <c r="M179" i="62"/>
  <c r="L179" i="62"/>
  <c r="K179" i="62"/>
  <c r="Q178" i="62"/>
  <c r="P178" i="62"/>
  <c r="O178" i="62"/>
  <c r="N178" i="62"/>
  <c r="M178" i="62"/>
  <c r="L178" i="62"/>
  <c r="K178" i="62"/>
  <c r="Q177" i="62"/>
  <c r="P177" i="62"/>
  <c r="O177" i="62"/>
  <c r="N177" i="62"/>
  <c r="M177" i="62"/>
  <c r="L177" i="62"/>
  <c r="K177" i="62"/>
  <c r="Q176" i="62"/>
  <c r="P176" i="62"/>
  <c r="O176" i="62"/>
  <c r="N176" i="62"/>
  <c r="M176" i="62"/>
  <c r="L176" i="62"/>
  <c r="K176" i="62"/>
  <c r="Q175" i="62"/>
  <c r="P175" i="62"/>
  <c r="O175" i="62"/>
  <c r="N175" i="62"/>
  <c r="M175" i="62"/>
  <c r="L175" i="62"/>
  <c r="K175" i="62"/>
  <c r="Q174" i="62"/>
  <c r="P174" i="62"/>
  <c r="O174" i="62"/>
  <c r="N174" i="62"/>
  <c r="M174" i="62"/>
  <c r="L174" i="62"/>
  <c r="K174" i="62"/>
  <c r="Q173" i="62"/>
  <c r="P173" i="62"/>
  <c r="O173" i="62"/>
  <c r="N173" i="62"/>
  <c r="M173" i="62"/>
  <c r="L173" i="62"/>
  <c r="K173" i="62"/>
  <c r="Q172" i="62"/>
  <c r="P172" i="62"/>
  <c r="O172" i="62"/>
  <c r="N172" i="62"/>
  <c r="M172" i="62"/>
  <c r="L172" i="62"/>
  <c r="K172" i="62"/>
  <c r="Q171" i="62"/>
  <c r="P171" i="62"/>
  <c r="O171" i="62"/>
  <c r="N171" i="62"/>
  <c r="M171" i="62"/>
  <c r="L171" i="62"/>
  <c r="K171" i="62"/>
  <c r="Q170" i="62"/>
  <c r="P170" i="62"/>
  <c r="O170" i="62"/>
  <c r="N170" i="62"/>
  <c r="M170" i="62"/>
  <c r="L170" i="62"/>
  <c r="K170" i="62"/>
  <c r="Q169" i="62"/>
  <c r="P169" i="62"/>
  <c r="O169" i="62"/>
  <c r="N169" i="62"/>
  <c r="M169" i="62"/>
  <c r="L169" i="62"/>
  <c r="K169" i="62"/>
  <c r="Q168" i="62"/>
  <c r="P168" i="62"/>
  <c r="O168" i="62"/>
  <c r="N168" i="62"/>
  <c r="M168" i="62"/>
  <c r="L168" i="62"/>
  <c r="K168" i="62"/>
  <c r="Q167" i="62"/>
  <c r="P167" i="62"/>
  <c r="O167" i="62"/>
  <c r="N167" i="62"/>
  <c r="M167" i="62"/>
  <c r="L167" i="62"/>
  <c r="K167" i="62"/>
  <c r="Q166" i="62"/>
  <c r="P166" i="62"/>
  <c r="O166" i="62"/>
  <c r="N166" i="62"/>
  <c r="M166" i="62"/>
  <c r="L166" i="62"/>
  <c r="K166" i="62"/>
  <c r="Q165" i="62"/>
  <c r="P165" i="62"/>
  <c r="O165" i="62"/>
  <c r="N165" i="62"/>
  <c r="M165" i="62"/>
  <c r="L165" i="62"/>
  <c r="K165" i="62"/>
  <c r="Q164" i="62"/>
  <c r="P164" i="62"/>
  <c r="O164" i="62"/>
  <c r="N164" i="62"/>
  <c r="M164" i="62"/>
  <c r="L164" i="62"/>
  <c r="K164" i="62"/>
  <c r="Q163" i="62"/>
  <c r="P163" i="62"/>
  <c r="O163" i="62"/>
  <c r="N163" i="62"/>
  <c r="M163" i="62"/>
  <c r="L163" i="62"/>
  <c r="K163" i="62"/>
  <c r="Q162" i="62"/>
  <c r="P162" i="62"/>
  <c r="O162" i="62"/>
  <c r="N162" i="62"/>
  <c r="M162" i="62"/>
  <c r="L162" i="62"/>
  <c r="K162" i="62"/>
  <c r="Q161" i="62"/>
  <c r="P161" i="62"/>
  <c r="O161" i="62"/>
  <c r="N161" i="62"/>
  <c r="M161" i="62"/>
  <c r="L161" i="62"/>
  <c r="K161" i="62"/>
  <c r="Q160" i="62"/>
  <c r="P160" i="62"/>
  <c r="O160" i="62"/>
  <c r="N160" i="62"/>
  <c r="M160" i="62"/>
  <c r="L160" i="62"/>
  <c r="K160" i="62"/>
  <c r="Q159" i="62"/>
  <c r="P159" i="62"/>
  <c r="O159" i="62"/>
  <c r="N159" i="62"/>
  <c r="M159" i="62"/>
  <c r="L159" i="62"/>
  <c r="K159" i="62"/>
  <c r="Q158" i="62"/>
  <c r="P158" i="62"/>
  <c r="O158" i="62"/>
  <c r="N158" i="62"/>
  <c r="M158" i="62"/>
  <c r="L158" i="62"/>
  <c r="K158" i="62"/>
  <c r="Q157" i="62"/>
  <c r="P157" i="62"/>
  <c r="O157" i="62"/>
  <c r="N157" i="62"/>
  <c r="M157" i="62"/>
  <c r="L157" i="62"/>
  <c r="K157" i="62"/>
  <c r="Q156" i="62"/>
  <c r="P156" i="62"/>
  <c r="O156" i="62"/>
  <c r="N156" i="62"/>
  <c r="M156" i="62"/>
  <c r="L156" i="62"/>
  <c r="K156" i="62"/>
  <c r="Q155" i="62"/>
  <c r="P155" i="62"/>
  <c r="O155" i="62"/>
  <c r="N155" i="62"/>
  <c r="M155" i="62"/>
  <c r="L155" i="62"/>
  <c r="K155" i="62"/>
  <c r="Q154" i="62"/>
  <c r="P154" i="62"/>
  <c r="O154" i="62"/>
  <c r="N154" i="62"/>
  <c r="M154" i="62"/>
  <c r="L154" i="62"/>
  <c r="K154" i="62"/>
  <c r="Q153" i="62"/>
  <c r="P153" i="62"/>
  <c r="O153" i="62"/>
  <c r="N153" i="62"/>
  <c r="M153" i="62"/>
  <c r="L153" i="62"/>
  <c r="K153" i="62"/>
  <c r="Q152" i="62"/>
  <c r="P152" i="62"/>
  <c r="O152" i="62"/>
  <c r="N152" i="62"/>
  <c r="M152" i="62"/>
  <c r="L152" i="62"/>
  <c r="K152" i="62"/>
  <c r="Q151" i="62"/>
  <c r="P151" i="62"/>
  <c r="O151" i="62"/>
  <c r="N151" i="62"/>
  <c r="M151" i="62"/>
  <c r="L151" i="62"/>
  <c r="K151" i="62"/>
  <c r="Q150" i="62"/>
  <c r="P150" i="62"/>
  <c r="O150" i="62"/>
  <c r="N150" i="62"/>
  <c r="M150" i="62"/>
  <c r="L150" i="62"/>
  <c r="K150" i="62"/>
  <c r="Q149" i="62"/>
  <c r="P149" i="62"/>
  <c r="O149" i="62"/>
  <c r="N149" i="62"/>
  <c r="M149" i="62"/>
  <c r="L149" i="62"/>
  <c r="K149" i="62"/>
  <c r="Q148" i="62"/>
  <c r="P148" i="62"/>
  <c r="O148" i="62"/>
  <c r="N148" i="62"/>
  <c r="M148" i="62"/>
  <c r="L148" i="62"/>
  <c r="K148" i="62"/>
  <c r="Q147" i="62"/>
  <c r="P147" i="62"/>
  <c r="O147" i="62"/>
  <c r="N147" i="62"/>
  <c r="M147" i="62"/>
  <c r="L147" i="62"/>
  <c r="K147" i="62"/>
  <c r="Q146" i="62"/>
  <c r="P146" i="62"/>
  <c r="O146" i="62"/>
  <c r="N146" i="62"/>
  <c r="M146" i="62"/>
  <c r="L146" i="62"/>
  <c r="K146" i="62"/>
  <c r="Q145" i="62"/>
  <c r="P145" i="62"/>
  <c r="O145" i="62"/>
  <c r="N145" i="62"/>
  <c r="M145" i="62"/>
  <c r="L145" i="62"/>
  <c r="K145" i="62"/>
  <c r="Q144" i="62"/>
  <c r="P144" i="62"/>
  <c r="O144" i="62"/>
  <c r="N144" i="62"/>
  <c r="M144" i="62"/>
  <c r="L144" i="62"/>
  <c r="K144" i="62"/>
  <c r="Q143" i="62"/>
  <c r="P143" i="62"/>
  <c r="O143" i="62"/>
  <c r="N143" i="62"/>
  <c r="M143" i="62"/>
  <c r="L143" i="62"/>
  <c r="K143" i="62"/>
  <c r="Q142" i="62"/>
  <c r="P142" i="62"/>
  <c r="O142" i="62"/>
  <c r="N142" i="62"/>
  <c r="M142" i="62"/>
  <c r="L142" i="62"/>
  <c r="K142" i="62"/>
  <c r="Q141" i="62"/>
  <c r="P141" i="62"/>
  <c r="O141" i="62"/>
  <c r="N141" i="62"/>
  <c r="M141" i="62"/>
  <c r="L141" i="62"/>
  <c r="K141" i="62"/>
  <c r="Q140" i="62"/>
  <c r="P140" i="62"/>
  <c r="O140" i="62"/>
  <c r="N140" i="62"/>
  <c r="M140" i="62"/>
  <c r="L140" i="62"/>
  <c r="K140" i="62"/>
  <c r="Q139" i="62"/>
  <c r="P139" i="62"/>
  <c r="O139" i="62"/>
  <c r="N139" i="62"/>
  <c r="M139" i="62"/>
  <c r="L139" i="62"/>
  <c r="K139" i="62"/>
  <c r="Q138" i="62"/>
  <c r="P138" i="62"/>
  <c r="O138" i="62"/>
  <c r="N138" i="62"/>
  <c r="M138" i="62"/>
  <c r="L138" i="62"/>
  <c r="K138" i="62"/>
  <c r="Q137" i="62"/>
  <c r="P137" i="62"/>
  <c r="O137" i="62"/>
  <c r="N137" i="62"/>
  <c r="M137" i="62"/>
  <c r="L137" i="62"/>
  <c r="K137" i="62"/>
  <c r="Q136" i="62"/>
  <c r="P136" i="62"/>
  <c r="O136" i="62"/>
  <c r="N136" i="62"/>
  <c r="M136" i="62"/>
  <c r="L136" i="62"/>
  <c r="K136" i="62"/>
  <c r="Q135" i="62"/>
  <c r="P135" i="62"/>
  <c r="O135" i="62"/>
  <c r="N135" i="62"/>
  <c r="M135" i="62"/>
  <c r="L135" i="62"/>
  <c r="K135" i="62"/>
  <c r="Q134" i="62"/>
  <c r="P134" i="62"/>
  <c r="O134" i="62"/>
  <c r="N134" i="62"/>
  <c r="M134" i="62"/>
  <c r="L134" i="62"/>
  <c r="K134" i="62"/>
  <c r="Q133" i="62"/>
  <c r="P133" i="62"/>
  <c r="O133" i="62"/>
  <c r="N133" i="62"/>
  <c r="M133" i="62"/>
  <c r="L133" i="62"/>
  <c r="K133" i="62"/>
  <c r="Q132" i="62"/>
  <c r="P132" i="62"/>
  <c r="O132" i="62"/>
  <c r="N132" i="62"/>
  <c r="M132" i="62"/>
  <c r="L132" i="62"/>
  <c r="K132" i="62"/>
  <c r="Q131" i="62"/>
  <c r="P131" i="62"/>
  <c r="O131" i="62"/>
  <c r="N131" i="62"/>
  <c r="M131" i="62"/>
  <c r="L131" i="62"/>
  <c r="K131" i="62"/>
  <c r="Q130" i="62"/>
  <c r="P130" i="62"/>
  <c r="O130" i="62"/>
  <c r="N130" i="62"/>
  <c r="M130" i="62"/>
  <c r="L130" i="62"/>
  <c r="K130" i="62"/>
  <c r="Q129" i="62"/>
  <c r="P129" i="62"/>
  <c r="O129" i="62"/>
  <c r="N129" i="62"/>
  <c r="M129" i="62"/>
  <c r="L129" i="62"/>
  <c r="K129" i="62"/>
  <c r="Q128" i="62"/>
  <c r="P128" i="62"/>
  <c r="O128" i="62"/>
  <c r="N128" i="62"/>
  <c r="M128" i="62"/>
  <c r="L128" i="62"/>
  <c r="K128" i="62"/>
  <c r="Q127" i="62"/>
  <c r="P127" i="62"/>
  <c r="O127" i="62"/>
  <c r="N127" i="62"/>
  <c r="M127" i="62"/>
  <c r="L127" i="62"/>
  <c r="K127" i="62"/>
  <c r="Q126" i="62"/>
  <c r="P126" i="62"/>
  <c r="O126" i="62"/>
  <c r="N126" i="62"/>
  <c r="M126" i="62"/>
  <c r="L126" i="62"/>
  <c r="K126" i="62"/>
  <c r="Q125" i="62"/>
  <c r="P125" i="62"/>
  <c r="O125" i="62"/>
  <c r="N125" i="62"/>
  <c r="M125" i="62"/>
  <c r="L125" i="62"/>
  <c r="K125" i="62"/>
  <c r="Q124" i="62"/>
  <c r="P124" i="62"/>
  <c r="O124" i="62"/>
  <c r="N124" i="62"/>
  <c r="M124" i="62"/>
  <c r="L124" i="62"/>
  <c r="K124" i="62"/>
  <c r="Q123" i="62"/>
  <c r="P123" i="62"/>
  <c r="O123" i="62"/>
  <c r="N123" i="62"/>
  <c r="M123" i="62"/>
  <c r="L123" i="62"/>
  <c r="K123" i="62"/>
  <c r="Q122" i="62"/>
  <c r="P122" i="62"/>
  <c r="O122" i="62"/>
  <c r="N122" i="62"/>
  <c r="M122" i="62"/>
  <c r="L122" i="62"/>
  <c r="K122" i="62"/>
  <c r="Q121" i="62"/>
  <c r="P121" i="62"/>
  <c r="O121" i="62"/>
  <c r="N121" i="62"/>
  <c r="M121" i="62"/>
  <c r="L121" i="62"/>
  <c r="K121" i="62"/>
  <c r="Q120" i="62"/>
  <c r="P120" i="62"/>
  <c r="O120" i="62"/>
  <c r="N120" i="62"/>
  <c r="M120" i="62"/>
  <c r="L120" i="62"/>
  <c r="K120" i="62"/>
  <c r="Q119" i="62"/>
  <c r="P119" i="62"/>
  <c r="O119" i="62"/>
  <c r="N119" i="62"/>
  <c r="M119" i="62"/>
  <c r="L119" i="62"/>
  <c r="K119" i="62"/>
  <c r="Q118" i="62"/>
  <c r="P118" i="62"/>
  <c r="O118" i="62"/>
  <c r="N118" i="62"/>
  <c r="M118" i="62"/>
  <c r="L118" i="62"/>
  <c r="K118" i="62"/>
  <c r="Q117" i="62"/>
  <c r="P117" i="62"/>
  <c r="O117" i="62"/>
  <c r="N117" i="62"/>
  <c r="M117" i="62"/>
  <c r="L117" i="62"/>
  <c r="K117" i="62"/>
  <c r="Q116" i="62"/>
  <c r="P116" i="62"/>
  <c r="O116" i="62"/>
  <c r="N116" i="62"/>
  <c r="M116" i="62"/>
  <c r="L116" i="62"/>
  <c r="K116" i="62"/>
  <c r="Q115" i="62"/>
  <c r="P115" i="62"/>
  <c r="O115" i="62"/>
  <c r="N115" i="62"/>
  <c r="M115" i="62"/>
  <c r="L115" i="62"/>
  <c r="K115" i="62"/>
  <c r="Q114" i="62"/>
  <c r="P114" i="62"/>
  <c r="O114" i="62"/>
  <c r="N114" i="62"/>
  <c r="M114" i="62"/>
  <c r="L114" i="62"/>
  <c r="K114" i="62"/>
  <c r="Q113" i="62"/>
  <c r="P113" i="62"/>
  <c r="O113" i="62"/>
  <c r="N113" i="62"/>
  <c r="M113" i="62"/>
  <c r="L113" i="62"/>
  <c r="K113" i="62"/>
  <c r="Q112" i="62"/>
  <c r="P112" i="62"/>
  <c r="O112" i="62"/>
  <c r="N112" i="62"/>
  <c r="M112" i="62"/>
  <c r="L112" i="62"/>
  <c r="K112" i="62"/>
  <c r="Q111" i="62"/>
  <c r="P111" i="62"/>
  <c r="O111" i="62"/>
  <c r="N111" i="62"/>
  <c r="M111" i="62"/>
  <c r="L111" i="62"/>
  <c r="K111" i="62"/>
  <c r="Q110" i="62"/>
  <c r="P110" i="62"/>
  <c r="O110" i="62"/>
  <c r="N110" i="62"/>
  <c r="M110" i="62"/>
  <c r="L110" i="62"/>
  <c r="K110" i="62"/>
  <c r="Q109" i="62"/>
  <c r="P109" i="62"/>
  <c r="O109" i="62"/>
  <c r="N109" i="62"/>
  <c r="M109" i="62"/>
  <c r="L109" i="62"/>
  <c r="K109" i="62"/>
  <c r="Q108" i="62"/>
  <c r="P108" i="62"/>
  <c r="O108" i="62"/>
  <c r="N108" i="62"/>
  <c r="M108" i="62"/>
  <c r="L108" i="62"/>
  <c r="K108" i="62"/>
  <c r="Q107" i="62"/>
  <c r="P107" i="62"/>
  <c r="O107" i="62"/>
  <c r="N107" i="62"/>
  <c r="M107" i="62"/>
  <c r="L107" i="62"/>
  <c r="K107" i="62"/>
  <c r="Q106" i="62"/>
  <c r="P106" i="62"/>
  <c r="O106" i="62"/>
  <c r="N106" i="62"/>
  <c r="M106" i="62"/>
  <c r="L106" i="62"/>
  <c r="K106" i="62"/>
  <c r="Q105" i="62"/>
  <c r="P105" i="62"/>
  <c r="O105" i="62"/>
  <c r="N105" i="62"/>
  <c r="M105" i="62"/>
  <c r="L105" i="62"/>
  <c r="K105" i="62"/>
  <c r="Q104" i="62"/>
  <c r="P104" i="62"/>
  <c r="O104" i="62"/>
  <c r="N104" i="62"/>
  <c r="M104" i="62"/>
  <c r="L104" i="62"/>
  <c r="K104" i="62"/>
  <c r="Q103" i="62"/>
  <c r="P103" i="62"/>
  <c r="O103" i="62"/>
  <c r="N103" i="62"/>
  <c r="M103" i="62"/>
  <c r="L103" i="62"/>
  <c r="K103" i="62"/>
  <c r="Q102" i="62"/>
  <c r="P102" i="62"/>
  <c r="O102" i="62"/>
  <c r="N102" i="62"/>
  <c r="M102" i="62"/>
  <c r="L102" i="62"/>
  <c r="K102" i="62"/>
  <c r="Q101" i="62"/>
  <c r="P101" i="62"/>
  <c r="O101" i="62"/>
  <c r="N101" i="62"/>
  <c r="M101" i="62"/>
  <c r="L101" i="62"/>
  <c r="K101" i="62"/>
  <c r="Q100" i="62"/>
  <c r="P100" i="62"/>
  <c r="O100" i="62"/>
  <c r="N100" i="62"/>
  <c r="M100" i="62"/>
  <c r="L100" i="62"/>
  <c r="K100" i="62"/>
  <c r="Q99" i="62"/>
  <c r="P99" i="62"/>
  <c r="O99" i="62"/>
  <c r="N99" i="62"/>
  <c r="M99" i="62"/>
  <c r="L99" i="62"/>
  <c r="K99" i="62"/>
  <c r="Q98" i="62"/>
  <c r="P98" i="62"/>
  <c r="O98" i="62"/>
  <c r="N98" i="62"/>
  <c r="M98" i="62"/>
  <c r="L98" i="62"/>
  <c r="K98" i="62"/>
  <c r="Q97" i="62"/>
  <c r="P97" i="62"/>
  <c r="O97" i="62"/>
  <c r="N97" i="62"/>
  <c r="M97" i="62"/>
  <c r="L97" i="62"/>
  <c r="K97" i="62"/>
  <c r="Q96" i="62"/>
  <c r="P96" i="62"/>
  <c r="O96" i="62"/>
  <c r="N96" i="62"/>
  <c r="M96" i="62"/>
  <c r="L96" i="62"/>
  <c r="K96" i="62"/>
  <c r="Q95" i="62"/>
  <c r="P95" i="62"/>
  <c r="O95" i="62"/>
  <c r="N95" i="62"/>
  <c r="M95" i="62"/>
  <c r="L95" i="62"/>
  <c r="K95" i="62"/>
  <c r="Q94" i="62"/>
  <c r="P94" i="62"/>
  <c r="O94" i="62"/>
  <c r="N94" i="62"/>
  <c r="M94" i="62"/>
  <c r="L94" i="62"/>
  <c r="K94" i="62"/>
  <c r="Q93" i="62"/>
  <c r="P93" i="62"/>
  <c r="O93" i="62"/>
  <c r="N93" i="62"/>
  <c r="M93" i="62"/>
  <c r="L93" i="62"/>
  <c r="K93" i="62"/>
  <c r="Q92" i="62"/>
  <c r="P92" i="62"/>
  <c r="O92" i="62"/>
  <c r="N92" i="62"/>
  <c r="M92" i="62"/>
  <c r="L92" i="62"/>
  <c r="K92" i="62"/>
  <c r="Q91" i="62"/>
  <c r="P91" i="62"/>
  <c r="O91" i="62"/>
  <c r="N91" i="62"/>
  <c r="M91" i="62"/>
  <c r="L91" i="62"/>
  <c r="K91" i="62"/>
  <c r="Q90" i="62"/>
  <c r="P90" i="62"/>
  <c r="O90" i="62"/>
  <c r="N90" i="62"/>
  <c r="M90" i="62"/>
  <c r="L90" i="62"/>
  <c r="K90" i="62"/>
  <c r="Q89" i="62"/>
  <c r="P89" i="62"/>
  <c r="O89" i="62"/>
  <c r="N89" i="62"/>
  <c r="M89" i="62"/>
  <c r="L89" i="62"/>
  <c r="K89" i="62"/>
  <c r="Q88" i="62"/>
  <c r="P88" i="62"/>
  <c r="O88" i="62"/>
  <c r="N88" i="62"/>
  <c r="M88" i="62"/>
  <c r="L88" i="62"/>
  <c r="K88" i="62"/>
  <c r="Q87" i="62"/>
  <c r="P87" i="62"/>
  <c r="O87" i="62"/>
  <c r="N87" i="62"/>
  <c r="M87" i="62"/>
  <c r="L87" i="62"/>
  <c r="K87" i="62"/>
  <c r="Q86" i="62"/>
  <c r="P86" i="62"/>
  <c r="O86" i="62"/>
  <c r="N86" i="62"/>
  <c r="M86" i="62"/>
  <c r="L86" i="62"/>
  <c r="K86" i="62"/>
  <c r="Q85" i="62"/>
  <c r="P85" i="62"/>
  <c r="O85" i="62"/>
  <c r="N85" i="62"/>
  <c r="M85" i="62"/>
  <c r="L85" i="62"/>
  <c r="K85" i="62"/>
  <c r="Q84" i="62"/>
  <c r="P84" i="62"/>
  <c r="O84" i="62"/>
  <c r="N84" i="62"/>
  <c r="M84" i="62"/>
  <c r="L84" i="62"/>
  <c r="K84" i="62"/>
  <c r="Q83" i="62"/>
  <c r="P83" i="62"/>
  <c r="O83" i="62"/>
  <c r="N83" i="62"/>
  <c r="M83" i="62"/>
  <c r="L83" i="62"/>
  <c r="K83" i="62"/>
  <c r="Q82" i="62"/>
  <c r="P82" i="62"/>
  <c r="O82" i="62"/>
  <c r="N82" i="62"/>
  <c r="M82" i="62"/>
  <c r="L82" i="62"/>
  <c r="K82" i="62"/>
  <c r="Q81" i="62"/>
  <c r="P81" i="62"/>
  <c r="O81" i="62"/>
  <c r="N81" i="62"/>
  <c r="M81" i="62"/>
  <c r="L81" i="62"/>
  <c r="K81" i="62"/>
  <c r="Q80" i="62"/>
  <c r="P80" i="62"/>
  <c r="O80" i="62"/>
  <c r="N80" i="62"/>
  <c r="M80" i="62"/>
  <c r="L80" i="62"/>
  <c r="K80" i="62"/>
  <c r="Q79" i="62"/>
  <c r="P79" i="62"/>
  <c r="O79" i="62"/>
  <c r="N79" i="62"/>
  <c r="M79" i="62"/>
  <c r="L79" i="62"/>
  <c r="K79" i="62"/>
  <c r="Q78" i="62"/>
  <c r="P78" i="62"/>
  <c r="O78" i="62"/>
  <c r="N78" i="62"/>
  <c r="M78" i="62"/>
  <c r="L78" i="62"/>
  <c r="K78" i="62"/>
  <c r="Q77" i="62"/>
  <c r="P77" i="62"/>
  <c r="O77" i="62"/>
  <c r="N77" i="62"/>
  <c r="M77" i="62"/>
  <c r="L77" i="62"/>
  <c r="K77" i="62"/>
  <c r="Q76" i="62"/>
  <c r="P76" i="62"/>
  <c r="O76" i="62"/>
  <c r="N76" i="62"/>
  <c r="M76" i="62"/>
  <c r="L76" i="62"/>
  <c r="K76" i="62"/>
  <c r="Q75" i="62"/>
  <c r="P75" i="62"/>
  <c r="O75" i="62"/>
  <c r="N75" i="62"/>
  <c r="M75" i="62"/>
  <c r="L75" i="62"/>
  <c r="K75" i="62"/>
  <c r="Q74" i="62"/>
  <c r="P74" i="62"/>
  <c r="O74" i="62"/>
  <c r="N74" i="62"/>
  <c r="M74" i="62"/>
  <c r="L74" i="62"/>
  <c r="K74" i="62"/>
  <c r="Q73" i="62"/>
  <c r="P73" i="62"/>
  <c r="O73" i="62"/>
  <c r="N73" i="62"/>
  <c r="M73" i="62"/>
  <c r="L73" i="62"/>
  <c r="K73" i="62"/>
  <c r="Q72" i="62"/>
  <c r="P72" i="62"/>
  <c r="O72" i="62"/>
  <c r="N72" i="62"/>
  <c r="M72" i="62"/>
  <c r="L72" i="62"/>
  <c r="K72" i="62"/>
  <c r="Q71" i="62"/>
  <c r="P71" i="62"/>
  <c r="O71" i="62"/>
  <c r="N71" i="62"/>
  <c r="M71" i="62"/>
  <c r="L71" i="62"/>
  <c r="K71" i="62"/>
  <c r="Q70" i="62"/>
  <c r="P70" i="62"/>
  <c r="O70" i="62"/>
  <c r="N70" i="62"/>
  <c r="M70" i="62"/>
  <c r="L70" i="62"/>
  <c r="K70" i="62"/>
  <c r="Q69" i="62"/>
  <c r="P69" i="62"/>
  <c r="O69" i="62"/>
  <c r="N69" i="62"/>
  <c r="M69" i="62"/>
  <c r="L69" i="62"/>
  <c r="K69" i="62"/>
  <c r="Q68" i="62"/>
  <c r="P68" i="62"/>
  <c r="O68" i="62"/>
  <c r="N68" i="62"/>
  <c r="M68" i="62"/>
  <c r="L68" i="62"/>
  <c r="K68" i="62"/>
  <c r="Q67" i="62"/>
  <c r="P67" i="62"/>
  <c r="O67" i="62"/>
  <c r="N67" i="62"/>
  <c r="M67" i="62"/>
  <c r="L67" i="62"/>
  <c r="K67" i="62"/>
  <c r="Q66" i="62"/>
  <c r="P66" i="62"/>
  <c r="O66" i="62"/>
  <c r="N66" i="62"/>
  <c r="M66" i="62"/>
  <c r="L66" i="62"/>
  <c r="K66" i="62"/>
  <c r="Q65" i="62"/>
  <c r="P65" i="62"/>
  <c r="O65" i="62"/>
  <c r="N65" i="62"/>
  <c r="M65" i="62"/>
  <c r="L65" i="62"/>
  <c r="K65" i="62"/>
  <c r="Q64" i="62"/>
  <c r="P64" i="62"/>
  <c r="O64" i="62"/>
  <c r="N64" i="62"/>
  <c r="M64" i="62"/>
  <c r="L64" i="62"/>
  <c r="K64" i="62"/>
  <c r="Q63" i="62"/>
  <c r="P63" i="62"/>
  <c r="O63" i="62"/>
  <c r="N63" i="62"/>
  <c r="M63" i="62"/>
  <c r="L63" i="62"/>
  <c r="K63" i="62"/>
  <c r="Q62" i="62"/>
  <c r="P62" i="62"/>
  <c r="O62" i="62"/>
  <c r="N62" i="62"/>
  <c r="M62" i="62"/>
  <c r="L62" i="62"/>
  <c r="K62" i="62"/>
  <c r="Q61" i="62"/>
  <c r="P61" i="62"/>
  <c r="O61" i="62"/>
  <c r="N61" i="62"/>
  <c r="M61" i="62"/>
  <c r="L61" i="62"/>
  <c r="K61" i="62"/>
  <c r="Q60" i="62"/>
  <c r="P60" i="62"/>
  <c r="O60" i="62"/>
  <c r="N60" i="62"/>
  <c r="M60" i="62"/>
  <c r="L60" i="62"/>
  <c r="K60" i="62"/>
  <c r="Q59" i="62"/>
  <c r="P59" i="62"/>
  <c r="O59" i="62"/>
  <c r="N59" i="62"/>
  <c r="M59" i="62"/>
  <c r="L59" i="62"/>
  <c r="K59" i="62"/>
  <c r="Q58" i="62"/>
  <c r="P58" i="62"/>
  <c r="O58" i="62"/>
  <c r="N58" i="62"/>
  <c r="M58" i="62"/>
  <c r="L58" i="62"/>
  <c r="K58" i="62"/>
  <c r="Q57" i="62"/>
  <c r="P57" i="62"/>
  <c r="O57" i="62"/>
  <c r="N57" i="62"/>
  <c r="M57" i="62"/>
  <c r="L57" i="62"/>
  <c r="K57" i="62"/>
  <c r="Q56" i="62"/>
  <c r="P56" i="62"/>
  <c r="O56" i="62"/>
  <c r="N56" i="62"/>
  <c r="M56" i="62"/>
  <c r="L56" i="62"/>
  <c r="K56" i="62"/>
  <c r="Q55" i="62"/>
  <c r="P55" i="62"/>
  <c r="O55" i="62"/>
  <c r="N55" i="62"/>
  <c r="M55" i="62"/>
  <c r="L55" i="62"/>
  <c r="K55" i="62"/>
  <c r="Q54" i="62"/>
  <c r="P54" i="62"/>
  <c r="O54" i="62"/>
  <c r="N54" i="62"/>
  <c r="M54" i="62"/>
  <c r="L54" i="62"/>
  <c r="K54" i="62"/>
  <c r="Q53" i="62"/>
  <c r="P53" i="62"/>
  <c r="O53" i="62"/>
  <c r="N53" i="62"/>
  <c r="M53" i="62"/>
  <c r="L53" i="62"/>
  <c r="K53" i="62"/>
  <c r="Q52" i="62"/>
  <c r="P52" i="62"/>
  <c r="O52" i="62"/>
  <c r="N52" i="62"/>
  <c r="M52" i="62"/>
  <c r="L52" i="62"/>
  <c r="K52" i="62"/>
  <c r="Q51" i="62"/>
  <c r="P51" i="62"/>
  <c r="O51" i="62"/>
  <c r="N51" i="62"/>
  <c r="M51" i="62"/>
  <c r="L51" i="62"/>
  <c r="K51" i="62"/>
  <c r="Q50" i="62"/>
  <c r="P50" i="62"/>
  <c r="O50" i="62"/>
  <c r="N50" i="62"/>
  <c r="M50" i="62"/>
  <c r="L50" i="62"/>
  <c r="K50" i="62"/>
  <c r="Q49" i="62"/>
  <c r="P49" i="62"/>
  <c r="O49" i="62"/>
  <c r="N49" i="62"/>
  <c r="M49" i="62"/>
  <c r="L49" i="62"/>
  <c r="K49" i="62"/>
  <c r="Q48" i="62"/>
  <c r="P48" i="62"/>
  <c r="O48" i="62"/>
  <c r="N48" i="62"/>
  <c r="M48" i="62"/>
  <c r="L48" i="62"/>
  <c r="K48" i="62"/>
  <c r="Q47" i="62"/>
  <c r="P47" i="62"/>
  <c r="O47" i="62"/>
  <c r="N47" i="62"/>
  <c r="M47" i="62"/>
  <c r="L47" i="62"/>
  <c r="K47" i="62"/>
  <c r="Q46" i="62"/>
  <c r="P46" i="62"/>
  <c r="O46" i="62"/>
  <c r="N46" i="62"/>
  <c r="M46" i="62"/>
  <c r="L46" i="62"/>
  <c r="K46" i="62"/>
  <c r="Q45" i="62"/>
  <c r="P45" i="62"/>
  <c r="O45" i="62"/>
  <c r="N45" i="62"/>
  <c r="M45" i="62"/>
  <c r="L45" i="62"/>
  <c r="K45" i="62"/>
  <c r="Q44" i="62"/>
  <c r="P44" i="62"/>
  <c r="O44" i="62"/>
  <c r="N44" i="62"/>
  <c r="M44" i="62"/>
  <c r="L44" i="62"/>
  <c r="K44" i="62"/>
  <c r="Q43" i="62"/>
  <c r="P43" i="62"/>
  <c r="O43" i="62"/>
  <c r="N43" i="62"/>
  <c r="M43" i="62"/>
  <c r="L43" i="62"/>
  <c r="K43" i="62"/>
  <c r="Q42" i="62"/>
  <c r="P42" i="62"/>
  <c r="O42" i="62"/>
  <c r="N42" i="62"/>
  <c r="M42" i="62"/>
  <c r="L42" i="62"/>
  <c r="K42" i="62"/>
  <c r="Q41" i="62"/>
  <c r="P41" i="62"/>
  <c r="O41" i="62"/>
  <c r="N41" i="62"/>
  <c r="M41" i="62"/>
  <c r="L41" i="62"/>
  <c r="K41" i="62"/>
  <c r="Q40" i="62"/>
  <c r="P40" i="62"/>
  <c r="O40" i="62"/>
  <c r="N40" i="62"/>
  <c r="M40" i="62"/>
  <c r="L40" i="62"/>
  <c r="K40" i="62"/>
  <c r="Q39" i="62"/>
  <c r="P39" i="62"/>
  <c r="O39" i="62"/>
  <c r="N39" i="62"/>
  <c r="M39" i="62"/>
  <c r="L39" i="62"/>
  <c r="K39" i="62"/>
  <c r="Q38" i="62"/>
  <c r="P38" i="62"/>
  <c r="O38" i="62"/>
  <c r="N38" i="62"/>
  <c r="M38" i="62"/>
  <c r="L38" i="62"/>
  <c r="K38" i="62"/>
  <c r="Q37" i="62"/>
  <c r="P37" i="62"/>
  <c r="O37" i="62"/>
  <c r="N37" i="62"/>
  <c r="M37" i="62"/>
  <c r="L37" i="62"/>
  <c r="K37" i="62"/>
  <c r="Q36" i="62"/>
  <c r="P36" i="62"/>
  <c r="O36" i="62"/>
  <c r="N36" i="62"/>
  <c r="M36" i="62"/>
  <c r="L36" i="62"/>
  <c r="K36" i="62"/>
  <c r="Q35" i="62"/>
  <c r="P35" i="62"/>
  <c r="O35" i="62"/>
  <c r="N35" i="62"/>
  <c r="M35" i="62"/>
  <c r="L35" i="62"/>
  <c r="K35" i="62"/>
  <c r="Q34" i="62"/>
  <c r="P34" i="62"/>
  <c r="O34" i="62"/>
  <c r="N34" i="62"/>
  <c r="M34" i="62"/>
  <c r="L34" i="62"/>
  <c r="K34" i="62"/>
  <c r="Q33" i="62"/>
  <c r="P33" i="62"/>
  <c r="O33" i="62"/>
  <c r="N33" i="62"/>
  <c r="M33" i="62"/>
  <c r="L33" i="62"/>
  <c r="K33" i="62"/>
  <c r="Q32" i="62"/>
  <c r="P32" i="62"/>
  <c r="O32" i="62"/>
  <c r="N32" i="62"/>
  <c r="M32" i="62"/>
  <c r="L32" i="62"/>
  <c r="K32" i="62"/>
  <c r="Q31" i="62"/>
  <c r="P31" i="62"/>
  <c r="O31" i="62"/>
  <c r="N31" i="62"/>
  <c r="M31" i="62"/>
  <c r="L31" i="62"/>
  <c r="K31" i="62"/>
  <c r="Q30" i="62"/>
  <c r="P30" i="62"/>
  <c r="O30" i="62"/>
  <c r="N30" i="62"/>
  <c r="M30" i="62"/>
  <c r="L30" i="62"/>
  <c r="K30" i="62"/>
  <c r="Q29" i="62"/>
  <c r="P29" i="62"/>
  <c r="O29" i="62"/>
  <c r="N29" i="62"/>
  <c r="M29" i="62"/>
  <c r="L29" i="62"/>
  <c r="K29" i="62"/>
  <c r="Q28" i="62"/>
  <c r="P28" i="62"/>
  <c r="O28" i="62"/>
  <c r="N28" i="62"/>
  <c r="M28" i="62"/>
  <c r="L28" i="62"/>
  <c r="K28" i="62"/>
  <c r="Q27" i="62"/>
  <c r="P27" i="62"/>
  <c r="O27" i="62"/>
  <c r="N27" i="62"/>
  <c r="M27" i="62"/>
  <c r="L27" i="62"/>
  <c r="K27" i="62"/>
  <c r="Q26" i="62"/>
  <c r="P26" i="62"/>
  <c r="O26" i="62"/>
  <c r="N26" i="62"/>
  <c r="M26" i="62"/>
  <c r="L26" i="62"/>
  <c r="K26" i="62"/>
  <c r="Q25" i="62"/>
  <c r="P25" i="62"/>
  <c r="O25" i="62"/>
  <c r="N25" i="62"/>
  <c r="M25" i="62"/>
  <c r="L25" i="62"/>
  <c r="K25" i="62"/>
  <c r="Q24" i="62"/>
  <c r="P24" i="62"/>
  <c r="O24" i="62"/>
  <c r="N24" i="62"/>
  <c r="M24" i="62"/>
  <c r="L24" i="62"/>
  <c r="K24" i="62"/>
  <c r="Q23" i="62"/>
  <c r="P23" i="62"/>
  <c r="O23" i="62"/>
  <c r="N23" i="62"/>
  <c r="M23" i="62"/>
  <c r="L23" i="62"/>
  <c r="K23" i="62"/>
  <c r="Q22" i="62"/>
  <c r="P22" i="62"/>
  <c r="O22" i="62"/>
  <c r="N22" i="62"/>
  <c r="M22" i="62"/>
  <c r="L22" i="62"/>
  <c r="K22" i="62"/>
  <c r="Q21" i="62"/>
  <c r="P21" i="62"/>
  <c r="O21" i="62"/>
  <c r="N21" i="62"/>
  <c r="M21" i="62"/>
  <c r="L21" i="62"/>
  <c r="K21" i="62"/>
  <c r="Q20" i="62"/>
  <c r="P20" i="62"/>
  <c r="O20" i="62"/>
  <c r="N20" i="62"/>
  <c r="M20" i="62"/>
  <c r="L20" i="62"/>
  <c r="K20" i="62"/>
  <c r="Q19" i="62"/>
  <c r="P19" i="62"/>
  <c r="O19" i="62"/>
  <c r="N19" i="62"/>
  <c r="M19" i="62"/>
  <c r="L19" i="62"/>
  <c r="K19" i="62"/>
  <c r="Q18" i="62"/>
  <c r="P18" i="62"/>
  <c r="O18" i="62"/>
  <c r="N18" i="62"/>
  <c r="M18" i="62"/>
  <c r="L18" i="62"/>
  <c r="K18" i="62"/>
  <c r="Q17" i="62"/>
  <c r="P17" i="62"/>
  <c r="O17" i="62"/>
  <c r="N17" i="62"/>
  <c r="M17" i="62"/>
  <c r="L17" i="62"/>
  <c r="K17" i="62"/>
  <c r="Q16" i="62"/>
  <c r="P16" i="62"/>
  <c r="O16" i="62"/>
  <c r="N16" i="62"/>
  <c r="M16" i="62"/>
  <c r="L16" i="62"/>
  <c r="K16" i="62"/>
  <c r="Q15" i="62"/>
  <c r="P15" i="62"/>
  <c r="O15" i="62"/>
  <c r="N15" i="62"/>
  <c r="M15" i="62"/>
  <c r="L15" i="62"/>
  <c r="K15" i="62"/>
  <c r="Q14" i="62"/>
  <c r="P14" i="62"/>
  <c r="O14" i="62"/>
  <c r="N14" i="62"/>
  <c r="M14" i="62"/>
  <c r="L14" i="62"/>
  <c r="K14" i="62"/>
  <c r="A2" i="40"/>
  <c r="Q203" i="40"/>
  <c r="P203" i="40"/>
  <c r="O203" i="40"/>
  <c r="N203" i="40"/>
  <c r="M203" i="40"/>
  <c r="L203" i="40"/>
  <c r="K203" i="40"/>
  <c r="Q202" i="40"/>
  <c r="P202" i="40"/>
  <c r="O202" i="40"/>
  <c r="N202" i="40"/>
  <c r="M202" i="40"/>
  <c r="L202" i="40"/>
  <c r="K202" i="40"/>
  <c r="Q201" i="40"/>
  <c r="P201" i="40"/>
  <c r="O201" i="40"/>
  <c r="N201" i="40"/>
  <c r="M201" i="40"/>
  <c r="L201" i="40"/>
  <c r="K201" i="40"/>
  <c r="Q200" i="40"/>
  <c r="P200" i="40"/>
  <c r="O200" i="40"/>
  <c r="N200" i="40"/>
  <c r="M200" i="40"/>
  <c r="L200" i="40"/>
  <c r="K200" i="40"/>
  <c r="Q199" i="40"/>
  <c r="P199" i="40"/>
  <c r="O199" i="40"/>
  <c r="N199" i="40"/>
  <c r="M199" i="40"/>
  <c r="L199" i="40"/>
  <c r="K199" i="40"/>
  <c r="Q198" i="40"/>
  <c r="P198" i="40"/>
  <c r="O198" i="40"/>
  <c r="N198" i="40"/>
  <c r="M198" i="40"/>
  <c r="L198" i="40"/>
  <c r="K198" i="40"/>
  <c r="Q197" i="40"/>
  <c r="P197" i="40"/>
  <c r="O197" i="40"/>
  <c r="N197" i="40"/>
  <c r="M197" i="40"/>
  <c r="L197" i="40"/>
  <c r="K197" i="40"/>
  <c r="Q196" i="40"/>
  <c r="P196" i="40"/>
  <c r="O196" i="40"/>
  <c r="N196" i="40"/>
  <c r="M196" i="40"/>
  <c r="L196" i="40"/>
  <c r="K196" i="40"/>
  <c r="Q195" i="40"/>
  <c r="P195" i="40"/>
  <c r="O195" i="40"/>
  <c r="N195" i="40"/>
  <c r="M195" i="40"/>
  <c r="L195" i="40"/>
  <c r="K195" i="40"/>
  <c r="Q194" i="40"/>
  <c r="P194" i="40"/>
  <c r="O194" i="40"/>
  <c r="N194" i="40"/>
  <c r="M194" i="40"/>
  <c r="L194" i="40"/>
  <c r="K194" i="40"/>
  <c r="Q193" i="40"/>
  <c r="P193" i="40"/>
  <c r="O193" i="40"/>
  <c r="N193" i="40"/>
  <c r="M193" i="40"/>
  <c r="L193" i="40"/>
  <c r="K193" i="40"/>
  <c r="Q192" i="40"/>
  <c r="P192" i="40"/>
  <c r="O192" i="40"/>
  <c r="N192" i="40"/>
  <c r="M192" i="40"/>
  <c r="L192" i="40"/>
  <c r="K192" i="40"/>
  <c r="Q191" i="40"/>
  <c r="P191" i="40"/>
  <c r="O191" i="40"/>
  <c r="N191" i="40"/>
  <c r="M191" i="40"/>
  <c r="L191" i="40"/>
  <c r="K191" i="40"/>
  <c r="Q190" i="40"/>
  <c r="P190" i="40"/>
  <c r="O190" i="40"/>
  <c r="N190" i="40"/>
  <c r="M190" i="40"/>
  <c r="L190" i="40"/>
  <c r="K190" i="40"/>
  <c r="Q189" i="40"/>
  <c r="P189" i="40"/>
  <c r="O189" i="40"/>
  <c r="N189" i="40"/>
  <c r="M189" i="40"/>
  <c r="L189" i="40"/>
  <c r="K189" i="40"/>
  <c r="Q188" i="40"/>
  <c r="P188" i="40"/>
  <c r="O188" i="40"/>
  <c r="N188" i="40"/>
  <c r="M188" i="40"/>
  <c r="L188" i="40"/>
  <c r="K188" i="40"/>
  <c r="Q187" i="40"/>
  <c r="P187" i="40"/>
  <c r="O187" i="40"/>
  <c r="N187" i="40"/>
  <c r="M187" i="40"/>
  <c r="L187" i="40"/>
  <c r="K187" i="40"/>
  <c r="Q186" i="40"/>
  <c r="P186" i="40"/>
  <c r="O186" i="40"/>
  <c r="N186" i="40"/>
  <c r="M186" i="40"/>
  <c r="L186" i="40"/>
  <c r="K186" i="40"/>
  <c r="Q185" i="40"/>
  <c r="P185" i="40"/>
  <c r="O185" i="40"/>
  <c r="N185" i="40"/>
  <c r="M185" i="40"/>
  <c r="L185" i="40"/>
  <c r="K185" i="40"/>
  <c r="Q184" i="40"/>
  <c r="P184" i="40"/>
  <c r="O184" i="40"/>
  <c r="N184" i="40"/>
  <c r="M184" i="40"/>
  <c r="L184" i="40"/>
  <c r="K184" i="40"/>
  <c r="Q183" i="40"/>
  <c r="P183" i="40"/>
  <c r="O183" i="40"/>
  <c r="N183" i="40"/>
  <c r="M183" i="40"/>
  <c r="L183" i="40"/>
  <c r="K183" i="40"/>
  <c r="Q182" i="40"/>
  <c r="P182" i="40"/>
  <c r="O182" i="40"/>
  <c r="N182" i="40"/>
  <c r="M182" i="40"/>
  <c r="L182" i="40"/>
  <c r="K182" i="40"/>
  <c r="Q181" i="40"/>
  <c r="P181" i="40"/>
  <c r="O181" i="40"/>
  <c r="N181" i="40"/>
  <c r="M181" i="40"/>
  <c r="L181" i="40"/>
  <c r="K181" i="40"/>
  <c r="Q180" i="40"/>
  <c r="P180" i="40"/>
  <c r="O180" i="40"/>
  <c r="N180" i="40"/>
  <c r="M180" i="40"/>
  <c r="L180" i="40"/>
  <c r="K180" i="40"/>
  <c r="Q179" i="40"/>
  <c r="P179" i="40"/>
  <c r="O179" i="40"/>
  <c r="N179" i="40"/>
  <c r="M179" i="40"/>
  <c r="L179" i="40"/>
  <c r="K179" i="40"/>
  <c r="Q178" i="40"/>
  <c r="P178" i="40"/>
  <c r="O178" i="40"/>
  <c r="N178" i="40"/>
  <c r="M178" i="40"/>
  <c r="L178" i="40"/>
  <c r="K178" i="40"/>
  <c r="Q177" i="40"/>
  <c r="P177" i="40"/>
  <c r="O177" i="40"/>
  <c r="N177" i="40"/>
  <c r="M177" i="40"/>
  <c r="L177" i="40"/>
  <c r="K177" i="40"/>
  <c r="Q176" i="40"/>
  <c r="P176" i="40"/>
  <c r="O176" i="40"/>
  <c r="N176" i="40"/>
  <c r="M176" i="40"/>
  <c r="L176" i="40"/>
  <c r="K176" i="40"/>
  <c r="Q175" i="40"/>
  <c r="P175" i="40"/>
  <c r="O175" i="40"/>
  <c r="N175" i="40"/>
  <c r="M175" i="40"/>
  <c r="L175" i="40"/>
  <c r="K175" i="40"/>
  <c r="Q174" i="40"/>
  <c r="P174" i="40"/>
  <c r="O174" i="40"/>
  <c r="N174" i="40"/>
  <c r="M174" i="40"/>
  <c r="L174" i="40"/>
  <c r="K174" i="40"/>
  <c r="Q173" i="40"/>
  <c r="P173" i="40"/>
  <c r="O173" i="40"/>
  <c r="N173" i="40"/>
  <c r="M173" i="40"/>
  <c r="L173" i="40"/>
  <c r="K173" i="40"/>
  <c r="Q172" i="40"/>
  <c r="P172" i="40"/>
  <c r="O172" i="40"/>
  <c r="N172" i="40"/>
  <c r="M172" i="40"/>
  <c r="L172" i="40"/>
  <c r="K172" i="40"/>
  <c r="Q171" i="40"/>
  <c r="P171" i="40"/>
  <c r="O171" i="40"/>
  <c r="N171" i="40"/>
  <c r="M171" i="40"/>
  <c r="L171" i="40"/>
  <c r="K171" i="40"/>
  <c r="Q170" i="40"/>
  <c r="P170" i="40"/>
  <c r="O170" i="40"/>
  <c r="N170" i="40"/>
  <c r="M170" i="40"/>
  <c r="L170" i="40"/>
  <c r="K170" i="40"/>
  <c r="Q169" i="40"/>
  <c r="P169" i="40"/>
  <c r="O169" i="40"/>
  <c r="N169" i="40"/>
  <c r="M169" i="40"/>
  <c r="L169" i="40"/>
  <c r="K169" i="40"/>
  <c r="Q168" i="40"/>
  <c r="P168" i="40"/>
  <c r="O168" i="40"/>
  <c r="N168" i="40"/>
  <c r="M168" i="40"/>
  <c r="L168" i="40"/>
  <c r="K168" i="40"/>
  <c r="Q167" i="40"/>
  <c r="P167" i="40"/>
  <c r="O167" i="40"/>
  <c r="N167" i="40"/>
  <c r="M167" i="40"/>
  <c r="L167" i="40"/>
  <c r="K167" i="40"/>
  <c r="Q166" i="40"/>
  <c r="P166" i="40"/>
  <c r="O166" i="40"/>
  <c r="N166" i="40"/>
  <c r="M166" i="40"/>
  <c r="L166" i="40"/>
  <c r="K166" i="40"/>
  <c r="Q165" i="40"/>
  <c r="P165" i="40"/>
  <c r="O165" i="40"/>
  <c r="N165" i="40"/>
  <c r="M165" i="40"/>
  <c r="L165" i="40"/>
  <c r="K165" i="40"/>
  <c r="Q164" i="40"/>
  <c r="P164" i="40"/>
  <c r="O164" i="40"/>
  <c r="N164" i="40"/>
  <c r="M164" i="40"/>
  <c r="L164" i="40"/>
  <c r="K164" i="40"/>
  <c r="Q163" i="40"/>
  <c r="P163" i="40"/>
  <c r="O163" i="40"/>
  <c r="N163" i="40"/>
  <c r="M163" i="40"/>
  <c r="L163" i="40"/>
  <c r="K163" i="40"/>
  <c r="Q162" i="40"/>
  <c r="P162" i="40"/>
  <c r="O162" i="40"/>
  <c r="N162" i="40"/>
  <c r="M162" i="40"/>
  <c r="L162" i="40"/>
  <c r="K162" i="40"/>
  <c r="Q161" i="40"/>
  <c r="P161" i="40"/>
  <c r="O161" i="40"/>
  <c r="N161" i="40"/>
  <c r="M161" i="40"/>
  <c r="L161" i="40"/>
  <c r="K161" i="40"/>
  <c r="Q160" i="40"/>
  <c r="P160" i="40"/>
  <c r="O160" i="40"/>
  <c r="N160" i="40"/>
  <c r="M160" i="40"/>
  <c r="L160" i="40"/>
  <c r="K160" i="40"/>
  <c r="Q159" i="40"/>
  <c r="P159" i="40"/>
  <c r="O159" i="40"/>
  <c r="N159" i="40"/>
  <c r="M159" i="40"/>
  <c r="L159" i="40"/>
  <c r="K159" i="40"/>
  <c r="Q158" i="40"/>
  <c r="P158" i="40"/>
  <c r="O158" i="40"/>
  <c r="N158" i="40"/>
  <c r="M158" i="40"/>
  <c r="L158" i="40"/>
  <c r="K158" i="40"/>
  <c r="Q157" i="40"/>
  <c r="P157" i="40"/>
  <c r="O157" i="40"/>
  <c r="N157" i="40"/>
  <c r="M157" i="40"/>
  <c r="L157" i="40"/>
  <c r="K157" i="40"/>
  <c r="Q156" i="40"/>
  <c r="P156" i="40"/>
  <c r="O156" i="40"/>
  <c r="N156" i="40"/>
  <c r="M156" i="40"/>
  <c r="L156" i="40"/>
  <c r="K156" i="40"/>
  <c r="Q155" i="40"/>
  <c r="P155" i="40"/>
  <c r="O155" i="40"/>
  <c r="N155" i="40"/>
  <c r="M155" i="40"/>
  <c r="L155" i="40"/>
  <c r="K155" i="40"/>
  <c r="Q154" i="40"/>
  <c r="P154" i="40"/>
  <c r="O154" i="40"/>
  <c r="N154" i="40"/>
  <c r="M154" i="40"/>
  <c r="L154" i="40"/>
  <c r="K154" i="40"/>
  <c r="Q153" i="40"/>
  <c r="P153" i="40"/>
  <c r="O153" i="40"/>
  <c r="N153" i="40"/>
  <c r="M153" i="40"/>
  <c r="L153" i="40"/>
  <c r="K153" i="40"/>
  <c r="Q152" i="40"/>
  <c r="P152" i="40"/>
  <c r="O152" i="40"/>
  <c r="N152" i="40"/>
  <c r="M152" i="40"/>
  <c r="L152" i="40"/>
  <c r="K152" i="40"/>
  <c r="Q151" i="40"/>
  <c r="P151" i="40"/>
  <c r="O151" i="40"/>
  <c r="N151" i="40"/>
  <c r="M151" i="40"/>
  <c r="L151" i="40"/>
  <c r="K151" i="40"/>
  <c r="Q150" i="40"/>
  <c r="P150" i="40"/>
  <c r="O150" i="40"/>
  <c r="N150" i="40"/>
  <c r="M150" i="40"/>
  <c r="L150" i="40"/>
  <c r="K150" i="40"/>
  <c r="Q149" i="40"/>
  <c r="P149" i="40"/>
  <c r="O149" i="40"/>
  <c r="N149" i="40"/>
  <c r="M149" i="40"/>
  <c r="L149" i="40"/>
  <c r="K149" i="40"/>
  <c r="Q148" i="40"/>
  <c r="P148" i="40"/>
  <c r="O148" i="40"/>
  <c r="N148" i="40"/>
  <c r="M148" i="40"/>
  <c r="L148" i="40"/>
  <c r="K148" i="40"/>
  <c r="Q147" i="40"/>
  <c r="P147" i="40"/>
  <c r="O147" i="40"/>
  <c r="N147" i="40"/>
  <c r="M147" i="40"/>
  <c r="L147" i="40"/>
  <c r="K147" i="40"/>
  <c r="Q146" i="40"/>
  <c r="P146" i="40"/>
  <c r="O146" i="40"/>
  <c r="N146" i="40"/>
  <c r="M146" i="40"/>
  <c r="L146" i="40"/>
  <c r="K146" i="40"/>
  <c r="Q145" i="40"/>
  <c r="P145" i="40"/>
  <c r="O145" i="40"/>
  <c r="N145" i="40"/>
  <c r="M145" i="40"/>
  <c r="L145" i="40"/>
  <c r="K145" i="40"/>
  <c r="Q144" i="40"/>
  <c r="P144" i="40"/>
  <c r="O144" i="40"/>
  <c r="N144" i="40"/>
  <c r="M144" i="40"/>
  <c r="L144" i="40"/>
  <c r="K144" i="40"/>
  <c r="Q143" i="40"/>
  <c r="P143" i="40"/>
  <c r="O143" i="40"/>
  <c r="N143" i="40"/>
  <c r="M143" i="40"/>
  <c r="L143" i="40"/>
  <c r="K143" i="40"/>
  <c r="Q142" i="40"/>
  <c r="P142" i="40"/>
  <c r="O142" i="40"/>
  <c r="N142" i="40"/>
  <c r="M142" i="40"/>
  <c r="L142" i="40"/>
  <c r="K142" i="40"/>
  <c r="Q141" i="40"/>
  <c r="P141" i="40"/>
  <c r="O141" i="40"/>
  <c r="N141" i="40"/>
  <c r="M141" i="40"/>
  <c r="L141" i="40"/>
  <c r="K141" i="40"/>
  <c r="Q140" i="40"/>
  <c r="P140" i="40"/>
  <c r="O140" i="40"/>
  <c r="N140" i="40"/>
  <c r="M140" i="40"/>
  <c r="L140" i="40"/>
  <c r="K140" i="40"/>
  <c r="Q139" i="40"/>
  <c r="P139" i="40"/>
  <c r="O139" i="40"/>
  <c r="N139" i="40"/>
  <c r="M139" i="40"/>
  <c r="L139" i="40"/>
  <c r="K139" i="40"/>
  <c r="Q138" i="40"/>
  <c r="P138" i="40"/>
  <c r="O138" i="40"/>
  <c r="N138" i="40"/>
  <c r="M138" i="40"/>
  <c r="L138" i="40"/>
  <c r="K138" i="40"/>
  <c r="Q137" i="40"/>
  <c r="P137" i="40"/>
  <c r="O137" i="40"/>
  <c r="N137" i="40"/>
  <c r="M137" i="40"/>
  <c r="L137" i="40"/>
  <c r="K137" i="40"/>
  <c r="Q136" i="40"/>
  <c r="P136" i="40"/>
  <c r="O136" i="40"/>
  <c r="N136" i="40"/>
  <c r="M136" i="40"/>
  <c r="L136" i="40"/>
  <c r="K136" i="40"/>
  <c r="Q135" i="40"/>
  <c r="P135" i="40"/>
  <c r="O135" i="40"/>
  <c r="N135" i="40"/>
  <c r="M135" i="40"/>
  <c r="L135" i="40"/>
  <c r="K135" i="40"/>
  <c r="Q134" i="40"/>
  <c r="P134" i="40"/>
  <c r="O134" i="40"/>
  <c r="N134" i="40"/>
  <c r="M134" i="40"/>
  <c r="L134" i="40"/>
  <c r="K134" i="40"/>
  <c r="Q133" i="40"/>
  <c r="P133" i="40"/>
  <c r="O133" i="40"/>
  <c r="N133" i="40"/>
  <c r="M133" i="40"/>
  <c r="L133" i="40"/>
  <c r="K133" i="40"/>
  <c r="Q132" i="40"/>
  <c r="P132" i="40"/>
  <c r="O132" i="40"/>
  <c r="N132" i="40"/>
  <c r="M132" i="40"/>
  <c r="L132" i="40"/>
  <c r="K132" i="40"/>
  <c r="Q131" i="40"/>
  <c r="P131" i="40"/>
  <c r="O131" i="40"/>
  <c r="N131" i="40"/>
  <c r="M131" i="40"/>
  <c r="L131" i="40"/>
  <c r="K131" i="40"/>
  <c r="Q130" i="40"/>
  <c r="P130" i="40"/>
  <c r="O130" i="40"/>
  <c r="N130" i="40"/>
  <c r="M130" i="40"/>
  <c r="L130" i="40"/>
  <c r="K130" i="40"/>
  <c r="Q129" i="40"/>
  <c r="P129" i="40"/>
  <c r="O129" i="40"/>
  <c r="N129" i="40"/>
  <c r="M129" i="40"/>
  <c r="L129" i="40"/>
  <c r="K129" i="40"/>
  <c r="Q128" i="40"/>
  <c r="P128" i="40"/>
  <c r="O128" i="40"/>
  <c r="N128" i="40"/>
  <c r="M128" i="40"/>
  <c r="L128" i="40"/>
  <c r="K128" i="40"/>
  <c r="Q127" i="40"/>
  <c r="P127" i="40"/>
  <c r="O127" i="40"/>
  <c r="N127" i="40"/>
  <c r="M127" i="40"/>
  <c r="L127" i="40"/>
  <c r="K127" i="40"/>
  <c r="Q126" i="40"/>
  <c r="P126" i="40"/>
  <c r="O126" i="40"/>
  <c r="N126" i="40"/>
  <c r="M126" i="40"/>
  <c r="L126" i="40"/>
  <c r="K126" i="40"/>
  <c r="Q125" i="40"/>
  <c r="P125" i="40"/>
  <c r="O125" i="40"/>
  <c r="N125" i="40"/>
  <c r="M125" i="40"/>
  <c r="L125" i="40"/>
  <c r="K125" i="40"/>
  <c r="Q124" i="40"/>
  <c r="P124" i="40"/>
  <c r="O124" i="40"/>
  <c r="N124" i="40"/>
  <c r="M124" i="40"/>
  <c r="L124" i="40"/>
  <c r="K124" i="40"/>
  <c r="Q123" i="40"/>
  <c r="P123" i="40"/>
  <c r="O123" i="40"/>
  <c r="N123" i="40"/>
  <c r="M123" i="40"/>
  <c r="L123" i="40"/>
  <c r="K123" i="40"/>
  <c r="Q122" i="40"/>
  <c r="P122" i="40"/>
  <c r="O122" i="40"/>
  <c r="N122" i="40"/>
  <c r="M122" i="40"/>
  <c r="L122" i="40"/>
  <c r="K122" i="40"/>
  <c r="Q121" i="40"/>
  <c r="P121" i="40"/>
  <c r="O121" i="40"/>
  <c r="N121" i="40"/>
  <c r="M121" i="40"/>
  <c r="L121" i="40"/>
  <c r="K121" i="40"/>
  <c r="Q120" i="40"/>
  <c r="P120" i="40"/>
  <c r="O120" i="40"/>
  <c r="N120" i="40"/>
  <c r="M120" i="40"/>
  <c r="L120" i="40"/>
  <c r="K120" i="40"/>
  <c r="Q119" i="40"/>
  <c r="P119" i="40"/>
  <c r="O119" i="40"/>
  <c r="N119" i="40"/>
  <c r="M119" i="40"/>
  <c r="L119" i="40"/>
  <c r="K119" i="40"/>
  <c r="Q118" i="40"/>
  <c r="P118" i="40"/>
  <c r="O118" i="40"/>
  <c r="N118" i="40"/>
  <c r="M118" i="40"/>
  <c r="L118" i="40"/>
  <c r="K118" i="40"/>
  <c r="Q117" i="40"/>
  <c r="P117" i="40"/>
  <c r="O117" i="40"/>
  <c r="N117" i="40"/>
  <c r="M117" i="40"/>
  <c r="L117" i="40"/>
  <c r="K117" i="40"/>
  <c r="Q116" i="40"/>
  <c r="P116" i="40"/>
  <c r="O116" i="40"/>
  <c r="N116" i="40"/>
  <c r="M116" i="40"/>
  <c r="L116" i="40"/>
  <c r="K116" i="40"/>
  <c r="Q115" i="40"/>
  <c r="P115" i="40"/>
  <c r="O115" i="40"/>
  <c r="N115" i="40"/>
  <c r="M115" i="40"/>
  <c r="L115" i="40"/>
  <c r="K115" i="40"/>
  <c r="Q114" i="40"/>
  <c r="P114" i="40"/>
  <c r="O114" i="40"/>
  <c r="N114" i="40"/>
  <c r="M114" i="40"/>
  <c r="L114" i="40"/>
  <c r="K114" i="40"/>
  <c r="Q113" i="40"/>
  <c r="P113" i="40"/>
  <c r="O113" i="40"/>
  <c r="N113" i="40"/>
  <c r="M113" i="40"/>
  <c r="L113" i="40"/>
  <c r="K113" i="40"/>
  <c r="Q112" i="40"/>
  <c r="P112" i="40"/>
  <c r="O112" i="40"/>
  <c r="N112" i="40"/>
  <c r="M112" i="40"/>
  <c r="L112" i="40"/>
  <c r="K112" i="40"/>
  <c r="Q111" i="40"/>
  <c r="P111" i="40"/>
  <c r="O111" i="40"/>
  <c r="N111" i="40"/>
  <c r="M111" i="40"/>
  <c r="L111" i="40"/>
  <c r="K111" i="40"/>
  <c r="Q110" i="40"/>
  <c r="P110" i="40"/>
  <c r="O110" i="40"/>
  <c r="N110" i="40"/>
  <c r="M110" i="40"/>
  <c r="L110" i="40"/>
  <c r="K110" i="40"/>
  <c r="Q109" i="40"/>
  <c r="P109" i="40"/>
  <c r="O109" i="40"/>
  <c r="N109" i="40"/>
  <c r="M109" i="40"/>
  <c r="L109" i="40"/>
  <c r="K109" i="40"/>
  <c r="Q108" i="40"/>
  <c r="P108" i="40"/>
  <c r="O108" i="40"/>
  <c r="N108" i="40"/>
  <c r="M108" i="40"/>
  <c r="L108" i="40"/>
  <c r="K108" i="40"/>
  <c r="Q107" i="40"/>
  <c r="P107" i="40"/>
  <c r="O107" i="40"/>
  <c r="N107" i="40"/>
  <c r="M107" i="40"/>
  <c r="L107" i="40"/>
  <c r="K107" i="40"/>
  <c r="Q106" i="40"/>
  <c r="P106" i="40"/>
  <c r="O106" i="40"/>
  <c r="N106" i="40"/>
  <c r="M106" i="40"/>
  <c r="L106" i="40"/>
  <c r="K106" i="40"/>
  <c r="Q105" i="40"/>
  <c r="P105" i="40"/>
  <c r="O105" i="40"/>
  <c r="N105" i="40"/>
  <c r="M105" i="40"/>
  <c r="L105" i="40"/>
  <c r="K105" i="40"/>
  <c r="Q104" i="40"/>
  <c r="P104" i="40"/>
  <c r="O104" i="40"/>
  <c r="N104" i="40"/>
  <c r="M104" i="40"/>
  <c r="L104" i="40"/>
  <c r="K104" i="40"/>
  <c r="Q103" i="40"/>
  <c r="P103" i="40"/>
  <c r="O103" i="40"/>
  <c r="N103" i="40"/>
  <c r="M103" i="40"/>
  <c r="L103" i="40"/>
  <c r="K103" i="40"/>
  <c r="Q102" i="40"/>
  <c r="P102" i="40"/>
  <c r="O102" i="40"/>
  <c r="N102" i="40"/>
  <c r="M102" i="40"/>
  <c r="L102" i="40"/>
  <c r="K102" i="40"/>
  <c r="Q101" i="40"/>
  <c r="P101" i="40"/>
  <c r="O101" i="40"/>
  <c r="N101" i="40"/>
  <c r="M101" i="40"/>
  <c r="L101" i="40"/>
  <c r="K101" i="40"/>
  <c r="Q100" i="40"/>
  <c r="P100" i="40"/>
  <c r="O100" i="40"/>
  <c r="N100" i="40"/>
  <c r="M100" i="40"/>
  <c r="L100" i="40"/>
  <c r="K100" i="40"/>
  <c r="Q99" i="40"/>
  <c r="P99" i="40"/>
  <c r="O99" i="40"/>
  <c r="N99" i="40"/>
  <c r="M99" i="40"/>
  <c r="L99" i="40"/>
  <c r="K99" i="40"/>
  <c r="Q98" i="40"/>
  <c r="P98" i="40"/>
  <c r="O98" i="40"/>
  <c r="N98" i="40"/>
  <c r="M98" i="40"/>
  <c r="L98" i="40"/>
  <c r="K98" i="40"/>
  <c r="Q97" i="40"/>
  <c r="P97" i="40"/>
  <c r="O97" i="40"/>
  <c r="N97" i="40"/>
  <c r="M97" i="40"/>
  <c r="L97" i="40"/>
  <c r="K97" i="40"/>
  <c r="Q96" i="40"/>
  <c r="P96" i="40"/>
  <c r="O96" i="40"/>
  <c r="N96" i="40"/>
  <c r="M96" i="40"/>
  <c r="L96" i="40"/>
  <c r="K96" i="40"/>
  <c r="Q95" i="40"/>
  <c r="P95" i="40"/>
  <c r="O95" i="40"/>
  <c r="N95" i="40"/>
  <c r="M95" i="40"/>
  <c r="L95" i="40"/>
  <c r="K95" i="40"/>
  <c r="Q94" i="40"/>
  <c r="P94" i="40"/>
  <c r="O94" i="40"/>
  <c r="N94" i="40"/>
  <c r="M94" i="40"/>
  <c r="L94" i="40"/>
  <c r="K94" i="40"/>
  <c r="Q93" i="40"/>
  <c r="P93" i="40"/>
  <c r="O93" i="40"/>
  <c r="N93" i="40"/>
  <c r="M93" i="40"/>
  <c r="L93" i="40"/>
  <c r="K93" i="40"/>
  <c r="Q92" i="40"/>
  <c r="P92" i="40"/>
  <c r="O92" i="40"/>
  <c r="N92" i="40"/>
  <c r="M92" i="40"/>
  <c r="L92" i="40"/>
  <c r="K92" i="40"/>
  <c r="Q91" i="40"/>
  <c r="P91" i="40"/>
  <c r="O91" i="40"/>
  <c r="N91" i="40"/>
  <c r="M91" i="40"/>
  <c r="L91" i="40"/>
  <c r="K91" i="40"/>
  <c r="Q90" i="40"/>
  <c r="P90" i="40"/>
  <c r="O90" i="40"/>
  <c r="N90" i="40"/>
  <c r="M90" i="40"/>
  <c r="L90" i="40"/>
  <c r="K90" i="40"/>
  <c r="Q89" i="40"/>
  <c r="P89" i="40"/>
  <c r="O89" i="40"/>
  <c r="N89" i="40"/>
  <c r="M89" i="40"/>
  <c r="L89" i="40"/>
  <c r="K89" i="40"/>
  <c r="Q88" i="40"/>
  <c r="P88" i="40"/>
  <c r="O88" i="40"/>
  <c r="N88" i="40"/>
  <c r="M88" i="40"/>
  <c r="L88" i="40"/>
  <c r="K88" i="40"/>
  <c r="Q87" i="40"/>
  <c r="P87" i="40"/>
  <c r="O87" i="40"/>
  <c r="N87" i="40"/>
  <c r="M87" i="40"/>
  <c r="L87" i="40"/>
  <c r="K87" i="40"/>
  <c r="Q86" i="40"/>
  <c r="P86" i="40"/>
  <c r="O86" i="40"/>
  <c r="N86" i="40"/>
  <c r="M86" i="40"/>
  <c r="L86" i="40"/>
  <c r="K86" i="40"/>
  <c r="Q85" i="40"/>
  <c r="P85" i="40"/>
  <c r="O85" i="40"/>
  <c r="N85" i="40"/>
  <c r="M85" i="40"/>
  <c r="L85" i="40"/>
  <c r="K85" i="40"/>
  <c r="Q84" i="40"/>
  <c r="P84" i="40"/>
  <c r="O84" i="40"/>
  <c r="N84" i="40"/>
  <c r="M84" i="40"/>
  <c r="L84" i="40"/>
  <c r="K84" i="40"/>
  <c r="Q83" i="40"/>
  <c r="P83" i="40"/>
  <c r="O83" i="40"/>
  <c r="N83" i="40"/>
  <c r="M83" i="40"/>
  <c r="L83" i="40"/>
  <c r="K83" i="40"/>
  <c r="Q82" i="40"/>
  <c r="P82" i="40"/>
  <c r="O82" i="40"/>
  <c r="N82" i="40"/>
  <c r="M82" i="40"/>
  <c r="L82" i="40"/>
  <c r="K82" i="40"/>
  <c r="Q81" i="40"/>
  <c r="P81" i="40"/>
  <c r="O81" i="40"/>
  <c r="N81" i="40"/>
  <c r="M81" i="40"/>
  <c r="L81" i="40"/>
  <c r="K81" i="40"/>
  <c r="Q80" i="40"/>
  <c r="P80" i="40"/>
  <c r="O80" i="40"/>
  <c r="N80" i="40"/>
  <c r="M80" i="40"/>
  <c r="L80" i="40"/>
  <c r="K80" i="40"/>
  <c r="Q79" i="40"/>
  <c r="P79" i="40"/>
  <c r="O79" i="40"/>
  <c r="N79" i="40"/>
  <c r="M79" i="40"/>
  <c r="L79" i="40"/>
  <c r="K79" i="40"/>
  <c r="Q78" i="40"/>
  <c r="P78" i="40"/>
  <c r="O78" i="40"/>
  <c r="N78" i="40"/>
  <c r="M78" i="40"/>
  <c r="L78" i="40"/>
  <c r="K78" i="40"/>
  <c r="Q77" i="40"/>
  <c r="P77" i="40"/>
  <c r="O77" i="40"/>
  <c r="N77" i="40"/>
  <c r="M77" i="40"/>
  <c r="L77" i="40"/>
  <c r="K77" i="40"/>
  <c r="Q76" i="40"/>
  <c r="P76" i="40"/>
  <c r="O76" i="40"/>
  <c r="N76" i="40"/>
  <c r="M76" i="40"/>
  <c r="L76" i="40"/>
  <c r="K76" i="40"/>
  <c r="Q75" i="40"/>
  <c r="P75" i="40"/>
  <c r="O75" i="40"/>
  <c r="N75" i="40"/>
  <c r="M75" i="40"/>
  <c r="L75" i="40"/>
  <c r="K75" i="40"/>
  <c r="Q74" i="40"/>
  <c r="P74" i="40"/>
  <c r="O74" i="40"/>
  <c r="N74" i="40"/>
  <c r="M74" i="40"/>
  <c r="L74" i="40"/>
  <c r="K74" i="40"/>
  <c r="Q73" i="40"/>
  <c r="P73" i="40"/>
  <c r="O73" i="40"/>
  <c r="N73" i="40"/>
  <c r="M73" i="40"/>
  <c r="L73" i="40"/>
  <c r="K73" i="40"/>
  <c r="Q72" i="40"/>
  <c r="P72" i="40"/>
  <c r="O72" i="40"/>
  <c r="N72" i="40"/>
  <c r="M72" i="40"/>
  <c r="L72" i="40"/>
  <c r="K72" i="40"/>
  <c r="Q71" i="40"/>
  <c r="P71" i="40"/>
  <c r="O71" i="40"/>
  <c r="N71" i="40"/>
  <c r="M71" i="40"/>
  <c r="L71" i="40"/>
  <c r="K71" i="40"/>
  <c r="Q70" i="40"/>
  <c r="P70" i="40"/>
  <c r="O70" i="40"/>
  <c r="N70" i="40"/>
  <c r="M70" i="40"/>
  <c r="L70" i="40"/>
  <c r="K70" i="40"/>
  <c r="Q69" i="40"/>
  <c r="P69" i="40"/>
  <c r="O69" i="40"/>
  <c r="N69" i="40"/>
  <c r="M69" i="40"/>
  <c r="L69" i="40"/>
  <c r="K69" i="40"/>
  <c r="Q68" i="40"/>
  <c r="P68" i="40"/>
  <c r="O68" i="40"/>
  <c r="N68" i="40"/>
  <c r="M68" i="40"/>
  <c r="L68" i="40"/>
  <c r="K68" i="40"/>
  <c r="Q67" i="40"/>
  <c r="P67" i="40"/>
  <c r="O67" i="40"/>
  <c r="N67" i="40"/>
  <c r="M67" i="40"/>
  <c r="L67" i="40"/>
  <c r="K67" i="40"/>
  <c r="Q66" i="40"/>
  <c r="P66" i="40"/>
  <c r="O66" i="40"/>
  <c r="N66" i="40"/>
  <c r="M66" i="40"/>
  <c r="L66" i="40"/>
  <c r="K66" i="40"/>
  <c r="Q65" i="40"/>
  <c r="P65" i="40"/>
  <c r="O65" i="40"/>
  <c r="N65" i="40"/>
  <c r="M65" i="40"/>
  <c r="L65" i="40"/>
  <c r="K65" i="40"/>
  <c r="Q64" i="40"/>
  <c r="P64" i="40"/>
  <c r="O64" i="40"/>
  <c r="N64" i="40"/>
  <c r="M64" i="40"/>
  <c r="L64" i="40"/>
  <c r="K64" i="40"/>
  <c r="Q63" i="40"/>
  <c r="P63" i="40"/>
  <c r="O63" i="40"/>
  <c r="N63" i="40"/>
  <c r="M63" i="40"/>
  <c r="L63" i="40"/>
  <c r="K63" i="40"/>
  <c r="Q62" i="40"/>
  <c r="P62" i="40"/>
  <c r="O62" i="40"/>
  <c r="N62" i="40"/>
  <c r="M62" i="40"/>
  <c r="L62" i="40"/>
  <c r="K62" i="40"/>
  <c r="Q61" i="40"/>
  <c r="P61" i="40"/>
  <c r="O61" i="40"/>
  <c r="N61" i="40"/>
  <c r="M61" i="40"/>
  <c r="L61" i="40"/>
  <c r="K61" i="40"/>
  <c r="Q60" i="40"/>
  <c r="P60" i="40"/>
  <c r="O60" i="40"/>
  <c r="N60" i="40"/>
  <c r="M60" i="40"/>
  <c r="L60" i="40"/>
  <c r="K60" i="40"/>
  <c r="Q59" i="40"/>
  <c r="P59" i="40"/>
  <c r="O59" i="40"/>
  <c r="N59" i="40"/>
  <c r="M59" i="40"/>
  <c r="L59" i="40"/>
  <c r="K59" i="40"/>
  <c r="Q58" i="40"/>
  <c r="P58" i="40"/>
  <c r="O58" i="40"/>
  <c r="N58" i="40"/>
  <c r="M58" i="40"/>
  <c r="L58" i="40"/>
  <c r="K58" i="40"/>
  <c r="Q57" i="40"/>
  <c r="P57" i="40"/>
  <c r="O57" i="40"/>
  <c r="N57" i="40"/>
  <c r="M57" i="40"/>
  <c r="L57" i="40"/>
  <c r="K57" i="40"/>
  <c r="Q56" i="40"/>
  <c r="P56" i="40"/>
  <c r="O56" i="40"/>
  <c r="N56" i="40"/>
  <c r="M56" i="40"/>
  <c r="L56" i="40"/>
  <c r="K56" i="40"/>
  <c r="Q55" i="40"/>
  <c r="P55" i="40"/>
  <c r="O55" i="40"/>
  <c r="N55" i="40"/>
  <c r="M55" i="40"/>
  <c r="L55" i="40"/>
  <c r="K55" i="40"/>
  <c r="Q54" i="40"/>
  <c r="P54" i="40"/>
  <c r="O54" i="40"/>
  <c r="N54" i="40"/>
  <c r="M54" i="40"/>
  <c r="L54" i="40"/>
  <c r="K54" i="40"/>
  <c r="Q53" i="40"/>
  <c r="P53" i="40"/>
  <c r="O53" i="40"/>
  <c r="N53" i="40"/>
  <c r="M53" i="40"/>
  <c r="L53" i="40"/>
  <c r="K53" i="40"/>
  <c r="Q52" i="40"/>
  <c r="P52" i="40"/>
  <c r="O52" i="40"/>
  <c r="N52" i="40"/>
  <c r="M52" i="40"/>
  <c r="L52" i="40"/>
  <c r="K52" i="40"/>
  <c r="Q51" i="40"/>
  <c r="P51" i="40"/>
  <c r="O51" i="40"/>
  <c r="N51" i="40"/>
  <c r="M51" i="40"/>
  <c r="L51" i="40"/>
  <c r="K51" i="40"/>
  <c r="Q50" i="40"/>
  <c r="P50" i="40"/>
  <c r="O50" i="40"/>
  <c r="N50" i="40"/>
  <c r="M50" i="40"/>
  <c r="L50" i="40"/>
  <c r="K50" i="40"/>
  <c r="Q49" i="40"/>
  <c r="P49" i="40"/>
  <c r="O49" i="40"/>
  <c r="N49" i="40"/>
  <c r="M49" i="40"/>
  <c r="L49" i="40"/>
  <c r="K49" i="40"/>
  <c r="Q48" i="40"/>
  <c r="P48" i="40"/>
  <c r="O48" i="40"/>
  <c r="N48" i="40"/>
  <c r="M48" i="40"/>
  <c r="L48" i="40"/>
  <c r="K48" i="40"/>
  <c r="Q47" i="40"/>
  <c r="P47" i="40"/>
  <c r="O47" i="40"/>
  <c r="N47" i="40"/>
  <c r="M47" i="40"/>
  <c r="L47" i="40"/>
  <c r="K47" i="40"/>
  <c r="Q46" i="40"/>
  <c r="P46" i="40"/>
  <c r="O46" i="40"/>
  <c r="N46" i="40"/>
  <c r="M46" i="40"/>
  <c r="L46" i="40"/>
  <c r="K46" i="40"/>
  <c r="Q45" i="40"/>
  <c r="P45" i="40"/>
  <c r="O45" i="40"/>
  <c r="N45" i="40"/>
  <c r="M45" i="40"/>
  <c r="L45" i="40"/>
  <c r="K45" i="40"/>
  <c r="Q44" i="40"/>
  <c r="P44" i="40"/>
  <c r="O44" i="40"/>
  <c r="N44" i="40"/>
  <c r="M44" i="40"/>
  <c r="L44" i="40"/>
  <c r="K44" i="40"/>
  <c r="Q43" i="40"/>
  <c r="P43" i="40"/>
  <c r="O43" i="40"/>
  <c r="N43" i="40"/>
  <c r="M43" i="40"/>
  <c r="L43" i="40"/>
  <c r="K43" i="40"/>
  <c r="Q42" i="40"/>
  <c r="P42" i="40"/>
  <c r="O42" i="40"/>
  <c r="N42" i="40"/>
  <c r="M42" i="40"/>
  <c r="L42" i="40"/>
  <c r="K42" i="40"/>
  <c r="Q41" i="40"/>
  <c r="P41" i="40"/>
  <c r="O41" i="40"/>
  <c r="N41" i="40"/>
  <c r="M41" i="40"/>
  <c r="L41" i="40"/>
  <c r="K41" i="40"/>
  <c r="Q40" i="40"/>
  <c r="P40" i="40"/>
  <c r="O40" i="40"/>
  <c r="N40" i="40"/>
  <c r="M40" i="40"/>
  <c r="L40" i="40"/>
  <c r="K40" i="40"/>
  <c r="Q39" i="40"/>
  <c r="P39" i="40"/>
  <c r="O39" i="40"/>
  <c r="N39" i="40"/>
  <c r="M39" i="40"/>
  <c r="L39" i="40"/>
  <c r="K39" i="40"/>
  <c r="Q38" i="40"/>
  <c r="P38" i="40"/>
  <c r="O38" i="40"/>
  <c r="N38" i="40"/>
  <c r="M38" i="40"/>
  <c r="L38" i="40"/>
  <c r="K38" i="40"/>
  <c r="Q37" i="40"/>
  <c r="P37" i="40"/>
  <c r="O37" i="40"/>
  <c r="N37" i="40"/>
  <c r="M37" i="40"/>
  <c r="L37" i="40"/>
  <c r="K37" i="40"/>
  <c r="Q36" i="40"/>
  <c r="P36" i="40"/>
  <c r="O36" i="40"/>
  <c r="N36" i="40"/>
  <c r="M36" i="40"/>
  <c r="L36" i="40"/>
  <c r="K36" i="40"/>
  <c r="Q35" i="40"/>
  <c r="P35" i="40"/>
  <c r="O35" i="40"/>
  <c r="N35" i="40"/>
  <c r="M35" i="40"/>
  <c r="L35" i="40"/>
  <c r="K35" i="40"/>
  <c r="Q34" i="40"/>
  <c r="P34" i="40"/>
  <c r="O34" i="40"/>
  <c r="N34" i="40"/>
  <c r="M34" i="40"/>
  <c r="L34" i="40"/>
  <c r="K34" i="40"/>
  <c r="Q33" i="40"/>
  <c r="P33" i="40"/>
  <c r="O33" i="40"/>
  <c r="N33" i="40"/>
  <c r="M33" i="40"/>
  <c r="L33" i="40"/>
  <c r="K33" i="40"/>
  <c r="Q32" i="40"/>
  <c r="P32" i="40"/>
  <c r="O32" i="40"/>
  <c r="N32" i="40"/>
  <c r="M32" i="40"/>
  <c r="L32" i="40"/>
  <c r="K32" i="40"/>
  <c r="Q31" i="40"/>
  <c r="P31" i="40"/>
  <c r="O31" i="40"/>
  <c r="N31" i="40"/>
  <c r="M31" i="40"/>
  <c r="L31" i="40"/>
  <c r="K31" i="40"/>
  <c r="Q30" i="40"/>
  <c r="P30" i="40"/>
  <c r="O30" i="40"/>
  <c r="N30" i="40"/>
  <c r="M30" i="40"/>
  <c r="L30" i="40"/>
  <c r="K30" i="40"/>
  <c r="Q29" i="40"/>
  <c r="P29" i="40"/>
  <c r="O29" i="40"/>
  <c r="N29" i="40"/>
  <c r="M29" i="40"/>
  <c r="L29" i="40"/>
  <c r="K29" i="40"/>
  <c r="Q28" i="40"/>
  <c r="P28" i="40"/>
  <c r="O28" i="40"/>
  <c r="N28" i="40"/>
  <c r="M28" i="40"/>
  <c r="L28" i="40"/>
  <c r="K28" i="40"/>
  <c r="Q27" i="40"/>
  <c r="P27" i="40"/>
  <c r="O27" i="40"/>
  <c r="N27" i="40"/>
  <c r="M27" i="40"/>
  <c r="L27" i="40"/>
  <c r="K27" i="40"/>
  <c r="Q26" i="40"/>
  <c r="P26" i="40"/>
  <c r="O26" i="40"/>
  <c r="N26" i="40"/>
  <c r="M26" i="40"/>
  <c r="L26" i="40"/>
  <c r="K26" i="40"/>
  <c r="Q25" i="40"/>
  <c r="P25" i="40"/>
  <c r="O25" i="40"/>
  <c r="N25" i="40"/>
  <c r="M25" i="40"/>
  <c r="L25" i="40"/>
  <c r="K25" i="40"/>
  <c r="Q24" i="40"/>
  <c r="P24" i="40"/>
  <c r="O24" i="40"/>
  <c r="N24" i="40"/>
  <c r="M24" i="40"/>
  <c r="L24" i="40"/>
  <c r="K24" i="40"/>
  <c r="Q23" i="40"/>
  <c r="P23" i="40"/>
  <c r="O23" i="40"/>
  <c r="N23" i="40"/>
  <c r="M23" i="40"/>
  <c r="L23" i="40"/>
  <c r="K23" i="40"/>
  <c r="Q22" i="40"/>
  <c r="P22" i="40"/>
  <c r="O22" i="40"/>
  <c r="N22" i="40"/>
  <c r="M22" i="40"/>
  <c r="L22" i="40"/>
  <c r="K22" i="40"/>
  <c r="Q21" i="40"/>
  <c r="P21" i="40"/>
  <c r="O21" i="40"/>
  <c r="N21" i="40"/>
  <c r="M21" i="40"/>
  <c r="L21" i="40"/>
  <c r="K21" i="40"/>
  <c r="Q20" i="40"/>
  <c r="P20" i="40"/>
  <c r="O20" i="40"/>
  <c r="N20" i="40"/>
  <c r="M20" i="40"/>
  <c r="L20" i="40"/>
  <c r="K20" i="40"/>
  <c r="Q19" i="40"/>
  <c r="P19" i="40"/>
  <c r="O19" i="40"/>
  <c r="N19" i="40"/>
  <c r="M19" i="40"/>
  <c r="L19" i="40"/>
  <c r="K19" i="40"/>
  <c r="Q18" i="40"/>
  <c r="P18" i="40"/>
  <c r="O18" i="40"/>
  <c r="N18" i="40"/>
  <c r="M18" i="40"/>
  <c r="L18" i="40"/>
  <c r="K18" i="40"/>
  <c r="Q17" i="40"/>
  <c r="P17" i="40"/>
  <c r="O17" i="40"/>
  <c r="N17" i="40"/>
  <c r="M17" i="40"/>
  <c r="L17" i="40"/>
  <c r="K17" i="40"/>
  <c r="Q16" i="40"/>
  <c r="P16" i="40"/>
  <c r="O16" i="40"/>
  <c r="N16" i="40"/>
  <c r="M16" i="40"/>
  <c r="L16" i="40"/>
  <c r="K16" i="40"/>
  <c r="Q15" i="40"/>
  <c r="P15" i="40"/>
  <c r="O15" i="40"/>
  <c r="N15" i="40"/>
  <c r="M15" i="40"/>
  <c r="L15" i="40"/>
  <c r="K15" i="40"/>
  <c r="Q14" i="40"/>
  <c r="P14" i="40"/>
  <c r="O14" i="40"/>
  <c r="N14" i="40"/>
  <c r="M14" i="40"/>
  <c r="L14" i="40"/>
  <c r="K14" i="40"/>
  <c r="A2" i="39"/>
  <c r="Q203" i="39"/>
  <c r="P203" i="39"/>
  <c r="O203" i="39"/>
  <c r="N203" i="39"/>
  <c r="M203" i="39"/>
  <c r="L203" i="39"/>
  <c r="K203" i="39"/>
  <c r="Q202" i="39"/>
  <c r="P202" i="39"/>
  <c r="O202" i="39"/>
  <c r="N202" i="39"/>
  <c r="M202" i="39"/>
  <c r="L202" i="39"/>
  <c r="K202" i="39"/>
  <c r="Q201" i="39"/>
  <c r="P201" i="39"/>
  <c r="O201" i="39"/>
  <c r="N201" i="39"/>
  <c r="M201" i="39"/>
  <c r="L201" i="39"/>
  <c r="K201" i="39"/>
  <c r="Q200" i="39"/>
  <c r="P200" i="39"/>
  <c r="O200" i="39"/>
  <c r="N200" i="39"/>
  <c r="M200" i="39"/>
  <c r="L200" i="39"/>
  <c r="K200" i="39"/>
  <c r="Q199" i="39"/>
  <c r="P199" i="39"/>
  <c r="O199" i="39"/>
  <c r="N199" i="39"/>
  <c r="M199" i="39"/>
  <c r="L199" i="39"/>
  <c r="K199" i="39"/>
  <c r="Q198" i="39"/>
  <c r="P198" i="39"/>
  <c r="O198" i="39"/>
  <c r="N198" i="39"/>
  <c r="M198" i="39"/>
  <c r="L198" i="39"/>
  <c r="K198" i="39"/>
  <c r="Q197" i="39"/>
  <c r="P197" i="39"/>
  <c r="O197" i="39"/>
  <c r="N197" i="39"/>
  <c r="M197" i="39"/>
  <c r="L197" i="39"/>
  <c r="K197" i="39"/>
  <c r="Q196" i="39"/>
  <c r="P196" i="39"/>
  <c r="O196" i="39"/>
  <c r="N196" i="39"/>
  <c r="M196" i="39"/>
  <c r="L196" i="39"/>
  <c r="K196" i="39"/>
  <c r="Q195" i="39"/>
  <c r="P195" i="39"/>
  <c r="O195" i="39"/>
  <c r="N195" i="39"/>
  <c r="M195" i="39"/>
  <c r="L195" i="39"/>
  <c r="K195" i="39"/>
  <c r="Q194" i="39"/>
  <c r="P194" i="39"/>
  <c r="O194" i="39"/>
  <c r="N194" i="39"/>
  <c r="M194" i="39"/>
  <c r="L194" i="39"/>
  <c r="K194" i="39"/>
  <c r="Q193" i="39"/>
  <c r="P193" i="39"/>
  <c r="O193" i="39"/>
  <c r="N193" i="39"/>
  <c r="M193" i="39"/>
  <c r="L193" i="39"/>
  <c r="K193" i="39"/>
  <c r="Q192" i="39"/>
  <c r="P192" i="39"/>
  <c r="O192" i="39"/>
  <c r="N192" i="39"/>
  <c r="M192" i="39"/>
  <c r="L192" i="39"/>
  <c r="K192" i="39"/>
  <c r="Q191" i="39"/>
  <c r="P191" i="39"/>
  <c r="O191" i="39"/>
  <c r="N191" i="39"/>
  <c r="M191" i="39"/>
  <c r="L191" i="39"/>
  <c r="K191" i="39"/>
  <c r="Q190" i="39"/>
  <c r="P190" i="39"/>
  <c r="O190" i="39"/>
  <c r="N190" i="39"/>
  <c r="M190" i="39"/>
  <c r="L190" i="39"/>
  <c r="K190" i="39"/>
  <c r="Q189" i="39"/>
  <c r="P189" i="39"/>
  <c r="O189" i="39"/>
  <c r="N189" i="39"/>
  <c r="M189" i="39"/>
  <c r="L189" i="39"/>
  <c r="K189" i="39"/>
  <c r="Q188" i="39"/>
  <c r="P188" i="39"/>
  <c r="O188" i="39"/>
  <c r="N188" i="39"/>
  <c r="M188" i="39"/>
  <c r="L188" i="39"/>
  <c r="K188" i="39"/>
  <c r="Q187" i="39"/>
  <c r="P187" i="39"/>
  <c r="O187" i="39"/>
  <c r="N187" i="39"/>
  <c r="M187" i="39"/>
  <c r="L187" i="39"/>
  <c r="K187" i="39"/>
  <c r="Q186" i="39"/>
  <c r="P186" i="39"/>
  <c r="O186" i="39"/>
  <c r="N186" i="39"/>
  <c r="M186" i="39"/>
  <c r="L186" i="39"/>
  <c r="K186" i="39"/>
  <c r="Q185" i="39"/>
  <c r="P185" i="39"/>
  <c r="O185" i="39"/>
  <c r="N185" i="39"/>
  <c r="M185" i="39"/>
  <c r="L185" i="39"/>
  <c r="K185" i="39"/>
  <c r="Q184" i="39"/>
  <c r="P184" i="39"/>
  <c r="O184" i="39"/>
  <c r="N184" i="39"/>
  <c r="M184" i="39"/>
  <c r="L184" i="39"/>
  <c r="K184" i="39"/>
  <c r="Q183" i="39"/>
  <c r="P183" i="39"/>
  <c r="O183" i="39"/>
  <c r="N183" i="39"/>
  <c r="M183" i="39"/>
  <c r="L183" i="39"/>
  <c r="K183" i="39"/>
  <c r="Q182" i="39"/>
  <c r="P182" i="39"/>
  <c r="O182" i="39"/>
  <c r="N182" i="39"/>
  <c r="M182" i="39"/>
  <c r="L182" i="39"/>
  <c r="K182" i="39"/>
  <c r="Q181" i="39"/>
  <c r="P181" i="39"/>
  <c r="O181" i="39"/>
  <c r="N181" i="39"/>
  <c r="M181" i="39"/>
  <c r="L181" i="39"/>
  <c r="K181" i="39"/>
  <c r="Q180" i="39"/>
  <c r="P180" i="39"/>
  <c r="O180" i="39"/>
  <c r="N180" i="39"/>
  <c r="M180" i="39"/>
  <c r="L180" i="39"/>
  <c r="K180" i="39"/>
  <c r="Q179" i="39"/>
  <c r="P179" i="39"/>
  <c r="O179" i="39"/>
  <c r="N179" i="39"/>
  <c r="M179" i="39"/>
  <c r="L179" i="39"/>
  <c r="K179" i="39"/>
  <c r="Q178" i="39"/>
  <c r="P178" i="39"/>
  <c r="O178" i="39"/>
  <c r="N178" i="39"/>
  <c r="M178" i="39"/>
  <c r="L178" i="39"/>
  <c r="K178" i="39"/>
  <c r="Q177" i="39"/>
  <c r="P177" i="39"/>
  <c r="O177" i="39"/>
  <c r="N177" i="39"/>
  <c r="M177" i="39"/>
  <c r="L177" i="39"/>
  <c r="K177" i="39"/>
  <c r="Q176" i="39"/>
  <c r="P176" i="39"/>
  <c r="O176" i="39"/>
  <c r="N176" i="39"/>
  <c r="M176" i="39"/>
  <c r="L176" i="39"/>
  <c r="K176" i="39"/>
  <c r="Q175" i="39"/>
  <c r="P175" i="39"/>
  <c r="O175" i="39"/>
  <c r="N175" i="39"/>
  <c r="M175" i="39"/>
  <c r="L175" i="39"/>
  <c r="K175" i="39"/>
  <c r="Q174" i="39"/>
  <c r="P174" i="39"/>
  <c r="O174" i="39"/>
  <c r="N174" i="39"/>
  <c r="M174" i="39"/>
  <c r="L174" i="39"/>
  <c r="K174" i="39"/>
  <c r="Q173" i="39"/>
  <c r="P173" i="39"/>
  <c r="O173" i="39"/>
  <c r="N173" i="39"/>
  <c r="M173" i="39"/>
  <c r="L173" i="39"/>
  <c r="K173" i="39"/>
  <c r="Q172" i="39"/>
  <c r="P172" i="39"/>
  <c r="O172" i="39"/>
  <c r="N172" i="39"/>
  <c r="M172" i="39"/>
  <c r="L172" i="39"/>
  <c r="K172" i="39"/>
  <c r="Q171" i="39"/>
  <c r="P171" i="39"/>
  <c r="O171" i="39"/>
  <c r="N171" i="39"/>
  <c r="M171" i="39"/>
  <c r="L171" i="39"/>
  <c r="K171" i="39"/>
  <c r="Q170" i="39"/>
  <c r="P170" i="39"/>
  <c r="O170" i="39"/>
  <c r="N170" i="39"/>
  <c r="M170" i="39"/>
  <c r="L170" i="39"/>
  <c r="K170" i="39"/>
  <c r="Q169" i="39"/>
  <c r="P169" i="39"/>
  <c r="O169" i="39"/>
  <c r="N169" i="39"/>
  <c r="M169" i="39"/>
  <c r="L169" i="39"/>
  <c r="K169" i="39"/>
  <c r="Q168" i="39"/>
  <c r="P168" i="39"/>
  <c r="O168" i="39"/>
  <c r="N168" i="39"/>
  <c r="M168" i="39"/>
  <c r="L168" i="39"/>
  <c r="K168" i="39"/>
  <c r="Q167" i="39"/>
  <c r="P167" i="39"/>
  <c r="O167" i="39"/>
  <c r="N167" i="39"/>
  <c r="M167" i="39"/>
  <c r="L167" i="39"/>
  <c r="K167" i="39"/>
  <c r="Q166" i="39"/>
  <c r="P166" i="39"/>
  <c r="O166" i="39"/>
  <c r="N166" i="39"/>
  <c r="M166" i="39"/>
  <c r="L166" i="39"/>
  <c r="K166" i="39"/>
  <c r="Q165" i="39"/>
  <c r="P165" i="39"/>
  <c r="O165" i="39"/>
  <c r="N165" i="39"/>
  <c r="M165" i="39"/>
  <c r="L165" i="39"/>
  <c r="K165" i="39"/>
  <c r="Q164" i="39"/>
  <c r="P164" i="39"/>
  <c r="O164" i="39"/>
  <c r="N164" i="39"/>
  <c r="M164" i="39"/>
  <c r="L164" i="39"/>
  <c r="K164" i="39"/>
  <c r="Q163" i="39"/>
  <c r="P163" i="39"/>
  <c r="O163" i="39"/>
  <c r="N163" i="39"/>
  <c r="M163" i="39"/>
  <c r="L163" i="39"/>
  <c r="K163" i="39"/>
  <c r="Q162" i="39"/>
  <c r="P162" i="39"/>
  <c r="O162" i="39"/>
  <c r="N162" i="39"/>
  <c r="M162" i="39"/>
  <c r="L162" i="39"/>
  <c r="K162" i="39"/>
  <c r="Q161" i="39"/>
  <c r="P161" i="39"/>
  <c r="O161" i="39"/>
  <c r="N161" i="39"/>
  <c r="M161" i="39"/>
  <c r="L161" i="39"/>
  <c r="K161" i="39"/>
  <c r="Q160" i="39"/>
  <c r="P160" i="39"/>
  <c r="O160" i="39"/>
  <c r="N160" i="39"/>
  <c r="M160" i="39"/>
  <c r="L160" i="39"/>
  <c r="K160" i="39"/>
  <c r="Q159" i="39"/>
  <c r="P159" i="39"/>
  <c r="O159" i="39"/>
  <c r="N159" i="39"/>
  <c r="M159" i="39"/>
  <c r="L159" i="39"/>
  <c r="K159" i="39"/>
  <c r="Q158" i="39"/>
  <c r="P158" i="39"/>
  <c r="O158" i="39"/>
  <c r="N158" i="39"/>
  <c r="M158" i="39"/>
  <c r="L158" i="39"/>
  <c r="K158" i="39"/>
  <c r="Q157" i="39"/>
  <c r="P157" i="39"/>
  <c r="O157" i="39"/>
  <c r="N157" i="39"/>
  <c r="M157" i="39"/>
  <c r="L157" i="39"/>
  <c r="K157" i="39"/>
  <c r="Q156" i="39"/>
  <c r="P156" i="39"/>
  <c r="O156" i="39"/>
  <c r="N156" i="39"/>
  <c r="M156" i="39"/>
  <c r="L156" i="39"/>
  <c r="K156" i="39"/>
  <c r="Q155" i="39"/>
  <c r="P155" i="39"/>
  <c r="O155" i="39"/>
  <c r="N155" i="39"/>
  <c r="M155" i="39"/>
  <c r="L155" i="39"/>
  <c r="K155" i="39"/>
  <c r="Q154" i="39"/>
  <c r="P154" i="39"/>
  <c r="O154" i="39"/>
  <c r="N154" i="39"/>
  <c r="M154" i="39"/>
  <c r="L154" i="39"/>
  <c r="K154" i="39"/>
  <c r="Q153" i="39"/>
  <c r="P153" i="39"/>
  <c r="O153" i="39"/>
  <c r="N153" i="39"/>
  <c r="M153" i="39"/>
  <c r="L153" i="39"/>
  <c r="K153" i="39"/>
  <c r="Q152" i="39"/>
  <c r="P152" i="39"/>
  <c r="O152" i="39"/>
  <c r="N152" i="39"/>
  <c r="M152" i="39"/>
  <c r="L152" i="39"/>
  <c r="K152" i="39"/>
  <c r="Q151" i="39"/>
  <c r="P151" i="39"/>
  <c r="O151" i="39"/>
  <c r="N151" i="39"/>
  <c r="M151" i="39"/>
  <c r="L151" i="39"/>
  <c r="K151" i="39"/>
  <c r="Q150" i="39"/>
  <c r="P150" i="39"/>
  <c r="O150" i="39"/>
  <c r="N150" i="39"/>
  <c r="M150" i="39"/>
  <c r="L150" i="39"/>
  <c r="K150" i="39"/>
  <c r="Q149" i="39"/>
  <c r="P149" i="39"/>
  <c r="O149" i="39"/>
  <c r="N149" i="39"/>
  <c r="M149" i="39"/>
  <c r="L149" i="39"/>
  <c r="K149" i="39"/>
  <c r="Q148" i="39"/>
  <c r="P148" i="39"/>
  <c r="O148" i="39"/>
  <c r="N148" i="39"/>
  <c r="M148" i="39"/>
  <c r="L148" i="39"/>
  <c r="K148" i="39"/>
  <c r="Q147" i="39"/>
  <c r="P147" i="39"/>
  <c r="O147" i="39"/>
  <c r="N147" i="39"/>
  <c r="M147" i="39"/>
  <c r="L147" i="39"/>
  <c r="K147" i="39"/>
  <c r="Q146" i="39"/>
  <c r="P146" i="39"/>
  <c r="O146" i="39"/>
  <c r="N146" i="39"/>
  <c r="M146" i="39"/>
  <c r="L146" i="39"/>
  <c r="K146" i="39"/>
  <c r="Q145" i="39"/>
  <c r="P145" i="39"/>
  <c r="O145" i="39"/>
  <c r="N145" i="39"/>
  <c r="M145" i="39"/>
  <c r="L145" i="39"/>
  <c r="K145" i="39"/>
  <c r="Q144" i="39"/>
  <c r="P144" i="39"/>
  <c r="O144" i="39"/>
  <c r="N144" i="39"/>
  <c r="M144" i="39"/>
  <c r="L144" i="39"/>
  <c r="K144" i="39"/>
  <c r="Q143" i="39"/>
  <c r="P143" i="39"/>
  <c r="O143" i="39"/>
  <c r="N143" i="39"/>
  <c r="M143" i="39"/>
  <c r="L143" i="39"/>
  <c r="K143" i="39"/>
  <c r="Q142" i="39"/>
  <c r="P142" i="39"/>
  <c r="O142" i="39"/>
  <c r="N142" i="39"/>
  <c r="M142" i="39"/>
  <c r="L142" i="39"/>
  <c r="K142" i="39"/>
  <c r="Q141" i="39"/>
  <c r="P141" i="39"/>
  <c r="O141" i="39"/>
  <c r="N141" i="39"/>
  <c r="M141" i="39"/>
  <c r="L141" i="39"/>
  <c r="K141" i="39"/>
  <c r="Q140" i="39"/>
  <c r="P140" i="39"/>
  <c r="O140" i="39"/>
  <c r="N140" i="39"/>
  <c r="M140" i="39"/>
  <c r="L140" i="39"/>
  <c r="K140" i="39"/>
  <c r="Q139" i="39"/>
  <c r="P139" i="39"/>
  <c r="O139" i="39"/>
  <c r="N139" i="39"/>
  <c r="M139" i="39"/>
  <c r="L139" i="39"/>
  <c r="K139" i="39"/>
  <c r="Q138" i="39"/>
  <c r="P138" i="39"/>
  <c r="O138" i="39"/>
  <c r="N138" i="39"/>
  <c r="M138" i="39"/>
  <c r="L138" i="39"/>
  <c r="K138" i="39"/>
  <c r="Q137" i="39"/>
  <c r="P137" i="39"/>
  <c r="O137" i="39"/>
  <c r="N137" i="39"/>
  <c r="M137" i="39"/>
  <c r="L137" i="39"/>
  <c r="K137" i="39"/>
  <c r="Q136" i="39"/>
  <c r="P136" i="39"/>
  <c r="O136" i="39"/>
  <c r="N136" i="39"/>
  <c r="M136" i="39"/>
  <c r="L136" i="39"/>
  <c r="K136" i="39"/>
  <c r="Q135" i="39"/>
  <c r="P135" i="39"/>
  <c r="O135" i="39"/>
  <c r="N135" i="39"/>
  <c r="M135" i="39"/>
  <c r="L135" i="39"/>
  <c r="K135" i="39"/>
  <c r="Q134" i="39"/>
  <c r="P134" i="39"/>
  <c r="O134" i="39"/>
  <c r="N134" i="39"/>
  <c r="M134" i="39"/>
  <c r="L134" i="39"/>
  <c r="K134" i="39"/>
  <c r="Q133" i="39"/>
  <c r="P133" i="39"/>
  <c r="O133" i="39"/>
  <c r="N133" i="39"/>
  <c r="M133" i="39"/>
  <c r="L133" i="39"/>
  <c r="K133" i="39"/>
  <c r="Q132" i="39"/>
  <c r="P132" i="39"/>
  <c r="O132" i="39"/>
  <c r="N132" i="39"/>
  <c r="M132" i="39"/>
  <c r="L132" i="39"/>
  <c r="K132" i="39"/>
  <c r="Q131" i="39"/>
  <c r="P131" i="39"/>
  <c r="O131" i="39"/>
  <c r="N131" i="39"/>
  <c r="M131" i="39"/>
  <c r="L131" i="39"/>
  <c r="K131" i="39"/>
  <c r="Q130" i="39"/>
  <c r="P130" i="39"/>
  <c r="O130" i="39"/>
  <c r="N130" i="39"/>
  <c r="M130" i="39"/>
  <c r="L130" i="39"/>
  <c r="K130" i="39"/>
  <c r="Q129" i="39"/>
  <c r="P129" i="39"/>
  <c r="O129" i="39"/>
  <c r="N129" i="39"/>
  <c r="M129" i="39"/>
  <c r="L129" i="39"/>
  <c r="K129" i="39"/>
  <c r="Q128" i="39"/>
  <c r="P128" i="39"/>
  <c r="O128" i="39"/>
  <c r="N128" i="39"/>
  <c r="M128" i="39"/>
  <c r="L128" i="39"/>
  <c r="K128" i="39"/>
  <c r="Q127" i="39"/>
  <c r="P127" i="39"/>
  <c r="O127" i="39"/>
  <c r="N127" i="39"/>
  <c r="M127" i="39"/>
  <c r="L127" i="39"/>
  <c r="K127" i="39"/>
  <c r="Q126" i="39"/>
  <c r="P126" i="39"/>
  <c r="O126" i="39"/>
  <c r="N126" i="39"/>
  <c r="M126" i="39"/>
  <c r="L126" i="39"/>
  <c r="K126" i="39"/>
  <c r="Q125" i="39"/>
  <c r="P125" i="39"/>
  <c r="O125" i="39"/>
  <c r="N125" i="39"/>
  <c r="M125" i="39"/>
  <c r="L125" i="39"/>
  <c r="K125" i="39"/>
  <c r="Q124" i="39"/>
  <c r="P124" i="39"/>
  <c r="O124" i="39"/>
  <c r="N124" i="39"/>
  <c r="M124" i="39"/>
  <c r="L124" i="39"/>
  <c r="K124" i="39"/>
  <c r="Q123" i="39"/>
  <c r="P123" i="39"/>
  <c r="O123" i="39"/>
  <c r="N123" i="39"/>
  <c r="M123" i="39"/>
  <c r="L123" i="39"/>
  <c r="K123" i="39"/>
  <c r="Q122" i="39"/>
  <c r="P122" i="39"/>
  <c r="O122" i="39"/>
  <c r="N122" i="39"/>
  <c r="M122" i="39"/>
  <c r="L122" i="39"/>
  <c r="K122" i="39"/>
  <c r="Q121" i="39"/>
  <c r="P121" i="39"/>
  <c r="O121" i="39"/>
  <c r="N121" i="39"/>
  <c r="M121" i="39"/>
  <c r="L121" i="39"/>
  <c r="K121" i="39"/>
  <c r="Q120" i="39"/>
  <c r="P120" i="39"/>
  <c r="O120" i="39"/>
  <c r="N120" i="39"/>
  <c r="M120" i="39"/>
  <c r="L120" i="39"/>
  <c r="K120" i="39"/>
  <c r="Q119" i="39"/>
  <c r="P119" i="39"/>
  <c r="O119" i="39"/>
  <c r="N119" i="39"/>
  <c r="M119" i="39"/>
  <c r="L119" i="39"/>
  <c r="K119" i="39"/>
  <c r="Q118" i="39"/>
  <c r="P118" i="39"/>
  <c r="O118" i="39"/>
  <c r="N118" i="39"/>
  <c r="M118" i="39"/>
  <c r="L118" i="39"/>
  <c r="K118" i="39"/>
  <c r="Q117" i="39"/>
  <c r="P117" i="39"/>
  <c r="O117" i="39"/>
  <c r="N117" i="39"/>
  <c r="M117" i="39"/>
  <c r="L117" i="39"/>
  <c r="K117" i="39"/>
  <c r="Q116" i="39"/>
  <c r="P116" i="39"/>
  <c r="O116" i="39"/>
  <c r="N116" i="39"/>
  <c r="M116" i="39"/>
  <c r="L116" i="39"/>
  <c r="K116" i="39"/>
  <c r="Q115" i="39"/>
  <c r="P115" i="39"/>
  <c r="O115" i="39"/>
  <c r="N115" i="39"/>
  <c r="M115" i="39"/>
  <c r="L115" i="39"/>
  <c r="K115" i="39"/>
  <c r="Q114" i="39"/>
  <c r="P114" i="39"/>
  <c r="O114" i="39"/>
  <c r="N114" i="39"/>
  <c r="M114" i="39"/>
  <c r="L114" i="39"/>
  <c r="K114" i="39"/>
  <c r="Q113" i="39"/>
  <c r="P113" i="39"/>
  <c r="O113" i="39"/>
  <c r="N113" i="39"/>
  <c r="M113" i="39"/>
  <c r="L113" i="39"/>
  <c r="K113" i="39"/>
  <c r="Q112" i="39"/>
  <c r="P112" i="39"/>
  <c r="O112" i="39"/>
  <c r="N112" i="39"/>
  <c r="M112" i="39"/>
  <c r="L112" i="39"/>
  <c r="K112" i="39"/>
  <c r="Q111" i="39"/>
  <c r="P111" i="39"/>
  <c r="O111" i="39"/>
  <c r="N111" i="39"/>
  <c r="M111" i="39"/>
  <c r="L111" i="39"/>
  <c r="K111" i="39"/>
  <c r="Q110" i="39"/>
  <c r="P110" i="39"/>
  <c r="O110" i="39"/>
  <c r="N110" i="39"/>
  <c r="M110" i="39"/>
  <c r="L110" i="39"/>
  <c r="K110" i="39"/>
  <c r="Q109" i="39"/>
  <c r="P109" i="39"/>
  <c r="O109" i="39"/>
  <c r="N109" i="39"/>
  <c r="M109" i="39"/>
  <c r="L109" i="39"/>
  <c r="K109" i="39"/>
  <c r="Q108" i="39"/>
  <c r="P108" i="39"/>
  <c r="O108" i="39"/>
  <c r="N108" i="39"/>
  <c r="M108" i="39"/>
  <c r="L108" i="39"/>
  <c r="K108" i="39"/>
  <c r="Q107" i="39"/>
  <c r="P107" i="39"/>
  <c r="O107" i="39"/>
  <c r="N107" i="39"/>
  <c r="M107" i="39"/>
  <c r="L107" i="39"/>
  <c r="K107" i="39"/>
  <c r="Q106" i="39"/>
  <c r="P106" i="39"/>
  <c r="O106" i="39"/>
  <c r="N106" i="39"/>
  <c r="M106" i="39"/>
  <c r="L106" i="39"/>
  <c r="K106" i="39"/>
  <c r="Q105" i="39"/>
  <c r="P105" i="39"/>
  <c r="O105" i="39"/>
  <c r="N105" i="39"/>
  <c r="M105" i="39"/>
  <c r="L105" i="39"/>
  <c r="K105" i="39"/>
  <c r="Q104" i="39"/>
  <c r="P104" i="39"/>
  <c r="O104" i="39"/>
  <c r="N104" i="39"/>
  <c r="M104" i="39"/>
  <c r="L104" i="39"/>
  <c r="K104" i="39"/>
  <c r="Q103" i="39"/>
  <c r="P103" i="39"/>
  <c r="O103" i="39"/>
  <c r="N103" i="39"/>
  <c r="M103" i="39"/>
  <c r="L103" i="39"/>
  <c r="K103" i="39"/>
  <c r="Q102" i="39"/>
  <c r="P102" i="39"/>
  <c r="O102" i="39"/>
  <c r="N102" i="39"/>
  <c r="M102" i="39"/>
  <c r="L102" i="39"/>
  <c r="K102" i="39"/>
  <c r="Q101" i="39"/>
  <c r="P101" i="39"/>
  <c r="O101" i="39"/>
  <c r="N101" i="39"/>
  <c r="M101" i="39"/>
  <c r="L101" i="39"/>
  <c r="K101" i="39"/>
  <c r="Q100" i="39"/>
  <c r="P100" i="39"/>
  <c r="O100" i="39"/>
  <c r="N100" i="39"/>
  <c r="M100" i="39"/>
  <c r="L100" i="39"/>
  <c r="K100" i="39"/>
  <c r="Q99" i="39"/>
  <c r="P99" i="39"/>
  <c r="O99" i="39"/>
  <c r="N99" i="39"/>
  <c r="M99" i="39"/>
  <c r="L99" i="39"/>
  <c r="K99" i="39"/>
  <c r="Q98" i="39"/>
  <c r="P98" i="39"/>
  <c r="O98" i="39"/>
  <c r="N98" i="39"/>
  <c r="M98" i="39"/>
  <c r="L98" i="39"/>
  <c r="K98" i="39"/>
  <c r="Q97" i="39"/>
  <c r="P97" i="39"/>
  <c r="O97" i="39"/>
  <c r="N97" i="39"/>
  <c r="M97" i="39"/>
  <c r="L97" i="39"/>
  <c r="K97" i="39"/>
  <c r="Q96" i="39"/>
  <c r="P96" i="39"/>
  <c r="O96" i="39"/>
  <c r="N96" i="39"/>
  <c r="M96" i="39"/>
  <c r="L96" i="39"/>
  <c r="K96" i="39"/>
  <c r="Q95" i="39"/>
  <c r="P95" i="39"/>
  <c r="O95" i="39"/>
  <c r="N95" i="39"/>
  <c r="M95" i="39"/>
  <c r="L95" i="39"/>
  <c r="K95" i="39"/>
  <c r="Q94" i="39"/>
  <c r="P94" i="39"/>
  <c r="O94" i="39"/>
  <c r="N94" i="39"/>
  <c r="M94" i="39"/>
  <c r="L94" i="39"/>
  <c r="K94" i="39"/>
  <c r="Q93" i="39"/>
  <c r="P93" i="39"/>
  <c r="O93" i="39"/>
  <c r="N93" i="39"/>
  <c r="M93" i="39"/>
  <c r="L93" i="39"/>
  <c r="K93" i="39"/>
  <c r="Q92" i="39"/>
  <c r="P92" i="39"/>
  <c r="O92" i="39"/>
  <c r="N92" i="39"/>
  <c r="M92" i="39"/>
  <c r="L92" i="39"/>
  <c r="K92" i="39"/>
  <c r="Q91" i="39"/>
  <c r="P91" i="39"/>
  <c r="O91" i="39"/>
  <c r="N91" i="39"/>
  <c r="M91" i="39"/>
  <c r="L91" i="39"/>
  <c r="K91" i="39"/>
  <c r="Q90" i="39"/>
  <c r="P90" i="39"/>
  <c r="O90" i="39"/>
  <c r="N90" i="39"/>
  <c r="M90" i="39"/>
  <c r="L90" i="39"/>
  <c r="K90" i="39"/>
  <c r="Q89" i="39"/>
  <c r="P89" i="39"/>
  <c r="O89" i="39"/>
  <c r="N89" i="39"/>
  <c r="M89" i="39"/>
  <c r="L89" i="39"/>
  <c r="K89" i="39"/>
  <c r="Q88" i="39"/>
  <c r="P88" i="39"/>
  <c r="O88" i="39"/>
  <c r="N88" i="39"/>
  <c r="M88" i="39"/>
  <c r="L88" i="39"/>
  <c r="K88" i="39"/>
  <c r="Q87" i="39"/>
  <c r="P87" i="39"/>
  <c r="O87" i="39"/>
  <c r="N87" i="39"/>
  <c r="M87" i="39"/>
  <c r="L87" i="39"/>
  <c r="K87" i="39"/>
  <c r="Q86" i="39"/>
  <c r="P86" i="39"/>
  <c r="O86" i="39"/>
  <c r="N86" i="39"/>
  <c r="M86" i="39"/>
  <c r="L86" i="39"/>
  <c r="K86" i="39"/>
  <c r="Q85" i="39"/>
  <c r="P85" i="39"/>
  <c r="O85" i="39"/>
  <c r="N85" i="39"/>
  <c r="M85" i="39"/>
  <c r="L85" i="39"/>
  <c r="K85" i="39"/>
  <c r="Q84" i="39"/>
  <c r="P84" i="39"/>
  <c r="O84" i="39"/>
  <c r="N84" i="39"/>
  <c r="M84" i="39"/>
  <c r="L84" i="39"/>
  <c r="K84" i="39"/>
  <c r="Q83" i="39"/>
  <c r="P83" i="39"/>
  <c r="O83" i="39"/>
  <c r="N83" i="39"/>
  <c r="M83" i="39"/>
  <c r="L83" i="39"/>
  <c r="K83" i="39"/>
  <c r="Q82" i="39"/>
  <c r="P82" i="39"/>
  <c r="O82" i="39"/>
  <c r="N82" i="39"/>
  <c r="M82" i="39"/>
  <c r="L82" i="39"/>
  <c r="K82" i="39"/>
  <c r="Q81" i="39"/>
  <c r="P81" i="39"/>
  <c r="O81" i="39"/>
  <c r="N81" i="39"/>
  <c r="M81" i="39"/>
  <c r="L81" i="39"/>
  <c r="K81" i="39"/>
  <c r="Q80" i="39"/>
  <c r="P80" i="39"/>
  <c r="O80" i="39"/>
  <c r="N80" i="39"/>
  <c r="M80" i="39"/>
  <c r="L80" i="39"/>
  <c r="K80" i="39"/>
  <c r="Q79" i="39"/>
  <c r="P79" i="39"/>
  <c r="O79" i="39"/>
  <c r="N79" i="39"/>
  <c r="M79" i="39"/>
  <c r="L79" i="39"/>
  <c r="K79" i="39"/>
  <c r="Q78" i="39"/>
  <c r="P78" i="39"/>
  <c r="O78" i="39"/>
  <c r="N78" i="39"/>
  <c r="M78" i="39"/>
  <c r="L78" i="39"/>
  <c r="K78" i="39"/>
  <c r="Q77" i="39"/>
  <c r="P77" i="39"/>
  <c r="O77" i="39"/>
  <c r="N77" i="39"/>
  <c r="M77" i="39"/>
  <c r="L77" i="39"/>
  <c r="K77" i="39"/>
  <c r="Q76" i="39"/>
  <c r="P76" i="39"/>
  <c r="O76" i="39"/>
  <c r="N76" i="39"/>
  <c r="M76" i="39"/>
  <c r="L76" i="39"/>
  <c r="K76" i="39"/>
  <c r="Q75" i="39"/>
  <c r="P75" i="39"/>
  <c r="O75" i="39"/>
  <c r="N75" i="39"/>
  <c r="M75" i="39"/>
  <c r="L75" i="39"/>
  <c r="K75" i="39"/>
  <c r="Q74" i="39"/>
  <c r="P74" i="39"/>
  <c r="O74" i="39"/>
  <c r="N74" i="39"/>
  <c r="M74" i="39"/>
  <c r="L74" i="39"/>
  <c r="K74" i="39"/>
  <c r="Q73" i="39"/>
  <c r="P73" i="39"/>
  <c r="O73" i="39"/>
  <c r="N73" i="39"/>
  <c r="M73" i="39"/>
  <c r="L73" i="39"/>
  <c r="K73" i="39"/>
  <c r="Q72" i="39"/>
  <c r="P72" i="39"/>
  <c r="O72" i="39"/>
  <c r="N72" i="39"/>
  <c r="M72" i="39"/>
  <c r="L72" i="39"/>
  <c r="K72" i="39"/>
  <c r="Q71" i="39"/>
  <c r="P71" i="39"/>
  <c r="O71" i="39"/>
  <c r="N71" i="39"/>
  <c r="M71" i="39"/>
  <c r="L71" i="39"/>
  <c r="K71" i="39"/>
  <c r="Q70" i="39"/>
  <c r="P70" i="39"/>
  <c r="O70" i="39"/>
  <c r="N70" i="39"/>
  <c r="M70" i="39"/>
  <c r="L70" i="39"/>
  <c r="K70" i="39"/>
  <c r="Q69" i="39"/>
  <c r="P69" i="39"/>
  <c r="O69" i="39"/>
  <c r="N69" i="39"/>
  <c r="M69" i="39"/>
  <c r="L69" i="39"/>
  <c r="K69" i="39"/>
  <c r="Q68" i="39"/>
  <c r="P68" i="39"/>
  <c r="O68" i="39"/>
  <c r="N68" i="39"/>
  <c r="M68" i="39"/>
  <c r="L68" i="39"/>
  <c r="K68" i="39"/>
  <c r="Q67" i="39"/>
  <c r="P67" i="39"/>
  <c r="O67" i="39"/>
  <c r="N67" i="39"/>
  <c r="M67" i="39"/>
  <c r="L67" i="39"/>
  <c r="K67" i="39"/>
  <c r="Q66" i="39"/>
  <c r="P66" i="39"/>
  <c r="O66" i="39"/>
  <c r="N66" i="39"/>
  <c r="M66" i="39"/>
  <c r="L66" i="39"/>
  <c r="K66" i="39"/>
  <c r="Q65" i="39"/>
  <c r="P65" i="39"/>
  <c r="O65" i="39"/>
  <c r="N65" i="39"/>
  <c r="M65" i="39"/>
  <c r="L65" i="39"/>
  <c r="K65" i="39"/>
  <c r="Q64" i="39"/>
  <c r="P64" i="39"/>
  <c r="O64" i="39"/>
  <c r="N64" i="39"/>
  <c r="M64" i="39"/>
  <c r="L64" i="39"/>
  <c r="K64" i="39"/>
  <c r="Q63" i="39"/>
  <c r="P63" i="39"/>
  <c r="O63" i="39"/>
  <c r="N63" i="39"/>
  <c r="M63" i="39"/>
  <c r="L63" i="39"/>
  <c r="K63" i="39"/>
  <c r="Q62" i="39"/>
  <c r="P62" i="39"/>
  <c r="O62" i="39"/>
  <c r="N62" i="39"/>
  <c r="M62" i="39"/>
  <c r="L62" i="39"/>
  <c r="K62" i="39"/>
  <c r="Q61" i="39"/>
  <c r="P61" i="39"/>
  <c r="O61" i="39"/>
  <c r="N61" i="39"/>
  <c r="M61" i="39"/>
  <c r="L61" i="39"/>
  <c r="K61" i="39"/>
  <c r="Q60" i="39"/>
  <c r="P60" i="39"/>
  <c r="O60" i="39"/>
  <c r="N60" i="39"/>
  <c r="M60" i="39"/>
  <c r="L60" i="39"/>
  <c r="K60" i="39"/>
  <c r="Q59" i="39"/>
  <c r="P59" i="39"/>
  <c r="O59" i="39"/>
  <c r="N59" i="39"/>
  <c r="M59" i="39"/>
  <c r="L59" i="39"/>
  <c r="K59" i="39"/>
  <c r="Q58" i="39"/>
  <c r="P58" i="39"/>
  <c r="O58" i="39"/>
  <c r="N58" i="39"/>
  <c r="M58" i="39"/>
  <c r="L58" i="39"/>
  <c r="K58" i="39"/>
  <c r="Q57" i="39"/>
  <c r="P57" i="39"/>
  <c r="O57" i="39"/>
  <c r="N57" i="39"/>
  <c r="M57" i="39"/>
  <c r="L57" i="39"/>
  <c r="K57" i="39"/>
  <c r="Q56" i="39"/>
  <c r="P56" i="39"/>
  <c r="O56" i="39"/>
  <c r="N56" i="39"/>
  <c r="M56" i="39"/>
  <c r="L56" i="39"/>
  <c r="K56" i="39"/>
  <c r="Q55" i="39"/>
  <c r="P55" i="39"/>
  <c r="O55" i="39"/>
  <c r="N55" i="39"/>
  <c r="M55" i="39"/>
  <c r="L55" i="39"/>
  <c r="K55" i="39"/>
  <c r="Q54" i="39"/>
  <c r="P54" i="39"/>
  <c r="O54" i="39"/>
  <c r="N54" i="39"/>
  <c r="M54" i="39"/>
  <c r="L54" i="39"/>
  <c r="K54" i="39"/>
  <c r="Q53" i="39"/>
  <c r="P53" i="39"/>
  <c r="O53" i="39"/>
  <c r="N53" i="39"/>
  <c r="M53" i="39"/>
  <c r="L53" i="39"/>
  <c r="K53" i="39"/>
  <c r="Q52" i="39"/>
  <c r="P52" i="39"/>
  <c r="O52" i="39"/>
  <c r="N52" i="39"/>
  <c r="M52" i="39"/>
  <c r="L52" i="39"/>
  <c r="K52" i="39"/>
  <c r="Q51" i="39"/>
  <c r="P51" i="39"/>
  <c r="O51" i="39"/>
  <c r="N51" i="39"/>
  <c r="M51" i="39"/>
  <c r="L51" i="39"/>
  <c r="K51" i="39"/>
  <c r="Q50" i="39"/>
  <c r="P50" i="39"/>
  <c r="O50" i="39"/>
  <c r="N50" i="39"/>
  <c r="M50" i="39"/>
  <c r="L50" i="39"/>
  <c r="K50" i="39"/>
  <c r="Q49" i="39"/>
  <c r="P49" i="39"/>
  <c r="O49" i="39"/>
  <c r="N49" i="39"/>
  <c r="M49" i="39"/>
  <c r="L49" i="39"/>
  <c r="K49" i="39"/>
  <c r="Q48" i="39"/>
  <c r="P48" i="39"/>
  <c r="O48" i="39"/>
  <c r="N48" i="39"/>
  <c r="M48" i="39"/>
  <c r="L48" i="39"/>
  <c r="K48" i="39"/>
  <c r="Q47" i="39"/>
  <c r="P47" i="39"/>
  <c r="O47" i="39"/>
  <c r="N47" i="39"/>
  <c r="M47" i="39"/>
  <c r="L47" i="39"/>
  <c r="K47" i="39"/>
  <c r="Q46" i="39"/>
  <c r="P46" i="39"/>
  <c r="O46" i="39"/>
  <c r="N46" i="39"/>
  <c r="M46" i="39"/>
  <c r="L46" i="39"/>
  <c r="K46" i="39"/>
  <c r="Q45" i="39"/>
  <c r="P45" i="39"/>
  <c r="O45" i="39"/>
  <c r="N45" i="39"/>
  <c r="M45" i="39"/>
  <c r="L45" i="39"/>
  <c r="K45" i="39"/>
  <c r="Q44" i="39"/>
  <c r="P44" i="39"/>
  <c r="O44" i="39"/>
  <c r="N44" i="39"/>
  <c r="M44" i="39"/>
  <c r="L44" i="39"/>
  <c r="K44" i="39"/>
  <c r="Q43" i="39"/>
  <c r="P43" i="39"/>
  <c r="O43" i="39"/>
  <c r="N43" i="39"/>
  <c r="M43" i="39"/>
  <c r="L43" i="39"/>
  <c r="K43" i="39"/>
  <c r="Q42" i="39"/>
  <c r="P42" i="39"/>
  <c r="O42" i="39"/>
  <c r="N42" i="39"/>
  <c r="M42" i="39"/>
  <c r="L42" i="39"/>
  <c r="K42" i="39"/>
  <c r="Q41" i="39"/>
  <c r="P41" i="39"/>
  <c r="O41" i="39"/>
  <c r="N41" i="39"/>
  <c r="M41" i="39"/>
  <c r="L41" i="39"/>
  <c r="K41" i="39"/>
  <c r="Q40" i="39"/>
  <c r="P40" i="39"/>
  <c r="O40" i="39"/>
  <c r="N40" i="39"/>
  <c r="M40" i="39"/>
  <c r="L40" i="39"/>
  <c r="K40" i="39"/>
  <c r="Q39" i="39"/>
  <c r="P39" i="39"/>
  <c r="O39" i="39"/>
  <c r="N39" i="39"/>
  <c r="M39" i="39"/>
  <c r="L39" i="39"/>
  <c r="K39" i="39"/>
  <c r="Q38" i="39"/>
  <c r="P38" i="39"/>
  <c r="O38" i="39"/>
  <c r="N38" i="39"/>
  <c r="M38" i="39"/>
  <c r="L38" i="39"/>
  <c r="K38" i="39"/>
  <c r="Q37" i="39"/>
  <c r="P37" i="39"/>
  <c r="O37" i="39"/>
  <c r="N37" i="39"/>
  <c r="M37" i="39"/>
  <c r="L37" i="39"/>
  <c r="K37" i="39"/>
  <c r="Q36" i="39"/>
  <c r="P36" i="39"/>
  <c r="O36" i="39"/>
  <c r="N36" i="39"/>
  <c r="M36" i="39"/>
  <c r="L36" i="39"/>
  <c r="K36" i="39"/>
  <c r="Q35" i="39"/>
  <c r="P35" i="39"/>
  <c r="O35" i="39"/>
  <c r="N35" i="39"/>
  <c r="M35" i="39"/>
  <c r="L35" i="39"/>
  <c r="K35" i="39"/>
  <c r="Q34" i="39"/>
  <c r="P34" i="39"/>
  <c r="O34" i="39"/>
  <c r="N34" i="39"/>
  <c r="M34" i="39"/>
  <c r="L34" i="39"/>
  <c r="K34" i="39"/>
  <c r="Q33" i="39"/>
  <c r="P33" i="39"/>
  <c r="O33" i="39"/>
  <c r="N33" i="39"/>
  <c r="M33" i="39"/>
  <c r="L33" i="39"/>
  <c r="K33" i="39"/>
  <c r="Q32" i="39"/>
  <c r="P32" i="39"/>
  <c r="O32" i="39"/>
  <c r="N32" i="39"/>
  <c r="M32" i="39"/>
  <c r="L32" i="39"/>
  <c r="K32" i="39"/>
  <c r="Q31" i="39"/>
  <c r="P31" i="39"/>
  <c r="O31" i="39"/>
  <c r="N31" i="39"/>
  <c r="M31" i="39"/>
  <c r="L31" i="39"/>
  <c r="K31" i="39"/>
  <c r="Q30" i="39"/>
  <c r="P30" i="39"/>
  <c r="O30" i="39"/>
  <c r="N30" i="39"/>
  <c r="M30" i="39"/>
  <c r="L30" i="39"/>
  <c r="K30" i="39"/>
  <c r="Q29" i="39"/>
  <c r="P29" i="39"/>
  <c r="O29" i="39"/>
  <c r="N29" i="39"/>
  <c r="M29" i="39"/>
  <c r="L29" i="39"/>
  <c r="K29" i="39"/>
  <c r="Q28" i="39"/>
  <c r="P28" i="39"/>
  <c r="O28" i="39"/>
  <c r="N28" i="39"/>
  <c r="M28" i="39"/>
  <c r="L28" i="39"/>
  <c r="K28" i="39"/>
  <c r="Q27" i="39"/>
  <c r="P27" i="39"/>
  <c r="O27" i="39"/>
  <c r="N27" i="39"/>
  <c r="M27" i="39"/>
  <c r="L27" i="39"/>
  <c r="K27" i="39"/>
  <c r="Q26" i="39"/>
  <c r="P26" i="39"/>
  <c r="O26" i="39"/>
  <c r="N26" i="39"/>
  <c r="M26" i="39"/>
  <c r="L26" i="39"/>
  <c r="K26" i="39"/>
  <c r="Q25" i="39"/>
  <c r="P25" i="39"/>
  <c r="O25" i="39"/>
  <c r="N25" i="39"/>
  <c r="M25" i="39"/>
  <c r="L25" i="39"/>
  <c r="K25" i="39"/>
  <c r="Q24" i="39"/>
  <c r="P24" i="39"/>
  <c r="O24" i="39"/>
  <c r="N24" i="39"/>
  <c r="M24" i="39"/>
  <c r="L24" i="39"/>
  <c r="K24" i="39"/>
  <c r="Q23" i="39"/>
  <c r="P23" i="39"/>
  <c r="O23" i="39"/>
  <c r="N23" i="39"/>
  <c r="M23" i="39"/>
  <c r="L23" i="39"/>
  <c r="K23" i="39"/>
  <c r="Q22" i="39"/>
  <c r="P22" i="39"/>
  <c r="O22" i="39"/>
  <c r="N22" i="39"/>
  <c r="M22" i="39"/>
  <c r="L22" i="39"/>
  <c r="K22" i="39"/>
  <c r="Q21" i="39"/>
  <c r="P21" i="39"/>
  <c r="O21" i="39"/>
  <c r="N21" i="39"/>
  <c r="M21" i="39"/>
  <c r="L21" i="39"/>
  <c r="K21" i="39"/>
  <c r="Q20" i="39"/>
  <c r="P20" i="39"/>
  <c r="O20" i="39"/>
  <c r="N20" i="39"/>
  <c r="M20" i="39"/>
  <c r="L20" i="39"/>
  <c r="K20" i="39"/>
  <c r="Q19" i="39"/>
  <c r="P19" i="39"/>
  <c r="O19" i="39"/>
  <c r="N19" i="39"/>
  <c r="M19" i="39"/>
  <c r="L19" i="39"/>
  <c r="K19" i="39"/>
  <c r="Q18" i="39"/>
  <c r="P18" i="39"/>
  <c r="O18" i="39"/>
  <c r="N18" i="39"/>
  <c r="M18" i="39"/>
  <c r="L18" i="39"/>
  <c r="K18" i="39"/>
  <c r="Q17" i="39"/>
  <c r="P17" i="39"/>
  <c r="O17" i="39"/>
  <c r="N17" i="39"/>
  <c r="M17" i="39"/>
  <c r="L17" i="39"/>
  <c r="K17" i="39"/>
  <c r="Q16" i="39"/>
  <c r="P16" i="39"/>
  <c r="O16" i="39"/>
  <c r="N16" i="39"/>
  <c r="M16" i="39"/>
  <c r="L16" i="39"/>
  <c r="K16" i="39"/>
  <c r="Q15" i="39"/>
  <c r="P15" i="39"/>
  <c r="O15" i="39"/>
  <c r="N15" i="39"/>
  <c r="M15" i="39"/>
  <c r="L15" i="39"/>
  <c r="K15" i="39"/>
  <c r="Q14" i="39"/>
  <c r="P14" i="39"/>
  <c r="O14" i="39"/>
  <c r="N14" i="39"/>
  <c r="M14" i="39"/>
  <c r="L14" i="39"/>
  <c r="K14" i="39"/>
  <c r="A2" i="38"/>
  <c r="B35" i="1" s="1"/>
  <c r="Q203" i="38"/>
  <c r="P203" i="38"/>
  <c r="O203" i="38"/>
  <c r="N203" i="38"/>
  <c r="M203" i="38"/>
  <c r="L203" i="38"/>
  <c r="K203" i="38"/>
  <c r="Q202" i="38"/>
  <c r="P202" i="38"/>
  <c r="O202" i="38"/>
  <c r="N202" i="38"/>
  <c r="M202" i="38"/>
  <c r="L202" i="38"/>
  <c r="K202" i="38"/>
  <c r="Q201" i="38"/>
  <c r="P201" i="38"/>
  <c r="O201" i="38"/>
  <c r="N201" i="38"/>
  <c r="M201" i="38"/>
  <c r="L201" i="38"/>
  <c r="K201" i="38"/>
  <c r="Q200" i="38"/>
  <c r="P200" i="38"/>
  <c r="O200" i="38"/>
  <c r="N200" i="38"/>
  <c r="M200" i="38"/>
  <c r="L200" i="38"/>
  <c r="K200" i="38"/>
  <c r="Q199" i="38"/>
  <c r="P199" i="38"/>
  <c r="O199" i="38"/>
  <c r="N199" i="38"/>
  <c r="M199" i="38"/>
  <c r="L199" i="38"/>
  <c r="K199" i="38"/>
  <c r="Q198" i="38"/>
  <c r="P198" i="38"/>
  <c r="O198" i="38"/>
  <c r="N198" i="38"/>
  <c r="M198" i="38"/>
  <c r="L198" i="38"/>
  <c r="K198" i="38"/>
  <c r="Q197" i="38"/>
  <c r="P197" i="38"/>
  <c r="O197" i="38"/>
  <c r="N197" i="38"/>
  <c r="M197" i="38"/>
  <c r="L197" i="38"/>
  <c r="K197" i="38"/>
  <c r="Q196" i="38"/>
  <c r="P196" i="38"/>
  <c r="O196" i="38"/>
  <c r="N196" i="38"/>
  <c r="M196" i="38"/>
  <c r="L196" i="38"/>
  <c r="K196" i="38"/>
  <c r="Q195" i="38"/>
  <c r="P195" i="38"/>
  <c r="O195" i="38"/>
  <c r="N195" i="38"/>
  <c r="M195" i="38"/>
  <c r="L195" i="38"/>
  <c r="K195" i="38"/>
  <c r="Q194" i="38"/>
  <c r="P194" i="38"/>
  <c r="O194" i="38"/>
  <c r="N194" i="38"/>
  <c r="M194" i="38"/>
  <c r="L194" i="38"/>
  <c r="K194" i="38"/>
  <c r="Q193" i="38"/>
  <c r="P193" i="38"/>
  <c r="O193" i="38"/>
  <c r="N193" i="38"/>
  <c r="M193" i="38"/>
  <c r="L193" i="38"/>
  <c r="K193" i="38"/>
  <c r="Q192" i="38"/>
  <c r="P192" i="38"/>
  <c r="O192" i="38"/>
  <c r="N192" i="38"/>
  <c r="M192" i="38"/>
  <c r="L192" i="38"/>
  <c r="K192" i="38"/>
  <c r="Q191" i="38"/>
  <c r="P191" i="38"/>
  <c r="O191" i="38"/>
  <c r="N191" i="38"/>
  <c r="M191" i="38"/>
  <c r="L191" i="38"/>
  <c r="K191" i="38"/>
  <c r="Q190" i="38"/>
  <c r="P190" i="38"/>
  <c r="O190" i="38"/>
  <c r="N190" i="38"/>
  <c r="M190" i="38"/>
  <c r="L190" i="38"/>
  <c r="K190" i="38"/>
  <c r="Q189" i="38"/>
  <c r="P189" i="38"/>
  <c r="O189" i="38"/>
  <c r="N189" i="38"/>
  <c r="M189" i="38"/>
  <c r="L189" i="38"/>
  <c r="K189" i="38"/>
  <c r="Q188" i="38"/>
  <c r="P188" i="38"/>
  <c r="O188" i="38"/>
  <c r="N188" i="38"/>
  <c r="M188" i="38"/>
  <c r="L188" i="38"/>
  <c r="K188" i="38"/>
  <c r="Q187" i="38"/>
  <c r="P187" i="38"/>
  <c r="O187" i="38"/>
  <c r="N187" i="38"/>
  <c r="M187" i="38"/>
  <c r="L187" i="38"/>
  <c r="K187" i="38"/>
  <c r="Q186" i="38"/>
  <c r="P186" i="38"/>
  <c r="O186" i="38"/>
  <c r="N186" i="38"/>
  <c r="M186" i="38"/>
  <c r="L186" i="38"/>
  <c r="K186" i="38"/>
  <c r="Q185" i="38"/>
  <c r="P185" i="38"/>
  <c r="O185" i="38"/>
  <c r="N185" i="38"/>
  <c r="M185" i="38"/>
  <c r="L185" i="38"/>
  <c r="K185" i="38"/>
  <c r="Q184" i="38"/>
  <c r="P184" i="38"/>
  <c r="O184" i="38"/>
  <c r="N184" i="38"/>
  <c r="M184" i="38"/>
  <c r="L184" i="38"/>
  <c r="K184" i="38"/>
  <c r="Q183" i="38"/>
  <c r="P183" i="38"/>
  <c r="O183" i="38"/>
  <c r="N183" i="38"/>
  <c r="M183" i="38"/>
  <c r="L183" i="38"/>
  <c r="K183" i="38"/>
  <c r="Q182" i="38"/>
  <c r="P182" i="38"/>
  <c r="O182" i="38"/>
  <c r="N182" i="38"/>
  <c r="M182" i="38"/>
  <c r="L182" i="38"/>
  <c r="K182" i="38"/>
  <c r="Q181" i="38"/>
  <c r="P181" i="38"/>
  <c r="O181" i="38"/>
  <c r="N181" i="38"/>
  <c r="M181" i="38"/>
  <c r="L181" i="38"/>
  <c r="K181" i="38"/>
  <c r="Q180" i="38"/>
  <c r="P180" i="38"/>
  <c r="O180" i="38"/>
  <c r="N180" i="38"/>
  <c r="M180" i="38"/>
  <c r="L180" i="38"/>
  <c r="K180" i="38"/>
  <c r="Q179" i="38"/>
  <c r="P179" i="38"/>
  <c r="O179" i="38"/>
  <c r="N179" i="38"/>
  <c r="M179" i="38"/>
  <c r="L179" i="38"/>
  <c r="K179" i="38"/>
  <c r="Q178" i="38"/>
  <c r="P178" i="38"/>
  <c r="O178" i="38"/>
  <c r="N178" i="38"/>
  <c r="M178" i="38"/>
  <c r="L178" i="38"/>
  <c r="K178" i="38"/>
  <c r="Q177" i="38"/>
  <c r="P177" i="38"/>
  <c r="O177" i="38"/>
  <c r="N177" i="38"/>
  <c r="M177" i="38"/>
  <c r="L177" i="38"/>
  <c r="K177" i="38"/>
  <c r="Q176" i="38"/>
  <c r="P176" i="38"/>
  <c r="O176" i="38"/>
  <c r="N176" i="38"/>
  <c r="M176" i="38"/>
  <c r="L176" i="38"/>
  <c r="K176" i="38"/>
  <c r="Q175" i="38"/>
  <c r="P175" i="38"/>
  <c r="O175" i="38"/>
  <c r="N175" i="38"/>
  <c r="M175" i="38"/>
  <c r="L175" i="38"/>
  <c r="K175" i="38"/>
  <c r="Q174" i="38"/>
  <c r="P174" i="38"/>
  <c r="O174" i="38"/>
  <c r="N174" i="38"/>
  <c r="M174" i="38"/>
  <c r="L174" i="38"/>
  <c r="K174" i="38"/>
  <c r="Q173" i="38"/>
  <c r="P173" i="38"/>
  <c r="O173" i="38"/>
  <c r="N173" i="38"/>
  <c r="M173" i="38"/>
  <c r="L173" i="38"/>
  <c r="K173" i="38"/>
  <c r="Q172" i="38"/>
  <c r="P172" i="38"/>
  <c r="O172" i="38"/>
  <c r="N172" i="38"/>
  <c r="M172" i="38"/>
  <c r="L172" i="38"/>
  <c r="K172" i="38"/>
  <c r="Q171" i="38"/>
  <c r="P171" i="38"/>
  <c r="O171" i="38"/>
  <c r="N171" i="38"/>
  <c r="M171" i="38"/>
  <c r="L171" i="38"/>
  <c r="K171" i="38"/>
  <c r="Q170" i="38"/>
  <c r="P170" i="38"/>
  <c r="O170" i="38"/>
  <c r="N170" i="38"/>
  <c r="M170" i="38"/>
  <c r="L170" i="38"/>
  <c r="K170" i="38"/>
  <c r="Q169" i="38"/>
  <c r="P169" i="38"/>
  <c r="O169" i="38"/>
  <c r="N169" i="38"/>
  <c r="M169" i="38"/>
  <c r="L169" i="38"/>
  <c r="K169" i="38"/>
  <c r="Q168" i="38"/>
  <c r="P168" i="38"/>
  <c r="O168" i="38"/>
  <c r="N168" i="38"/>
  <c r="M168" i="38"/>
  <c r="L168" i="38"/>
  <c r="K168" i="38"/>
  <c r="Q167" i="38"/>
  <c r="P167" i="38"/>
  <c r="O167" i="38"/>
  <c r="N167" i="38"/>
  <c r="M167" i="38"/>
  <c r="L167" i="38"/>
  <c r="K167" i="38"/>
  <c r="Q166" i="38"/>
  <c r="P166" i="38"/>
  <c r="O166" i="38"/>
  <c r="N166" i="38"/>
  <c r="M166" i="38"/>
  <c r="L166" i="38"/>
  <c r="K166" i="38"/>
  <c r="Q165" i="38"/>
  <c r="P165" i="38"/>
  <c r="O165" i="38"/>
  <c r="N165" i="38"/>
  <c r="M165" i="38"/>
  <c r="L165" i="38"/>
  <c r="K165" i="38"/>
  <c r="Q164" i="38"/>
  <c r="P164" i="38"/>
  <c r="O164" i="38"/>
  <c r="N164" i="38"/>
  <c r="M164" i="38"/>
  <c r="L164" i="38"/>
  <c r="K164" i="38"/>
  <c r="Q163" i="38"/>
  <c r="P163" i="38"/>
  <c r="O163" i="38"/>
  <c r="N163" i="38"/>
  <c r="M163" i="38"/>
  <c r="L163" i="38"/>
  <c r="K163" i="38"/>
  <c r="Q162" i="38"/>
  <c r="P162" i="38"/>
  <c r="O162" i="38"/>
  <c r="N162" i="38"/>
  <c r="M162" i="38"/>
  <c r="L162" i="38"/>
  <c r="K162" i="38"/>
  <c r="Q161" i="38"/>
  <c r="P161" i="38"/>
  <c r="O161" i="38"/>
  <c r="N161" i="38"/>
  <c r="M161" i="38"/>
  <c r="L161" i="38"/>
  <c r="K161" i="38"/>
  <c r="Q160" i="38"/>
  <c r="P160" i="38"/>
  <c r="O160" i="38"/>
  <c r="N160" i="38"/>
  <c r="M160" i="38"/>
  <c r="L160" i="38"/>
  <c r="K160" i="38"/>
  <c r="Q159" i="38"/>
  <c r="P159" i="38"/>
  <c r="O159" i="38"/>
  <c r="N159" i="38"/>
  <c r="M159" i="38"/>
  <c r="L159" i="38"/>
  <c r="K159" i="38"/>
  <c r="Q158" i="38"/>
  <c r="P158" i="38"/>
  <c r="O158" i="38"/>
  <c r="N158" i="38"/>
  <c r="M158" i="38"/>
  <c r="L158" i="38"/>
  <c r="K158" i="38"/>
  <c r="Q157" i="38"/>
  <c r="P157" i="38"/>
  <c r="O157" i="38"/>
  <c r="N157" i="38"/>
  <c r="M157" i="38"/>
  <c r="L157" i="38"/>
  <c r="K157" i="38"/>
  <c r="Q156" i="38"/>
  <c r="P156" i="38"/>
  <c r="O156" i="38"/>
  <c r="N156" i="38"/>
  <c r="M156" i="38"/>
  <c r="L156" i="38"/>
  <c r="K156" i="38"/>
  <c r="Q155" i="38"/>
  <c r="P155" i="38"/>
  <c r="O155" i="38"/>
  <c r="N155" i="38"/>
  <c r="M155" i="38"/>
  <c r="L155" i="38"/>
  <c r="K155" i="38"/>
  <c r="Q154" i="38"/>
  <c r="P154" i="38"/>
  <c r="O154" i="38"/>
  <c r="N154" i="38"/>
  <c r="M154" i="38"/>
  <c r="L154" i="38"/>
  <c r="K154" i="38"/>
  <c r="Q153" i="38"/>
  <c r="P153" i="38"/>
  <c r="O153" i="38"/>
  <c r="N153" i="38"/>
  <c r="M153" i="38"/>
  <c r="L153" i="38"/>
  <c r="K153" i="38"/>
  <c r="Q152" i="38"/>
  <c r="P152" i="38"/>
  <c r="O152" i="38"/>
  <c r="N152" i="38"/>
  <c r="M152" i="38"/>
  <c r="L152" i="38"/>
  <c r="K152" i="38"/>
  <c r="Q151" i="38"/>
  <c r="P151" i="38"/>
  <c r="O151" i="38"/>
  <c r="N151" i="38"/>
  <c r="M151" i="38"/>
  <c r="L151" i="38"/>
  <c r="K151" i="38"/>
  <c r="Q150" i="38"/>
  <c r="P150" i="38"/>
  <c r="O150" i="38"/>
  <c r="N150" i="38"/>
  <c r="M150" i="38"/>
  <c r="L150" i="38"/>
  <c r="K150" i="38"/>
  <c r="Q149" i="38"/>
  <c r="P149" i="38"/>
  <c r="O149" i="38"/>
  <c r="N149" i="38"/>
  <c r="M149" i="38"/>
  <c r="L149" i="38"/>
  <c r="K149" i="38"/>
  <c r="Q148" i="38"/>
  <c r="P148" i="38"/>
  <c r="O148" i="38"/>
  <c r="N148" i="38"/>
  <c r="M148" i="38"/>
  <c r="L148" i="38"/>
  <c r="K148" i="38"/>
  <c r="Q147" i="38"/>
  <c r="P147" i="38"/>
  <c r="O147" i="38"/>
  <c r="N147" i="38"/>
  <c r="M147" i="38"/>
  <c r="L147" i="38"/>
  <c r="K147" i="38"/>
  <c r="Q146" i="38"/>
  <c r="P146" i="38"/>
  <c r="O146" i="38"/>
  <c r="N146" i="38"/>
  <c r="M146" i="38"/>
  <c r="L146" i="38"/>
  <c r="K146" i="38"/>
  <c r="Q145" i="38"/>
  <c r="P145" i="38"/>
  <c r="O145" i="38"/>
  <c r="N145" i="38"/>
  <c r="M145" i="38"/>
  <c r="L145" i="38"/>
  <c r="K145" i="38"/>
  <c r="Q144" i="38"/>
  <c r="P144" i="38"/>
  <c r="O144" i="38"/>
  <c r="N144" i="38"/>
  <c r="M144" i="38"/>
  <c r="L144" i="38"/>
  <c r="K144" i="38"/>
  <c r="Q143" i="38"/>
  <c r="P143" i="38"/>
  <c r="O143" i="38"/>
  <c r="N143" i="38"/>
  <c r="M143" i="38"/>
  <c r="L143" i="38"/>
  <c r="K143" i="38"/>
  <c r="Q142" i="38"/>
  <c r="P142" i="38"/>
  <c r="O142" i="38"/>
  <c r="N142" i="38"/>
  <c r="M142" i="38"/>
  <c r="L142" i="38"/>
  <c r="K142" i="38"/>
  <c r="Q141" i="38"/>
  <c r="P141" i="38"/>
  <c r="O141" i="38"/>
  <c r="N141" i="38"/>
  <c r="M141" i="38"/>
  <c r="L141" i="38"/>
  <c r="K141" i="38"/>
  <c r="Q140" i="38"/>
  <c r="P140" i="38"/>
  <c r="O140" i="38"/>
  <c r="N140" i="38"/>
  <c r="M140" i="38"/>
  <c r="L140" i="38"/>
  <c r="K140" i="38"/>
  <c r="Q139" i="38"/>
  <c r="P139" i="38"/>
  <c r="O139" i="38"/>
  <c r="N139" i="38"/>
  <c r="M139" i="38"/>
  <c r="L139" i="38"/>
  <c r="K139" i="38"/>
  <c r="Q138" i="38"/>
  <c r="P138" i="38"/>
  <c r="O138" i="38"/>
  <c r="N138" i="38"/>
  <c r="M138" i="38"/>
  <c r="L138" i="38"/>
  <c r="K138" i="38"/>
  <c r="Q137" i="38"/>
  <c r="P137" i="38"/>
  <c r="O137" i="38"/>
  <c r="N137" i="38"/>
  <c r="M137" i="38"/>
  <c r="L137" i="38"/>
  <c r="K137" i="38"/>
  <c r="Q136" i="38"/>
  <c r="P136" i="38"/>
  <c r="O136" i="38"/>
  <c r="N136" i="38"/>
  <c r="M136" i="38"/>
  <c r="L136" i="38"/>
  <c r="K136" i="38"/>
  <c r="Q135" i="38"/>
  <c r="P135" i="38"/>
  <c r="O135" i="38"/>
  <c r="N135" i="38"/>
  <c r="M135" i="38"/>
  <c r="L135" i="38"/>
  <c r="K135" i="38"/>
  <c r="Q134" i="38"/>
  <c r="P134" i="38"/>
  <c r="O134" i="38"/>
  <c r="N134" i="38"/>
  <c r="M134" i="38"/>
  <c r="L134" i="38"/>
  <c r="K134" i="38"/>
  <c r="Q133" i="38"/>
  <c r="P133" i="38"/>
  <c r="O133" i="38"/>
  <c r="N133" i="38"/>
  <c r="M133" i="38"/>
  <c r="L133" i="38"/>
  <c r="K133" i="38"/>
  <c r="Q132" i="38"/>
  <c r="P132" i="38"/>
  <c r="O132" i="38"/>
  <c r="N132" i="38"/>
  <c r="M132" i="38"/>
  <c r="L132" i="38"/>
  <c r="K132" i="38"/>
  <c r="Q131" i="38"/>
  <c r="P131" i="38"/>
  <c r="O131" i="38"/>
  <c r="N131" i="38"/>
  <c r="M131" i="38"/>
  <c r="L131" i="38"/>
  <c r="K131" i="38"/>
  <c r="Q130" i="38"/>
  <c r="P130" i="38"/>
  <c r="O130" i="38"/>
  <c r="N130" i="38"/>
  <c r="M130" i="38"/>
  <c r="L130" i="38"/>
  <c r="K130" i="38"/>
  <c r="Q129" i="38"/>
  <c r="P129" i="38"/>
  <c r="O129" i="38"/>
  <c r="N129" i="38"/>
  <c r="M129" i="38"/>
  <c r="L129" i="38"/>
  <c r="K129" i="38"/>
  <c r="Q128" i="38"/>
  <c r="P128" i="38"/>
  <c r="O128" i="38"/>
  <c r="N128" i="38"/>
  <c r="M128" i="38"/>
  <c r="L128" i="38"/>
  <c r="K128" i="38"/>
  <c r="Q127" i="38"/>
  <c r="P127" i="38"/>
  <c r="O127" i="38"/>
  <c r="N127" i="38"/>
  <c r="M127" i="38"/>
  <c r="L127" i="38"/>
  <c r="K127" i="38"/>
  <c r="Q126" i="38"/>
  <c r="P126" i="38"/>
  <c r="O126" i="38"/>
  <c r="N126" i="38"/>
  <c r="M126" i="38"/>
  <c r="L126" i="38"/>
  <c r="K126" i="38"/>
  <c r="Q125" i="38"/>
  <c r="P125" i="38"/>
  <c r="O125" i="38"/>
  <c r="N125" i="38"/>
  <c r="M125" i="38"/>
  <c r="L125" i="38"/>
  <c r="K125" i="38"/>
  <c r="Q124" i="38"/>
  <c r="P124" i="38"/>
  <c r="O124" i="38"/>
  <c r="N124" i="38"/>
  <c r="M124" i="38"/>
  <c r="L124" i="38"/>
  <c r="K124" i="38"/>
  <c r="Q123" i="38"/>
  <c r="P123" i="38"/>
  <c r="O123" i="38"/>
  <c r="N123" i="38"/>
  <c r="M123" i="38"/>
  <c r="L123" i="38"/>
  <c r="K123" i="38"/>
  <c r="Q122" i="38"/>
  <c r="P122" i="38"/>
  <c r="O122" i="38"/>
  <c r="N122" i="38"/>
  <c r="M122" i="38"/>
  <c r="L122" i="38"/>
  <c r="K122" i="38"/>
  <c r="Q121" i="38"/>
  <c r="P121" i="38"/>
  <c r="O121" i="38"/>
  <c r="N121" i="38"/>
  <c r="M121" i="38"/>
  <c r="L121" i="38"/>
  <c r="K121" i="38"/>
  <c r="Q120" i="38"/>
  <c r="P120" i="38"/>
  <c r="O120" i="38"/>
  <c r="N120" i="38"/>
  <c r="M120" i="38"/>
  <c r="L120" i="38"/>
  <c r="K120" i="38"/>
  <c r="Q119" i="38"/>
  <c r="P119" i="38"/>
  <c r="O119" i="38"/>
  <c r="N119" i="38"/>
  <c r="M119" i="38"/>
  <c r="L119" i="38"/>
  <c r="K119" i="38"/>
  <c r="Q118" i="38"/>
  <c r="P118" i="38"/>
  <c r="O118" i="38"/>
  <c r="N118" i="38"/>
  <c r="M118" i="38"/>
  <c r="L118" i="38"/>
  <c r="K118" i="38"/>
  <c r="Q117" i="38"/>
  <c r="P117" i="38"/>
  <c r="O117" i="38"/>
  <c r="N117" i="38"/>
  <c r="M117" i="38"/>
  <c r="L117" i="38"/>
  <c r="K117" i="38"/>
  <c r="Q116" i="38"/>
  <c r="P116" i="38"/>
  <c r="O116" i="38"/>
  <c r="N116" i="38"/>
  <c r="M116" i="38"/>
  <c r="L116" i="38"/>
  <c r="K116" i="38"/>
  <c r="Q115" i="38"/>
  <c r="P115" i="38"/>
  <c r="O115" i="38"/>
  <c r="N115" i="38"/>
  <c r="M115" i="38"/>
  <c r="L115" i="38"/>
  <c r="K115" i="38"/>
  <c r="Q114" i="38"/>
  <c r="P114" i="38"/>
  <c r="O114" i="38"/>
  <c r="N114" i="38"/>
  <c r="M114" i="38"/>
  <c r="L114" i="38"/>
  <c r="K114" i="38"/>
  <c r="Q113" i="38"/>
  <c r="P113" i="38"/>
  <c r="O113" i="38"/>
  <c r="N113" i="38"/>
  <c r="M113" i="38"/>
  <c r="L113" i="38"/>
  <c r="K113" i="38"/>
  <c r="Q112" i="38"/>
  <c r="P112" i="38"/>
  <c r="O112" i="38"/>
  <c r="N112" i="38"/>
  <c r="M112" i="38"/>
  <c r="L112" i="38"/>
  <c r="K112" i="38"/>
  <c r="Q111" i="38"/>
  <c r="P111" i="38"/>
  <c r="O111" i="38"/>
  <c r="N111" i="38"/>
  <c r="M111" i="38"/>
  <c r="L111" i="38"/>
  <c r="K111" i="38"/>
  <c r="Q110" i="38"/>
  <c r="P110" i="38"/>
  <c r="O110" i="38"/>
  <c r="N110" i="38"/>
  <c r="M110" i="38"/>
  <c r="L110" i="38"/>
  <c r="K110" i="38"/>
  <c r="Q109" i="38"/>
  <c r="P109" i="38"/>
  <c r="O109" i="38"/>
  <c r="N109" i="38"/>
  <c r="M109" i="38"/>
  <c r="L109" i="38"/>
  <c r="K109" i="38"/>
  <c r="Q108" i="38"/>
  <c r="P108" i="38"/>
  <c r="O108" i="38"/>
  <c r="N108" i="38"/>
  <c r="M108" i="38"/>
  <c r="L108" i="38"/>
  <c r="K108" i="38"/>
  <c r="Q107" i="38"/>
  <c r="P107" i="38"/>
  <c r="O107" i="38"/>
  <c r="N107" i="38"/>
  <c r="M107" i="38"/>
  <c r="L107" i="38"/>
  <c r="K107" i="38"/>
  <c r="Q106" i="38"/>
  <c r="P106" i="38"/>
  <c r="O106" i="38"/>
  <c r="N106" i="38"/>
  <c r="M106" i="38"/>
  <c r="L106" i="38"/>
  <c r="K106" i="38"/>
  <c r="Q105" i="38"/>
  <c r="P105" i="38"/>
  <c r="O105" i="38"/>
  <c r="N105" i="38"/>
  <c r="M105" i="38"/>
  <c r="L105" i="38"/>
  <c r="K105" i="38"/>
  <c r="Q104" i="38"/>
  <c r="P104" i="38"/>
  <c r="O104" i="38"/>
  <c r="N104" i="38"/>
  <c r="M104" i="38"/>
  <c r="L104" i="38"/>
  <c r="K104" i="38"/>
  <c r="Q103" i="38"/>
  <c r="P103" i="38"/>
  <c r="O103" i="38"/>
  <c r="N103" i="38"/>
  <c r="M103" i="38"/>
  <c r="L103" i="38"/>
  <c r="K103" i="38"/>
  <c r="Q102" i="38"/>
  <c r="P102" i="38"/>
  <c r="O102" i="38"/>
  <c r="N102" i="38"/>
  <c r="M102" i="38"/>
  <c r="L102" i="38"/>
  <c r="K102" i="38"/>
  <c r="Q101" i="38"/>
  <c r="P101" i="38"/>
  <c r="O101" i="38"/>
  <c r="N101" i="38"/>
  <c r="M101" i="38"/>
  <c r="L101" i="38"/>
  <c r="K101" i="38"/>
  <c r="Q100" i="38"/>
  <c r="P100" i="38"/>
  <c r="O100" i="38"/>
  <c r="N100" i="38"/>
  <c r="M100" i="38"/>
  <c r="L100" i="38"/>
  <c r="K100" i="38"/>
  <c r="Q99" i="38"/>
  <c r="P99" i="38"/>
  <c r="O99" i="38"/>
  <c r="N99" i="38"/>
  <c r="M99" i="38"/>
  <c r="L99" i="38"/>
  <c r="K99" i="38"/>
  <c r="Q98" i="38"/>
  <c r="P98" i="38"/>
  <c r="O98" i="38"/>
  <c r="N98" i="38"/>
  <c r="M98" i="38"/>
  <c r="L98" i="38"/>
  <c r="K98" i="38"/>
  <c r="Q97" i="38"/>
  <c r="P97" i="38"/>
  <c r="O97" i="38"/>
  <c r="N97" i="38"/>
  <c r="M97" i="38"/>
  <c r="L97" i="38"/>
  <c r="K97" i="38"/>
  <c r="Q96" i="38"/>
  <c r="P96" i="38"/>
  <c r="O96" i="38"/>
  <c r="N96" i="38"/>
  <c r="M96" i="38"/>
  <c r="L96" i="38"/>
  <c r="K96" i="38"/>
  <c r="Q95" i="38"/>
  <c r="P95" i="38"/>
  <c r="O95" i="38"/>
  <c r="N95" i="38"/>
  <c r="M95" i="38"/>
  <c r="L95" i="38"/>
  <c r="K95" i="38"/>
  <c r="Q94" i="38"/>
  <c r="P94" i="38"/>
  <c r="O94" i="38"/>
  <c r="N94" i="38"/>
  <c r="M94" i="38"/>
  <c r="L94" i="38"/>
  <c r="K94" i="38"/>
  <c r="Q93" i="38"/>
  <c r="P93" i="38"/>
  <c r="O93" i="38"/>
  <c r="N93" i="38"/>
  <c r="M93" i="38"/>
  <c r="L93" i="38"/>
  <c r="K93" i="38"/>
  <c r="Q92" i="38"/>
  <c r="P92" i="38"/>
  <c r="O92" i="38"/>
  <c r="N92" i="38"/>
  <c r="M92" i="38"/>
  <c r="L92" i="38"/>
  <c r="K92" i="38"/>
  <c r="Q91" i="38"/>
  <c r="P91" i="38"/>
  <c r="O91" i="38"/>
  <c r="N91" i="38"/>
  <c r="M91" i="38"/>
  <c r="L91" i="38"/>
  <c r="K91" i="38"/>
  <c r="Q90" i="38"/>
  <c r="P90" i="38"/>
  <c r="O90" i="38"/>
  <c r="N90" i="38"/>
  <c r="M90" i="38"/>
  <c r="L90" i="38"/>
  <c r="K90" i="38"/>
  <c r="Q89" i="38"/>
  <c r="P89" i="38"/>
  <c r="O89" i="38"/>
  <c r="N89" i="38"/>
  <c r="M89" i="38"/>
  <c r="L89" i="38"/>
  <c r="K89" i="38"/>
  <c r="Q88" i="38"/>
  <c r="P88" i="38"/>
  <c r="O88" i="38"/>
  <c r="N88" i="38"/>
  <c r="M88" i="38"/>
  <c r="L88" i="38"/>
  <c r="K88" i="38"/>
  <c r="Q87" i="38"/>
  <c r="P87" i="38"/>
  <c r="O87" i="38"/>
  <c r="N87" i="38"/>
  <c r="M87" i="38"/>
  <c r="L87" i="38"/>
  <c r="K87" i="38"/>
  <c r="Q86" i="38"/>
  <c r="P86" i="38"/>
  <c r="O86" i="38"/>
  <c r="N86" i="38"/>
  <c r="M86" i="38"/>
  <c r="L86" i="38"/>
  <c r="K86" i="38"/>
  <c r="Q85" i="38"/>
  <c r="P85" i="38"/>
  <c r="O85" i="38"/>
  <c r="N85" i="38"/>
  <c r="M85" i="38"/>
  <c r="L85" i="38"/>
  <c r="K85" i="38"/>
  <c r="Q84" i="38"/>
  <c r="P84" i="38"/>
  <c r="O84" i="38"/>
  <c r="N84" i="38"/>
  <c r="M84" i="38"/>
  <c r="L84" i="38"/>
  <c r="K84" i="38"/>
  <c r="Q83" i="38"/>
  <c r="P83" i="38"/>
  <c r="O83" i="38"/>
  <c r="N83" i="38"/>
  <c r="M83" i="38"/>
  <c r="L83" i="38"/>
  <c r="K83" i="38"/>
  <c r="Q82" i="38"/>
  <c r="P82" i="38"/>
  <c r="O82" i="38"/>
  <c r="N82" i="38"/>
  <c r="M82" i="38"/>
  <c r="L82" i="38"/>
  <c r="K82" i="38"/>
  <c r="Q81" i="38"/>
  <c r="P81" i="38"/>
  <c r="O81" i="38"/>
  <c r="N81" i="38"/>
  <c r="M81" i="38"/>
  <c r="L81" i="38"/>
  <c r="K81" i="38"/>
  <c r="Q80" i="38"/>
  <c r="P80" i="38"/>
  <c r="O80" i="38"/>
  <c r="N80" i="38"/>
  <c r="M80" i="38"/>
  <c r="L80" i="38"/>
  <c r="K80" i="38"/>
  <c r="Q79" i="38"/>
  <c r="P79" i="38"/>
  <c r="O79" i="38"/>
  <c r="N79" i="38"/>
  <c r="M79" i="38"/>
  <c r="L79" i="38"/>
  <c r="K79" i="38"/>
  <c r="Q78" i="38"/>
  <c r="P78" i="38"/>
  <c r="O78" i="38"/>
  <c r="N78" i="38"/>
  <c r="M78" i="38"/>
  <c r="L78" i="38"/>
  <c r="K78" i="38"/>
  <c r="Q77" i="38"/>
  <c r="P77" i="38"/>
  <c r="O77" i="38"/>
  <c r="N77" i="38"/>
  <c r="M77" i="38"/>
  <c r="L77" i="38"/>
  <c r="K77" i="38"/>
  <c r="Q76" i="38"/>
  <c r="P76" i="38"/>
  <c r="O76" i="38"/>
  <c r="N76" i="38"/>
  <c r="M76" i="38"/>
  <c r="L76" i="38"/>
  <c r="K76" i="38"/>
  <c r="Q75" i="38"/>
  <c r="P75" i="38"/>
  <c r="O75" i="38"/>
  <c r="N75" i="38"/>
  <c r="M75" i="38"/>
  <c r="L75" i="38"/>
  <c r="K75" i="38"/>
  <c r="Q74" i="38"/>
  <c r="P74" i="38"/>
  <c r="O74" i="38"/>
  <c r="N74" i="38"/>
  <c r="M74" i="38"/>
  <c r="L74" i="38"/>
  <c r="K74" i="38"/>
  <c r="Q73" i="38"/>
  <c r="P73" i="38"/>
  <c r="O73" i="38"/>
  <c r="N73" i="38"/>
  <c r="M73" i="38"/>
  <c r="L73" i="38"/>
  <c r="K73" i="38"/>
  <c r="Q72" i="38"/>
  <c r="P72" i="38"/>
  <c r="O72" i="38"/>
  <c r="N72" i="38"/>
  <c r="M72" i="38"/>
  <c r="L72" i="38"/>
  <c r="K72" i="38"/>
  <c r="Q71" i="38"/>
  <c r="P71" i="38"/>
  <c r="O71" i="38"/>
  <c r="N71" i="38"/>
  <c r="M71" i="38"/>
  <c r="L71" i="38"/>
  <c r="K71" i="38"/>
  <c r="Q70" i="38"/>
  <c r="P70" i="38"/>
  <c r="O70" i="38"/>
  <c r="N70" i="38"/>
  <c r="M70" i="38"/>
  <c r="L70" i="38"/>
  <c r="K70" i="38"/>
  <c r="Q69" i="38"/>
  <c r="P69" i="38"/>
  <c r="O69" i="38"/>
  <c r="N69" i="38"/>
  <c r="M69" i="38"/>
  <c r="L69" i="38"/>
  <c r="K69" i="38"/>
  <c r="Q68" i="38"/>
  <c r="P68" i="38"/>
  <c r="O68" i="38"/>
  <c r="N68" i="38"/>
  <c r="M68" i="38"/>
  <c r="L68" i="38"/>
  <c r="K68" i="38"/>
  <c r="Q67" i="38"/>
  <c r="P67" i="38"/>
  <c r="O67" i="38"/>
  <c r="N67" i="38"/>
  <c r="M67" i="38"/>
  <c r="L67" i="38"/>
  <c r="K67" i="38"/>
  <c r="Q66" i="38"/>
  <c r="P66" i="38"/>
  <c r="O66" i="38"/>
  <c r="N66" i="38"/>
  <c r="M66" i="38"/>
  <c r="L66" i="38"/>
  <c r="K66" i="38"/>
  <c r="Q65" i="38"/>
  <c r="P65" i="38"/>
  <c r="O65" i="38"/>
  <c r="N65" i="38"/>
  <c r="M65" i="38"/>
  <c r="L65" i="38"/>
  <c r="K65" i="38"/>
  <c r="Q64" i="38"/>
  <c r="P64" i="38"/>
  <c r="O64" i="38"/>
  <c r="N64" i="38"/>
  <c r="M64" i="38"/>
  <c r="L64" i="38"/>
  <c r="K64" i="38"/>
  <c r="Q63" i="38"/>
  <c r="P63" i="38"/>
  <c r="O63" i="38"/>
  <c r="N63" i="38"/>
  <c r="M63" i="38"/>
  <c r="L63" i="38"/>
  <c r="K63" i="38"/>
  <c r="Q62" i="38"/>
  <c r="P62" i="38"/>
  <c r="O62" i="38"/>
  <c r="N62" i="38"/>
  <c r="M62" i="38"/>
  <c r="L62" i="38"/>
  <c r="K62" i="38"/>
  <c r="Q61" i="38"/>
  <c r="P61" i="38"/>
  <c r="O61" i="38"/>
  <c r="N61" i="38"/>
  <c r="M61" i="38"/>
  <c r="L61" i="38"/>
  <c r="K61" i="38"/>
  <c r="Q60" i="38"/>
  <c r="P60" i="38"/>
  <c r="O60" i="38"/>
  <c r="N60" i="38"/>
  <c r="M60" i="38"/>
  <c r="L60" i="38"/>
  <c r="K60" i="38"/>
  <c r="Q59" i="38"/>
  <c r="P59" i="38"/>
  <c r="O59" i="38"/>
  <c r="N59" i="38"/>
  <c r="M59" i="38"/>
  <c r="L59" i="38"/>
  <c r="K59" i="38"/>
  <c r="Q58" i="38"/>
  <c r="P58" i="38"/>
  <c r="O58" i="38"/>
  <c r="N58" i="38"/>
  <c r="M58" i="38"/>
  <c r="L58" i="38"/>
  <c r="K58" i="38"/>
  <c r="Q57" i="38"/>
  <c r="P57" i="38"/>
  <c r="O57" i="38"/>
  <c r="N57" i="38"/>
  <c r="M57" i="38"/>
  <c r="L57" i="38"/>
  <c r="K57" i="38"/>
  <c r="Q56" i="38"/>
  <c r="P56" i="38"/>
  <c r="O56" i="38"/>
  <c r="N56" i="38"/>
  <c r="M56" i="38"/>
  <c r="L56" i="38"/>
  <c r="K56" i="38"/>
  <c r="Q55" i="38"/>
  <c r="P55" i="38"/>
  <c r="O55" i="38"/>
  <c r="N55" i="38"/>
  <c r="M55" i="38"/>
  <c r="L55" i="38"/>
  <c r="K55" i="38"/>
  <c r="Q54" i="38"/>
  <c r="P54" i="38"/>
  <c r="O54" i="38"/>
  <c r="N54" i="38"/>
  <c r="M54" i="38"/>
  <c r="L54" i="38"/>
  <c r="K54" i="38"/>
  <c r="Q53" i="38"/>
  <c r="P53" i="38"/>
  <c r="O53" i="38"/>
  <c r="N53" i="38"/>
  <c r="M53" i="38"/>
  <c r="L53" i="38"/>
  <c r="K53" i="38"/>
  <c r="Q52" i="38"/>
  <c r="P52" i="38"/>
  <c r="O52" i="38"/>
  <c r="N52" i="38"/>
  <c r="M52" i="38"/>
  <c r="L52" i="38"/>
  <c r="K52" i="38"/>
  <c r="Q51" i="38"/>
  <c r="P51" i="38"/>
  <c r="O51" i="38"/>
  <c r="N51" i="38"/>
  <c r="M51" i="38"/>
  <c r="L51" i="38"/>
  <c r="K51" i="38"/>
  <c r="Q50" i="38"/>
  <c r="P50" i="38"/>
  <c r="O50" i="38"/>
  <c r="N50" i="38"/>
  <c r="M50" i="38"/>
  <c r="L50" i="38"/>
  <c r="K50" i="38"/>
  <c r="Q49" i="38"/>
  <c r="P49" i="38"/>
  <c r="O49" i="38"/>
  <c r="N49" i="38"/>
  <c r="M49" i="38"/>
  <c r="L49" i="38"/>
  <c r="K49" i="38"/>
  <c r="Q48" i="38"/>
  <c r="P48" i="38"/>
  <c r="O48" i="38"/>
  <c r="N48" i="38"/>
  <c r="M48" i="38"/>
  <c r="L48" i="38"/>
  <c r="K48" i="38"/>
  <c r="Q47" i="38"/>
  <c r="P47" i="38"/>
  <c r="O47" i="38"/>
  <c r="N47" i="38"/>
  <c r="M47" i="38"/>
  <c r="L47" i="38"/>
  <c r="K47" i="38"/>
  <c r="Q46" i="38"/>
  <c r="P46" i="38"/>
  <c r="O46" i="38"/>
  <c r="N46" i="38"/>
  <c r="M46" i="38"/>
  <c r="L46" i="38"/>
  <c r="K46" i="38"/>
  <c r="Q45" i="38"/>
  <c r="P45" i="38"/>
  <c r="O45" i="38"/>
  <c r="N45" i="38"/>
  <c r="M45" i="38"/>
  <c r="L45" i="38"/>
  <c r="K45" i="38"/>
  <c r="Q44" i="38"/>
  <c r="P44" i="38"/>
  <c r="O44" i="38"/>
  <c r="N44" i="38"/>
  <c r="M44" i="38"/>
  <c r="L44" i="38"/>
  <c r="K44" i="38"/>
  <c r="Q43" i="38"/>
  <c r="P43" i="38"/>
  <c r="O43" i="38"/>
  <c r="N43" i="38"/>
  <c r="M43" i="38"/>
  <c r="L43" i="38"/>
  <c r="K43" i="38"/>
  <c r="Q42" i="38"/>
  <c r="P42" i="38"/>
  <c r="O42" i="38"/>
  <c r="N42" i="38"/>
  <c r="M42" i="38"/>
  <c r="L42" i="38"/>
  <c r="K42" i="38"/>
  <c r="Q41" i="38"/>
  <c r="P41" i="38"/>
  <c r="O41" i="38"/>
  <c r="N41" i="38"/>
  <c r="M41" i="38"/>
  <c r="L41" i="38"/>
  <c r="K41" i="38"/>
  <c r="Q40" i="38"/>
  <c r="P40" i="38"/>
  <c r="O40" i="38"/>
  <c r="N40" i="38"/>
  <c r="M40" i="38"/>
  <c r="L40" i="38"/>
  <c r="K40" i="38"/>
  <c r="Q39" i="38"/>
  <c r="P39" i="38"/>
  <c r="O39" i="38"/>
  <c r="N39" i="38"/>
  <c r="M39" i="38"/>
  <c r="L39" i="38"/>
  <c r="K39" i="38"/>
  <c r="Q38" i="38"/>
  <c r="P38" i="38"/>
  <c r="O38" i="38"/>
  <c r="N38" i="38"/>
  <c r="M38" i="38"/>
  <c r="L38" i="38"/>
  <c r="K38" i="38"/>
  <c r="Q37" i="38"/>
  <c r="P37" i="38"/>
  <c r="O37" i="38"/>
  <c r="N37" i="38"/>
  <c r="M37" i="38"/>
  <c r="L37" i="38"/>
  <c r="K37" i="38"/>
  <c r="Q36" i="38"/>
  <c r="P36" i="38"/>
  <c r="O36" i="38"/>
  <c r="N36" i="38"/>
  <c r="M36" i="38"/>
  <c r="L36" i="38"/>
  <c r="K36" i="38"/>
  <c r="Q35" i="38"/>
  <c r="P35" i="38"/>
  <c r="O35" i="38"/>
  <c r="N35" i="38"/>
  <c r="M35" i="38"/>
  <c r="L35" i="38"/>
  <c r="K35" i="38"/>
  <c r="Q34" i="38"/>
  <c r="P34" i="38"/>
  <c r="O34" i="38"/>
  <c r="N34" i="38"/>
  <c r="M34" i="38"/>
  <c r="L34" i="38"/>
  <c r="K34" i="38"/>
  <c r="Q33" i="38"/>
  <c r="P33" i="38"/>
  <c r="O33" i="38"/>
  <c r="N33" i="38"/>
  <c r="M33" i="38"/>
  <c r="L33" i="38"/>
  <c r="K33" i="38"/>
  <c r="Q32" i="38"/>
  <c r="P32" i="38"/>
  <c r="O32" i="38"/>
  <c r="N32" i="38"/>
  <c r="M32" i="38"/>
  <c r="L32" i="38"/>
  <c r="K32" i="38"/>
  <c r="Q31" i="38"/>
  <c r="P31" i="38"/>
  <c r="O31" i="38"/>
  <c r="N31" i="38"/>
  <c r="M31" i="38"/>
  <c r="L31" i="38"/>
  <c r="K31" i="38"/>
  <c r="Q30" i="38"/>
  <c r="P30" i="38"/>
  <c r="O30" i="38"/>
  <c r="N30" i="38"/>
  <c r="M30" i="38"/>
  <c r="L30" i="38"/>
  <c r="K30" i="38"/>
  <c r="Q29" i="38"/>
  <c r="P29" i="38"/>
  <c r="O29" i="38"/>
  <c r="N29" i="38"/>
  <c r="M29" i="38"/>
  <c r="L29" i="38"/>
  <c r="K29" i="38"/>
  <c r="Q28" i="38"/>
  <c r="P28" i="38"/>
  <c r="O28" i="38"/>
  <c r="N28" i="38"/>
  <c r="M28" i="38"/>
  <c r="L28" i="38"/>
  <c r="K28" i="38"/>
  <c r="Q27" i="38"/>
  <c r="P27" i="38"/>
  <c r="O27" i="38"/>
  <c r="N27" i="38"/>
  <c r="M27" i="38"/>
  <c r="L27" i="38"/>
  <c r="K27" i="38"/>
  <c r="Q26" i="38"/>
  <c r="P26" i="38"/>
  <c r="O26" i="38"/>
  <c r="N26" i="38"/>
  <c r="M26" i="38"/>
  <c r="L26" i="38"/>
  <c r="K26" i="38"/>
  <c r="Q25" i="38"/>
  <c r="P25" i="38"/>
  <c r="O25" i="38"/>
  <c r="N25" i="38"/>
  <c r="M25" i="38"/>
  <c r="L25" i="38"/>
  <c r="K25" i="38"/>
  <c r="Q24" i="38"/>
  <c r="P24" i="38"/>
  <c r="O24" i="38"/>
  <c r="N24" i="38"/>
  <c r="M24" i="38"/>
  <c r="L24" i="38"/>
  <c r="K24" i="38"/>
  <c r="Q23" i="38"/>
  <c r="P23" i="38"/>
  <c r="O23" i="38"/>
  <c r="N23" i="38"/>
  <c r="M23" i="38"/>
  <c r="L23" i="38"/>
  <c r="K23" i="38"/>
  <c r="Q22" i="38"/>
  <c r="P22" i="38"/>
  <c r="O22" i="38"/>
  <c r="N22" i="38"/>
  <c r="M22" i="38"/>
  <c r="L22" i="38"/>
  <c r="K22" i="38"/>
  <c r="Q21" i="38"/>
  <c r="P21" i="38"/>
  <c r="O21" i="38"/>
  <c r="N21" i="38"/>
  <c r="M21" i="38"/>
  <c r="L21" i="38"/>
  <c r="K21" i="38"/>
  <c r="Q20" i="38"/>
  <c r="P20" i="38"/>
  <c r="O20" i="38"/>
  <c r="N20" i="38"/>
  <c r="M20" i="38"/>
  <c r="L20" i="38"/>
  <c r="K20" i="38"/>
  <c r="Q19" i="38"/>
  <c r="P19" i="38"/>
  <c r="O19" i="38"/>
  <c r="N19" i="38"/>
  <c r="M19" i="38"/>
  <c r="L19" i="38"/>
  <c r="K19" i="38"/>
  <c r="Q18" i="38"/>
  <c r="P18" i="38"/>
  <c r="O18" i="38"/>
  <c r="N18" i="38"/>
  <c r="M18" i="38"/>
  <c r="L18" i="38"/>
  <c r="K18" i="38"/>
  <c r="Q17" i="38"/>
  <c r="P17" i="38"/>
  <c r="O17" i="38"/>
  <c r="N17" i="38"/>
  <c r="M17" i="38"/>
  <c r="L17" i="38"/>
  <c r="K17" i="38"/>
  <c r="Q16" i="38"/>
  <c r="P16" i="38"/>
  <c r="O16" i="38"/>
  <c r="N16" i="38"/>
  <c r="M16" i="38"/>
  <c r="L16" i="38"/>
  <c r="K16" i="38"/>
  <c r="Q15" i="38"/>
  <c r="P15" i="38"/>
  <c r="O15" i="38"/>
  <c r="N15" i="38"/>
  <c r="M15" i="38"/>
  <c r="L15" i="38"/>
  <c r="K15" i="38"/>
  <c r="Q14" i="38"/>
  <c r="P14" i="38"/>
  <c r="O14" i="38"/>
  <c r="N14" i="38"/>
  <c r="M14" i="38"/>
  <c r="L14" i="38"/>
  <c r="K14" i="38"/>
  <c r="A2" i="37"/>
  <c r="Q203" i="37"/>
  <c r="P203" i="37"/>
  <c r="O203" i="37"/>
  <c r="N203" i="37"/>
  <c r="M203" i="37"/>
  <c r="L203" i="37"/>
  <c r="K203" i="37"/>
  <c r="Q202" i="37"/>
  <c r="P202" i="37"/>
  <c r="O202" i="37"/>
  <c r="N202" i="37"/>
  <c r="M202" i="37"/>
  <c r="L202" i="37"/>
  <c r="K202" i="37"/>
  <c r="Q201" i="37"/>
  <c r="P201" i="37"/>
  <c r="O201" i="37"/>
  <c r="N201" i="37"/>
  <c r="M201" i="37"/>
  <c r="L201" i="37"/>
  <c r="K201" i="37"/>
  <c r="Q200" i="37"/>
  <c r="P200" i="37"/>
  <c r="O200" i="37"/>
  <c r="N200" i="37"/>
  <c r="M200" i="37"/>
  <c r="L200" i="37"/>
  <c r="K200" i="37"/>
  <c r="Q199" i="37"/>
  <c r="P199" i="37"/>
  <c r="O199" i="37"/>
  <c r="N199" i="37"/>
  <c r="M199" i="37"/>
  <c r="L199" i="37"/>
  <c r="K199" i="37"/>
  <c r="Q198" i="37"/>
  <c r="P198" i="37"/>
  <c r="O198" i="37"/>
  <c r="N198" i="37"/>
  <c r="M198" i="37"/>
  <c r="L198" i="37"/>
  <c r="K198" i="37"/>
  <c r="Q197" i="37"/>
  <c r="P197" i="37"/>
  <c r="O197" i="37"/>
  <c r="N197" i="37"/>
  <c r="M197" i="37"/>
  <c r="L197" i="37"/>
  <c r="K197" i="37"/>
  <c r="Q196" i="37"/>
  <c r="P196" i="37"/>
  <c r="O196" i="37"/>
  <c r="N196" i="37"/>
  <c r="M196" i="37"/>
  <c r="L196" i="37"/>
  <c r="K196" i="37"/>
  <c r="Q195" i="37"/>
  <c r="P195" i="37"/>
  <c r="O195" i="37"/>
  <c r="N195" i="37"/>
  <c r="M195" i="37"/>
  <c r="L195" i="37"/>
  <c r="K195" i="37"/>
  <c r="Q194" i="37"/>
  <c r="P194" i="37"/>
  <c r="O194" i="37"/>
  <c r="N194" i="37"/>
  <c r="M194" i="37"/>
  <c r="L194" i="37"/>
  <c r="K194" i="37"/>
  <c r="Q193" i="37"/>
  <c r="P193" i="37"/>
  <c r="O193" i="37"/>
  <c r="N193" i="37"/>
  <c r="M193" i="37"/>
  <c r="L193" i="37"/>
  <c r="K193" i="37"/>
  <c r="Q192" i="37"/>
  <c r="P192" i="37"/>
  <c r="O192" i="37"/>
  <c r="N192" i="37"/>
  <c r="M192" i="37"/>
  <c r="L192" i="37"/>
  <c r="K192" i="37"/>
  <c r="Q191" i="37"/>
  <c r="P191" i="37"/>
  <c r="O191" i="37"/>
  <c r="N191" i="37"/>
  <c r="M191" i="37"/>
  <c r="L191" i="37"/>
  <c r="K191" i="37"/>
  <c r="Q190" i="37"/>
  <c r="P190" i="37"/>
  <c r="O190" i="37"/>
  <c r="N190" i="37"/>
  <c r="M190" i="37"/>
  <c r="L190" i="37"/>
  <c r="K190" i="37"/>
  <c r="Q189" i="37"/>
  <c r="P189" i="37"/>
  <c r="O189" i="37"/>
  <c r="N189" i="37"/>
  <c r="M189" i="37"/>
  <c r="L189" i="37"/>
  <c r="K189" i="37"/>
  <c r="Q188" i="37"/>
  <c r="P188" i="37"/>
  <c r="O188" i="37"/>
  <c r="N188" i="37"/>
  <c r="M188" i="37"/>
  <c r="L188" i="37"/>
  <c r="K188" i="37"/>
  <c r="Q187" i="37"/>
  <c r="P187" i="37"/>
  <c r="O187" i="37"/>
  <c r="N187" i="37"/>
  <c r="M187" i="37"/>
  <c r="L187" i="37"/>
  <c r="K187" i="37"/>
  <c r="Q186" i="37"/>
  <c r="P186" i="37"/>
  <c r="O186" i="37"/>
  <c r="N186" i="37"/>
  <c r="M186" i="37"/>
  <c r="L186" i="37"/>
  <c r="K186" i="37"/>
  <c r="Q185" i="37"/>
  <c r="P185" i="37"/>
  <c r="O185" i="37"/>
  <c r="N185" i="37"/>
  <c r="M185" i="37"/>
  <c r="L185" i="37"/>
  <c r="K185" i="37"/>
  <c r="Q184" i="37"/>
  <c r="P184" i="37"/>
  <c r="O184" i="37"/>
  <c r="N184" i="37"/>
  <c r="M184" i="37"/>
  <c r="L184" i="37"/>
  <c r="K184" i="37"/>
  <c r="Q183" i="37"/>
  <c r="P183" i="37"/>
  <c r="O183" i="37"/>
  <c r="N183" i="37"/>
  <c r="M183" i="37"/>
  <c r="L183" i="37"/>
  <c r="K183" i="37"/>
  <c r="Q182" i="37"/>
  <c r="P182" i="37"/>
  <c r="O182" i="37"/>
  <c r="N182" i="37"/>
  <c r="M182" i="37"/>
  <c r="L182" i="37"/>
  <c r="K182" i="37"/>
  <c r="Q181" i="37"/>
  <c r="P181" i="37"/>
  <c r="O181" i="37"/>
  <c r="N181" i="37"/>
  <c r="M181" i="37"/>
  <c r="L181" i="37"/>
  <c r="K181" i="37"/>
  <c r="Q180" i="37"/>
  <c r="P180" i="37"/>
  <c r="O180" i="37"/>
  <c r="N180" i="37"/>
  <c r="M180" i="37"/>
  <c r="L180" i="37"/>
  <c r="K180" i="37"/>
  <c r="Q179" i="37"/>
  <c r="P179" i="37"/>
  <c r="O179" i="37"/>
  <c r="N179" i="37"/>
  <c r="M179" i="37"/>
  <c r="L179" i="37"/>
  <c r="K179" i="37"/>
  <c r="Q178" i="37"/>
  <c r="P178" i="37"/>
  <c r="O178" i="37"/>
  <c r="N178" i="37"/>
  <c r="M178" i="37"/>
  <c r="L178" i="37"/>
  <c r="K178" i="37"/>
  <c r="Q177" i="37"/>
  <c r="P177" i="37"/>
  <c r="O177" i="37"/>
  <c r="N177" i="37"/>
  <c r="M177" i="37"/>
  <c r="L177" i="37"/>
  <c r="K177" i="37"/>
  <c r="Q176" i="37"/>
  <c r="P176" i="37"/>
  <c r="O176" i="37"/>
  <c r="N176" i="37"/>
  <c r="M176" i="37"/>
  <c r="L176" i="37"/>
  <c r="K176" i="37"/>
  <c r="Q175" i="37"/>
  <c r="P175" i="37"/>
  <c r="O175" i="37"/>
  <c r="N175" i="37"/>
  <c r="M175" i="37"/>
  <c r="L175" i="37"/>
  <c r="K175" i="37"/>
  <c r="Q174" i="37"/>
  <c r="P174" i="37"/>
  <c r="O174" i="37"/>
  <c r="N174" i="37"/>
  <c r="M174" i="37"/>
  <c r="L174" i="37"/>
  <c r="K174" i="37"/>
  <c r="Q173" i="37"/>
  <c r="P173" i="37"/>
  <c r="O173" i="37"/>
  <c r="N173" i="37"/>
  <c r="M173" i="37"/>
  <c r="L173" i="37"/>
  <c r="K173" i="37"/>
  <c r="Q172" i="37"/>
  <c r="P172" i="37"/>
  <c r="O172" i="37"/>
  <c r="N172" i="37"/>
  <c r="M172" i="37"/>
  <c r="L172" i="37"/>
  <c r="K172" i="37"/>
  <c r="Q171" i="37"/>
  <c r="P171" i="37"/>
  <c r="O171" i="37"/>
  <c r="N171" i="37"/>
  <c r="M171" i="37"/>
  <c r="L171" i="37"/>
  <c r="K171" i="37"/>
  <c r="Q170" i="37"/>
  <c r="P170" i="37"/>
  <c r="O170" i="37"/>
  <c r="N170" i="37"/>
  <c r="M170" i="37"/>
  <c r="L170" i="37"/>
  <c r="K170" i="37"/>
  <c r="Q169" i="37"/>
  <c r="P169" i="37"/>
  <c r="O169" i="37"/>
  <c r="N169" i="37"/>
  <c r="M169" i="37"/>
  <c r="L169" i="37"/>
  <c r="K169" i="37"/>
  <c r="Q168" i="37"/>
  <c r="P168" i="37"/>
  <c r="O168" i="37"/>
  <c r="N168" i="37"/>
  <c r="M168" i="37"/>
  <c r="L168" i="37"/>
  <c r="K168" i="37"/>
  <c r="Q167" i="37"/>
  <c r="P167" i="37"/>
  <c r="O167" i="37"/>
  <c r="N167" i="37"/>
  <c r="M167" i="37"/>
  <c r="L167" i="37"/>
  <c r="K167" i="37"/>
  <c r="Q166" i="37"/>
  <c r="P166" i="37"/>
  <c r="O166" i="37"/>
  <c r="N166" i="37"/>
  <c r="M166" i="37"/>
  <c r="L166" i="37"/>
  <c r="K166" i="37"/>
  <c r="Q165" i="37"/>
  <c r="P165" i="37"/>
  <c r="O165" i="37"/>
  <c r="N165" i="37"/>
  <c r="M165" i="37"/>
  <c r="L165" i="37"/>
  <c r="K165" i="37"/>
  <c r="Q164" i="37"/>
  <c r="P164" i="37"/>
  <c r="O164" i="37"/>
  <c r="N164" i="37"/>
  <c r="M164" i="37"/>
  <c r="L164" i="37"/>
  <c r="K164" i="37"/>
  <c r="Q163" i="37"/>
  <c r="P163" i="37"/>
  <c r="O163" i="37"/>
  <c r="N163" i="37"/>
  <c r="M163" i="37"/>
  <c r="L163" i="37"/>
  <c r="K163" i="37"/>
  <c r="Q162" i="37"/>
  <c r="P162" i="37"/>
  <c r="O162" i="37"/>
  <c r="N162" i="37"/>
  <c r="M162" i="37"/>
  <c r="L162" i="37"/>
  <c r="K162" i="37"/>
  <c r="Q161" i="37"/>
  <c r="P161" i="37"/>
  <c r="O161" i="37"/>
  <c r="N161" i="37"/>
  <c r="M161" i="37"/>
  <c r="L161" i="37"/>
  <c r="K161" i="37"/>
  <c r="Q160" i="37"/>
  <c r="P160" i="37"/>
  <c r="O160" i="37"/>
  <c r="N160" i="37"/>
  <c r="M160" i="37"/>
  <c r="L160" i="37"/>
  <c r="K160" i="37"/>
  <c r="Q159" i="37"/>
  <c r="P159" i="37"/>
  <c r="O159" i="37"/>
  <c r="N159" i="37"/>
  <c r="M159" i="37"/>
  <c r="L159" i="37"/>
  <c r="K159" i="37"/>
  <c r="Q158" i="37"/>
  <c r="P158" i="37"/>
  <c r="O158" i="37"/>
  <c r="N158" i="37"/>
  <c r="M158" i="37"/>
  <c r="L158" i="37"/>
  <c r="K158" i="37"/>
  <c r="Q157" i="37"/>
  <c r="P157" i="37"/>
  <c r="O157" i="37"/>
  <c r="N157" i="37"/>
  <c r="M157" i="37"/>
  <c r="L157" i="37"/>
  <c r="K157" i="37"/>
  <c r="Q156" i="37"/>
  <c r="P156" i="37"/>
  <c r="O156" i="37"/>
  <c r="N156" i="37"/>
  <c r="M156" i="37"/>
  <c r="L156" i="37"/>
  <c r="K156" i="37"/>
  <c r="Q155" i="37"/>
  <c r="P155" i="37"/>
  <c r="O155" i="37"/>
  <c r="N155" i="37"/>
  <c r="M155" i="37"/>
  <c r="L155" i="37"/>
  <c r="K155" i="37"/>
  <c r="Q154" i="37"/>
  <c r="P154" i="37"/>
  <c r="O154" i="37"/>
  <c r="N154" i="37"/>
  <c r="M154" i="37"/>
  <c r="L154" i="37"/>
  <c r="K154" i="37"/>
  <c r="Q153" i="37"/>
  <c r="P153" i="37"/>
  <c r="O153" i="37"/>
  <c r="N153" i="37"/>
  <c r="M153" i="37"/>
  <c r="L153" i="37"/>
  <c r="K153" i="37"/>
  <c r="Q152" i="37"/>
  <c r="P152" i="37"/>
  <c r="O152" i="37"/>
  <c r="N152" i="37"/>
  <c r="M152" i="37"/>
  <c r="L152" i="37"/>
  <c r="K152" i="37"/>
  <c r="Q151" i="37"/>
  <c r="P151" i="37"/>
  <c r="O151" i="37"/>
  <c r="N151" i="37"/>
  <c r="M151" i="37"/>
  <c r="L151" i="37"/>
  <c r="K151" i="37"/>
  <c r="Q150" i="37"/>
  <c r="P150" i="37"/>
  <c r="O150" i="37"/>
  <c r="N150" i="37"/>
  <c r="M150" i="37"/>
  <c r="L150" i="37"/>
  <c r="K150" i="37"/>
  <c r="Q149" i="37"/>
  <c r="P149" i="37"/>
  <c r="O149" i="37"/>
  <c r="N149" i="37"/>
  <c r="M149" i="37"/>
  <c r="L149" i="37"/>
  <c r="K149" i="37"/>
  <c r="Q148" i="37"/>
  <c r="P148" i="37"/>
  <c r="O148" i="37"/>
  <c r="N148" i="37"/>
  <c r="M148" i="37"/>
  <c r="L148" i="37"/>
  <c r="K148" i="37"/>
  <c r="Q147" i="37"/>
  <c r="P147" i="37"/>
  <c r="O147" i="37"/>
  <c r="N147" i="37"/>
  <c r="M147" i="37"/>
  <c r="L147" i="37"/>
  <c r="K147" i="37"/>
  <c r="Q146" i="37"/>
  <c r="P146" i="37"/>
  <c r="O146" i="37"/>
  <c r="N146" i="37"/>
  <c r="M146" i="37"/>
  <c r="L146" i="37"/>
  <c r="K146" i="37"/>
  <c r="Q145" i="37"/>
  <c r="P145" i="37"/>
  <c r="O145" i="37"/>
  <c r="N145" i="37"/>
  <c r="M145" i="37"/>
  <c r="L145" i="37"/>
  <c r="K145" i="37"/>
  <c r="Q144" i="37"/>
  <c r="P144" i="37"/>
  <c r="O144" i="37"/>
  <c r="N144" i="37"/>
  <c r="M144" i="37"/>
  <c r="L144" i="37"/>
  <c r="K144" i="37"/>
  <c r="Q143" i="37"/>
  <c r="P143" i="37"/>
  <c r="O143" i="37"/>
  <c r="N143" i="37"/>
  <c r="M143" i="37"/>
  <c r="L143" i="37"/>
  <c r="K143" i="37"/>
  <c r="Q142" i="37"/>
  <c r="P142" i="37"/>
  <c r="O142" i="37"/>
  <c r="N142" i="37"/>
  <c r="M142" i="37"/>
  <c r="L142" i="37"/>
  <c r="K142" i="37"/>
  <c r="Q141" i="37"/>
  <c r="P141" i="37"/>
  <c r="O141" i="37"/>
  <c r="N141" i="37"/>
  <c r="M141" i="37"/>
  <c r="L141" i="37"/>
  <c r="K141" i="37"/>
  <c r="Q140" i="37"/>
  <c r="P140" i="37"/>
  <c r="O140" i="37"/>
  <c r="N140" i="37"/>
  <c r="M140" i="37"/>
  <c r="L140" i="37"/>
  <c r="K140" i="37"/>
  <c r="Q139" i="37"/>
  <c r="P139" i="37"/>
  <c r="O139" i="37"/>
  <c r="N139" i="37"/>
  <c r="M139" i="37"/>
  <c r="L139" i="37"/>
  <c r="K139" i="37"/>
  <c r="Q138" i="37"/>
  <c r="P138" i="37"/>
  <c r="O138" i="37"/>
  <c r="N138" i="37"/>
  <c r="M138" i="37"/>
  <c r="L138" i="37"/>
  <c r="K138" i="37"/>
  <c r="Q137" i="37"/>
  <c r="P137" i="37"/>
  <c r="O137" i="37"/>
  <c r="N137" i="37"/>
  <c r="M137" i="37"/>
  <c r="L137" i="37"/>
  <c r="K137" i="37"/>
  <c r="Q136" i="37"/>
  <c r="P136" i="37"/>
  <c r="O136" i="37"/>
  <c r="N136" i="37"/>
  <c r="M136" i="37"/>
  <c r="L136" i="37"/>
  <c r="K136" i="37"/>
  <c r="Q135" i="37"/>
  <c r="P135" i="37"/>
  <c r="O135" i="37"/>
  <c r="N135" i="37"/>
  <c r="M135" i="37"/>
  <c r="L135" i="37"/>
  <c r="K135" i="37"/>
  <c r="Q134" i="37"/>
  <c r="P134" i="37"/>
  <c r="O134" i="37"/>
  <c r="N134" i="37"/>
  <c r="M134" i="37"/>
  <c r="L134" i="37"/>
  <c r="K134" i="37"/>
  <c r="Q133" i="37"/>
  <c r="P133" i="37"/>
  <c r="O133" i="37"/>
  <c r="N133" i="37"/>
  <c r="M133" i="37"/>
  <c r="L133" i="37"/>
  <c r="K133" i="37"/>
  <c r="Q132" i="37"/>
  <c r="P132" i="37"/>
  <c r="O132" i="37"/>
  <c r="N132" i="37"/>
  <c r="M132" i="37"/>
  <c r="L132" i="37"/>
  <c r="K132" i="37"/>
  <c r="Q131" i="37"/>
  <c r="P131" i="37"/>
  <c r="O131" i="37"/>
  <c r="N131" i="37"/>
  <c r="M131" i="37"/>
  <c r="L131" i="37"/>
  <c r="K131" i="37"/>
  <c r="Q130" i="37"/>
  <c r="P130" i="37"/>
  <c r="O130" i="37"/>
  <c r="N130" i="37"/>
  <c r="M130" i="37"/>
  <c r="L130" i="37"/>
  <c r="K130" i="37"/>
  <c r="Q129" i="37"/>
  <c r="P129" i="37"/>
  <c r="O129" i="37"/>
  <c r="N129" i="37"/>
  <c r="M129" i="37"/>
  <c r="L129" i="37"/>
  <c r="K129" i="37"/>
  <c r="Q128" i="37"/>
  <c r="P128" i="37"/>
  <c r="O128" i="37"/>
  <c r="N128" i="37"/>
  <c r="M128" i="37"/>
  <c r="L128" i="37"/>
  <c r="K128" i="37"/>
  <c r="Q127" i="37"/>
  <c r="P127" i="37"/>
  <c r="O127" i="37"/>
  <c r="N127" i="37"/>
  <c r="M127" i="37"/>
  <c r="L127" i="37"/>
  <c r="K127" i="37"/>
  <c r="Q126" i="37"/>
  <c r="P126" i="37"/>
  <c r="O126" i="37"/>
  <c r="N126" i="37"/>
  <c r="M126" i="37"/>
  <c r="L126" i="37"/>
  <c r="K126" i="37"/>
  <c r="Q125" i="37"/>
  <c r="P125" i="37"/>
  <c r="O125" i="37"/>
  <c r="N125" i="37"/>
  <c r="M125" i="37"/>
  <c r="L125" i="37"/>
  <c r="K125" i="37"/>
  <c r="Q124" i="37"/>
  <c r="P124" i="37"/>
  <c r="O124" i="37"/>
  <c r="N124" i="37"/>
  <c r="M124" i="37"/>
  <c r="L124" i="37"/>
  <c r="K124" i="37"/>
  <c r="Q123" i="37"/>
  <c r="P123" i="37"/>
  <c r="O123" i="37"/>
  <c r="N123" i="37"/>
  <c r="M123" i="37"/>
  <c r="L123" i="37"/>
  <c r="K123" i="37"/>
  <c r="Q122" i="37"/>
  <c r="P122" i="37"/>
  <c r="O122" i="37"/>
  <c r="N122" i="37"/>
  <c r="M122" i="37"/>
  <c r="L122" i="37"/>
  <c r="K122" i="37"/>
  <c r="Q121" i="37"/>
  <c r="P121" i="37"/>
  <c r="O121" i="37"/>
  <c r="N121" i="37"/>
  <c r="M121" i="37"/>
  <c r="L121" i="37"/>
  <c r="K121" i="37"/>
  <c r="Q120" i="37"/>
  <c r="P120" i="37"/>
  <c r="O120" i="37"/>
  <c r="N120" i="37"/>
  <c r="M120" i="37"/>
  <c r="L120" i="37"/>
  <c r="K120" i="37"/>
  <c r="Q119" i="37"/>
  <c r="P119" i="37"/>
  <c r="O119" i="37"/>
  <c r="N119" i="37"/>
  <c r="M119" i="37"/>
  <c r="L119" i="37"/>
  <c r="K119" i="37"/>
  <c r="Q118" i="37"/>
  <c r="P118" i="37"/>
  <c r="O118" i="37"/>
  <c r="N118" i="37"/>
  <c r="M118" i="37"/>
  <c r="L118" i="37"/>
  <c r="K118" i="37"/>
  <c r="Q117" i="37"/>
  <c r="P117" i="37"/>
  <c r="O117" i="37"/>
  <c r="N117" i="37"/>
  <c r="M117" i="37"/>
  <c r="L117" i="37"/>
  <c r="K117" i="37"/>
  <c r="Q116" i="37"/>
  <c r="P116" i="37"/>
  <c r="O116" i="37"/>
  <c r="N116" i="37"/>
  <c r="M116" i="37"/>
  <c r="L116" i="37"/>
  <c r="K116" i="37"/>
  <c r="Q115" i="37"/>
  <c r="P115" i="37"/>
  <c r="O115" i="37"/>
  <c r="N115" i="37"/>
  <c r="M115" i="37"/>
  <c r="L115" i="37"/>
  <c r="K115" i="37"/>
  <c r="Q114" i="37"/>
  <c r="P114" i="37"/>
  <c r="O114" i="37"/>
  <c r="N114" i="37"/>
  <c r="M114" i="37"/>
  <c r="L114" i="37"/>
  <c r="K114" i="37"/>
  <c r="Q113" i="37"/>
  <c r="P113" i="37"/>
  <c r="O113" i="37"/>
  <c r="N113" i="37"/>
  <c r="M113" i="37"/>
  <c r="L113" i="37"/>
  <c r="K113" i="37"/>
  <c r="Q112" i="37"/>
  <c r="P112" i="37"/>
  <c r="O112" i="37"/>
  <c r="N112" i="37"/>
  <c r="M112" i="37"/>
  <c r="L112" i="37"/>
  <c r="K112" i="37"/>
  <c r="Q111" i="37"/>
  <c r="P111" i="37"/>
  <c r="O111" i="37"/>
  <c r="N111" i="37"/>
  <c r="M111" i="37"/>
  <c r="L111" i="37"/>
  <c r="K111" i="37"/>
  <c r="Q110" i="37"/>
  <c r="P110" i="37"/>
  <c r="O110" i="37"/>
  <c r="N110" i="37"/>
  <c r="M110" i="37"/>
  <c r="L110" i="37"/>
  <c r="K110" i="37"/>
  <c r="Q109" i="37"/>
  <c r="P109" i="37"/>
  <c r="O109" i="37"/>
  <c r="N109" i="37"/>
  <c r="M109" i="37"/>
  <c r="L109" i="37"/>
  <c r="K109" i="37"/>
  <c r="Q108" i="37"/>
  <c r="P108" i="37"/>
  <c r="O108" i="37"/>
  <c r="N108" i="37"/>
  <c r="M108" i="37"/>
  <c r="L108" i="37"/>
  <c r="K108" i="37"/>
  <c r="Q107" i="37"/>
  <c r="P107" i="37"/>
  <c r="O107" i="37"/>
  <c r="N107" i="37"/>
  <c r="M107" i="37"/>
  <c r="L107" i="37"/>
  <c r="K107" i="37"/>
  <c r="Q106" i="37"/>
  <c r="P106" i="37"/>
  <c r="O106" i="37"/>
  <c r="N106" i="37"/>
  <c r="M106" i="37"/>
  <c r="L106" i="37"/>
  <c r="K106" i="37"/>
  <c r="Q105" i="37"/>
  <c r="P105" i="37"/>
  <c r="O105" i="37"/>
  <c r="N105" i="37"/>
  <c r="M105" i="37"/>
  <c r="L105" i="37"/>
  <c r="K105" i="37"/>
  <c r="Q104" i="37"/>
  <c r="P104" i="37"/>
  <c r="O104" i="37"/>
  <c r="N104" i="37"/>
  <c r="M104" i="37"/>
  <c r="L104" i="37"/>
  <c r="K104" i="37"/>
  <c r="Q103" i="37"/>
  <c r="P103" i="37"/>
  <c r="O103" i="37"/>
  <c r="N103" i="37"/>
  <c r="M103" i="37"/>
  <c r="L103" i="37"/>
  <c r="K103" i="37"/>
  <c r="Q102" i="37"/>
  <c r="P102" i="37"/>
  <c r="O102" i="37"/>
  <c r="N102" i="37"/>
  <c r="M102" i="37"/>
  <c r="L102" i="37"/>
  <c r="K102" i="37"/>
  <c r="Q101" i="37"/>
  <c r="P101" i="37"/>
  <c r="O101" i="37"/>
  <c r="N101" i="37"/>
  <c r="M101" i="37"/>
  <c r="L101" i="37"/>
  <c r="K101" i="37"/>
  <c r="Q100" i="37"/>
  <c r="P100" i="37"/>
  <c r="O100" i="37"/>
  <c r="N100" i="37"/>
  <c r="M100" i="37"/>
  <c r="L100" i="37"/>
  <c r="K100" i="37"/>
  <c r="Q99" i="37"/>
  <c r="P99" i="37"/>
  <c r="O99" i="37"/>
  <c r="N99" i="37"/>
  <c r="M99" i="37"/>
  <c r="L99" i="37"/>
  <c r="K99" i="37"/>
  <c r="Q98" i="37"/>
  <c r="P98" i="37"/>
  <c r="O98" i="37"/>
  <c r="N98" i="37"/>
  <c r="M98" i="37"/>
  <c r="L98" i="37"/>
  <c r="K98" i="37"/>
  <c r="Q97" i="37"/>
  <c r="P97" i="37"/>
  <c r="O97" i="37"/>
  <c r="N97" i="37"/>
  <c r="M97" i="37"/>
  <c r="L97" i="37"/>
  <c r="K97" i="37"/>
  <c r="Q96" i="37"/>
  <c r="P96" i="37"/>
  <c r="O96" i="37"/>
  <c r="N96" i="37"/>
  <c r="M96" i="37"/>
  <c r="L96" i="37"/>
  <c r="K96" i="37"/>
  <c r="Q95" i="37"/>
  <c r="P95" i="37"/>
  <c r="O95" i="37"/>
  <c r="N95" i="37"/>
  <c r="M95" i="37"/>
  <c r="L95" i="37"/>
  <c r="K95" i="37"/>
  <c r="Q94" i="37"/>
  <c r="P94" i="37"/>
  <c r="O94" i="37"/>
  <c r="N94" i="37"/>
  <c r="M94" i="37"/>
  <c r="L94" i="37"/>
  <c r="K94" i="37"/>
  <c r="Q93" i="37"/>
  <c r="P93" i="37"/>
  <c r="O93" i="37"/>
  <c r="N93" i="37"/>
  <c r="M93" i="37"/>
  <c r="L93" i="37"/>
  <c r="K93" i="37"/>
  <c r="Q92" i="37"/>
  <c r="P92" i="37"/>
  <c r="O92" i="37"/>
  <c r="N92" i="37"/>
  <c r="M92" i="37"/>
  <c r="L92" i="37"/>
  <c r="K92" i="37"/>
  <c r="Q91" i="37"/>
  <c r="P91" i="37"/>
  <c r="O91" i="37"/>
  <c r="N91" i="37"/>
  <c r="M91" i="37"/>
  <c r="L91" i="37"/>
  <c r="K91" i="37"/>
  <c r="Q90" i="37"/>
  <c r="P90" i="37"/>
  <c r="O90" i="37"/>
  <c r="N90" i="37"/>
  <c r="M90" i="37"/>
  <c r="L90" i="37"/>
  <c r="K90" i="37"/>
  <c r="Q89" i="37"/>
  <c r="P89" i="37"/>
  <c r="O89" i="37"/>
  <c r="N89" i="37"/>
  <c r="M89" i="37"/>
  <c r="L89" i="37"/>
  <c r="K89" i="37"/>
  <c r="Q88" i="37"/>
  <c r="P88" i="37"/>
  <c r="O88" i="37"/>
  <c r="N88" i="37"/>
  <c r="M88" i="37"/>
  <c r="L88" i="37"/>
  <c r="K88" i="37"/>
  <c r="Q87" i="37"/>
  <c r="P87" i="37"/>
  <c r="O87" i="37"/>
  <c r="N87" i="37"/>
  <c r="M87" i="37"/>
  <c r="L87" i="37"/>
  <c r="K87" i="37"/>
  <c r="Q86" i="37"/>
  <c r="P86" i="37"/>
  <c r="O86" i="37"/>
  <c r="N86" i="37"/>
  <c r="M86" i="37"/>
  <c r="L86" i="37"/>
  <c r="K86" i="37"/>
  <c r="Q85" i="37"/>
  <c r="P85" i="37"/>
  <c r="O85" i="37"/>
  <c r="N85" i="37"/>
  <c r="M85" i="37"/>
  <c r="L85" i="37"/>
  <c r="K85" i="37"/>
  <c r="Q84" i="37"/>
  <c r="P84" i="37"/>
  <c r="O84" i="37"/>
  <c r="N84" i="37"/>
  <c r="M84" i="37"/>
  <c r="L84" i="37"/>
  <c r="K84" i="37"/>
  <c r="Q83" i="37"/>
  <c r="P83" i="37"/>
  <c r="O83" i="37"/>
  <c r="N83" i="37"/>
  <c r="M83" i="37"/>
  <c r="L83" i="37"/>
  <c r="K83" i="37"/>
  <c r="Q82" i="37"/>
  <c r="P82" i="37"/>
  <c r="O82" i="37"/>
  <c r="N82" i="37"/>
  <c r="M82" i="37"/>
  <c r="L82" i="37"/>
  <c r="K82" i="37"/>
  <c r="Q81" i="37"/>
  <c r="P81" i="37"/>
  <c r="O81" i="37"/>
  <c r="N81" i="37"/>
  <c r="M81" i="37"/>
  <c r="L81" i="37"/>
  <c r="K81" i="37"/>
  <c r="Q80" i="37"/>
  <c r="P80" i="37"/>
  <c r="O80" i="37"/>
  <c r="N80" i="37"/>
  <c r="M80" i="37"/>
  <c r="L80" i="37"/>
  <c r="K80" i="37"/>
  <c r="Q79" i="37"/>
  <c r="P79" i="37"/>
  <c r="O79" i="37"/>
  <c r="N79" i="37"/>
  <c r="M79" i="37"/>
  <c r="L79" i="37"/>
  <c r="K79" i="37"/>
  <c r="Q78" i="37"/>
  <c r="P78" i="37"/>
  <c r="O78" i="37"/>
  <c r="N78" i="37"/>
  <c r="M78" i="37"/>
  <c r="L78" i="37"/>
  <c r="K78" i="37"/>
  <c r="Q77" i="37"/>
  <c r="P77" i="37"/>
  <c r="O77" i="37"/>
  <c r="N77" i="37"/>
  <c r="M77" i="37"/>
  <c r="L77" i="37"/>
  <c r="K77" i="37"/>
  <c r="Q76" i="37"/>
  <c r="P76" i="37"/>
  <c r="O76" i="37"/>
  <c r="N76" i="37"/>
  <c r="M76" i="37"/>
  <c r="L76" i="37"/>
  <c r="K76" i="37"/>
  <c r="Q75" i="37"/>
  <c r="P75" i="37"/>
  <c r="O75" i="37"/>
  <c r="N75" i="37"/>
  <c r="M75" i="37"/>
  <c r="L75" i="37"/>
  <c r="K75" i="37"/>
  <c r="Q74" i="37"/>
  <c r="P74" i="37"/>
  <c r="O74" i="37"/>
  <c r="N74" i="37"/>
  <c r="M74" i="37"/>
  <c r="L74" i="37"/>
  <c r="K74" i="37"/>
  <c r="Q73" i="37"/>
  <c r="P73" i="37"/>
  <c r="O73" i="37"/>
  <c r="N73" i="37"/>
  <c r="M73" i="37"/>
  <c r="L73" i="37"/>
  <c r="K73" i="37"/>
  <c r="Q72" i="37"/>
  <c r="P72" i="37"/>
  <c r="O72" i="37"/>
  <c r="N72" i="37"/>
  <c r="M72" i="37"/>
  <c r="L72" i="37"/>
  <c r="K72" i="37"/>
  <c r="Q71" i="37"/>
  <c r="P71" i="37"/>
  <c r="O71" i="37"/>
  <c r="N71" i="37"/>
  <c r="M71" i="37"/>
  <c r="L71" i="37"/>
  <c r="K71" i="37"/>
  <c r="Q70" i="37"/>
  <c r="P70" i="37"/>
  <c r="O70" i="37"/>
  <c r="N70" i="37"/>
  <c r="M70" i="37"/>
  <c r="L70" i="37"/>
  <c r="K70" i="37"/>
  <c r="Q69" i="37"/>
  <c r="P69" i="37"/>
  <c r="O69" i="37"/>
  <c r="N69" i="37"/>
  <c r="M69" i="37"/>
  <c r="L69" i="37"/>
  <c r="K69" i="37"/>
  <c r="Q68" i="37"/>
  <c r="P68" i="37"/>
  <c r="O68" i="37"/>
  <c r="N68" i="37"/>
  <c r="M68" i="37"/>
  <c r="L68" i="37"/>
  <c r="K68" i="37"/>
  <c r="Q67" i="37"/>
  <c r="P67" i="37"/>
  <c r="O67" i="37"/>
  <c r="N67" i="37"/>
  <c r="M67" i="37"/>
  <c r="L67" i="37"/>
  <c r="K67" i="37"/>
  <c r="Q66" i="37"/>
  <c r="P66" i="37"/>
  <c r="O66" i="37"/>
  <c r="N66" i="37"/>
  <c r="M66" i="37"/>
  <c r="L66" i="37"/>
  <c r="K66" i="37"/>
  <c r="Q65" i="37"/>
  <c r="P65" i="37"/>
  <c r="O65" i="37"/>
  <c r="N65" i="37"/>
  <c r="M65" i="37"/>
  <c r="L65" i="37"/>
  <c r="K65" i="37"/>
  <c r="Q64" i="37"/>
  <c r="P64" i="37"/>
  <c r="O64" i="37"/>
  <c r="N64" i="37"/>
  <c r="M64" i="37"/>
  <c r="L64" i="37"/>
  <c r="K64" i="37"/>
  <c r="Q63" i="37"/>
  <c r="P63" i="37"/>
  <c r="O63" i="37"/>
  <c r="N63" i="37"/>
  <c r="M63" i="37"/>
  <c r="L63" i="37"/>
  <c r="K63" i="37"/>
  <c r="Q62" i="37"/>
  <c r="P62" i="37"/>
  <c r="O62" i="37"/>
  <c r="N62" i="37"/>
  <c r="M62" i="37"/>
  <c r="L62" i="37"/>
  <c r="K62" i="37"/>
  <c r="Q61" i="37"/>
  <c r="P61" i="37"/>
  <c r="O61" i="37"/>
  <c r="N61" i="37"/>
  <c r="M61" i="37"/>
  <c r="L61" i="37"/>
  <c r="K61" i="37"/>
  <c r="Q60" i="37"/>
  <c r="P60" i="37"/>
  <c r="O60" i="37"/>
  <c r="N60" i="37"/>
  <c r="M60" i="37"/>
  <c r="L60" i="37"/>
  <c r="K60" i="37"/>
  <c r="Q59" i="37"/>
  <c r="P59" i="37"/>
  <c r="O59" i="37"/>
  <c r="N59" i="37"/>
  <c r="M59" i="37"/>
  <c r="L59" i="37"/>
  <c r="K59" i="37"/>
  <c r="Q58" i="37"/>
  <c r="P58" i="37"/>
  <c r="O58" i="37"/>
  <c r="N58" i="37"/>
  <c r="M58" i="37"/>
  <c r="L58" i="37"/>
  <c r="K58" i="37"/>
  <c r="Q57" i="37"/>
  <c r="P57" i="37"/>
  <c r="O57" i="37"/>
  <c r="N57" i="37"/>
  <c r="M57" i="37"/>
  <c r="L57" i="37"/>
  <c r="K57" i="37"/>
  <c r="Q56" i="37"/>
  <c r="P56" i="37"/>
  <c r="O56" i="37"/>
  <c r="N56" i="37"/>
  <c r="M56" i="37"/>
  <c r="L56" i="37"/>
  <c r="K56" i="37"/>
  <c r="Q55" i="37"/>
  <c r="P55" i="37"/>
  <c r="O55" i="37"/>
  <c r="N55" i="37"/>
  <c r="M55" i="37"/>
  <c r="L55" i="37"/>
  <c r="K55" i="37"/>
  <c r="Q54" i="37"/>
  <c r="P54" i="37"/>
  <c r="O54" i="37"/>
  <c r="N54" i="37"/>
  <c r="M54" i="37"/>
  <c r="L54" i="37"/>
  <c r="K54" i="37"/>
  <c r="Q53" i="37"/>
  <c r="P53" i="37"/>
  <c r="O53" i="37"/>
  <c r="N53" i="37"/>
  <c r="M53" i="37"/>
  <c r="L53" i="37"/>
  <c r="K53" i="37"/>
  <c r="Q52" i="37"/>
  <c r="P52" i="37"/>
  <c r="O52" i="37"/>
  <c r="N52" i="37"/>
  <c r="M52" i="37"/>
  <c r="L52" i="37"/>
  <c r="K52" i="37"/>
  <c r="Q51" i="37"/>
  <c r="P51" i="37"/>
  <c r="O51" i="37"/>
  <c r="N51" i="37"/>
  <c r="M51" i="37"/>
  <c r="L51" i="37"/>
  <c r="K51" i="37"/>
  <c r="Q50" i="37"/>
  <c r="P50" i="37"/>
  <c r="O50" i="37"/>
  <c r="N50" i="37"/>
  <c r="M50" i="37"/>
  <c r="L50" i="37"/>
  <c r="K50" i="37"/>
  <c r="Q49" i="37"/>
  <c r="P49" i="37"/>
  <c r="O49" i="37"/>
  <c r="N49" i="37"/>
  <c r="M49" i="37"/>
  <c r="L49" i="37"/>
  <c r="K49" i="37"/>
  <c r="Q48" i="37"/>
  <c r="P48" i="37"/>
  <c r="O48" i="37"/>
  <c r="N48" i="37"/>
  <c r="M48" i="37"/>
  <c r="L48" i="37"/>
  <c r="K48" i="37"/>
  <c r="Q47" i="37"/>
  <c r="P47" i="37"/>
  <c r="O47" i="37"/>
  <c r="N47" i="37"/>
  <c r="M47" i="37"/>
  <c r="L47" i="37"/>
  <c r="K47" i="37"/>
  <c r="Q46" i="37"/>
  <c r="P46" i="37"/>
  <c r="O46" i="37"/>
  <c r="N46" i="37"/>
  <c r="M46" i="37"/>
  <c r="L46" i="37"/>
  <c r="K46" i="37"/>
  <c r="Q45" i="37"/>
  <c r="P45" i="37"/>
  <c r="O45" i="37"/>
  <c r="N45" i="37"/>
  <c r="M45" i="37"/>
  <c r="L45" i="37"/>
  <c r="K45" i="37"/>
  <c r="Q44" i="37"/>
  <c r="P44" i="37"/>
  <c r="O44" i="37"/>
  <c r="N44" i="37"/>
  <c r="M44" i="37"/>
  <c r="L44" i="37"/>
  <c r="K44" i="37"/>
  <c r="Q43" i="37"/>
  <c r="P43" i="37"/>
  <c r="O43" i="37"/>
  <c r="N43" i="37"/>
  <c r="M43" i="37"/>
  <c r="L43" i="37"/>
  <c r="K43" i="37"/>
  <c r="Q42" i="37"/>
  <c r="P42" i="37"/>
  <c r="O42" i="37"/>
  <c r="N42" i="37"/>
  <c r="M42" i="37"/>
  <c r="L42" i="37"/>
  <c r="K42" i="37"/>
  <c r="Q41" i="37"/>
  <c r="P41" i="37"/>
  <c r="O41" i="37"/>
  <c r="N41" i="37"/>
  <c r="M41" i="37"/>
  <c r="L41" i="37"/>
  <c r="K41" i="37"/>
  <c r="Q40" i="37"/>
  <c r="P40" i="37"/>
  <c r="O40" i="37"/>
  <c r="N40" i="37"/>
  <c r="M40" i="37"/>
  <c r="L40" i="37"/>
  <c r="K40" i="37"/>
  <c r="Q39" i="37"/>
  <c r="P39" i="37"/>
  <c r="O39" i="37"/>
  <c r="N39" i="37"/>
  <c r="M39" i="37"/>
  <c r="L39" i="37"/>
  <c r="K39" i="37"/>
  <c r="Q38" i="37"/>
  <c r="P38" i="37"/>
  <c r="O38" i="37"/>
  <c r="N38" i="37"/>
  <c r="M38" i="37"/>
  <c r="L38" i="37"/>
  <c r="K38" i="37"/>
  <c r="Q37" i="37"/>
  <c r="P37" i="37"/>
  <c r="O37" i="37"/>
  <c r="N37" i="37"/>
  <c r="M37" i="37"/>
  <c r="L37" i="37"/>
  <c r="K37" i="37"/>
  <c r="Q36" i="37"/>
  <c r="P36" i="37"/>
  <c r="O36" i="37"/>
  <c r="N36" i="37"/>
  <c r="M36" i="37"/>
  <c r="L36" i="37"/>
  <c r="K36" i="37"/>
  <c r="Q35" i="37"/>
  <c r="P35" i="37"/>
  <c r="O35" i="37"/>
  <c r="N35" i="37"/>
  <c r="M35" i="37"/>
  <c r="L35" i="37"/>
  <c r="K35" i="37"/>
  <c r="Q34" i="37"/>
  <c r="P34" i="37"/>
  <c r="O34" i="37"/>
  <c r="N34" i="37"/>
  <c r="M34" i="37"/>
  <c r="L34" i="37"/>
  <c r="K34" i="37"/>
  <c r="Q33" i="37"/>
  <c r="P33" i="37"/>
  <c r="O33" i="37"/>
  <c r="N33" i="37"/>
  <c r="M33" i="37"/>
  <c r="L33" i="37"/>
  <c r="K33" i="37"/>
  <c r="Q32" i="37"/>
  <c r="P32" i="37"/>
  <c r="O32" i="37"/>
  <c r="N32" i="37"/>
  <c r="M32" i="37"/>
  <c r="L32" i="37"/>
  <c r="K32" i="37"/>
  <c r="Q31" i="37"/>
  <c r="P31" i="37"/>
  <c r="O31" i="37"/>
  <c r="N31" i="37"/>
  <c r="M31" i="37"/>
  <c r="L31" i="37"/>
  <c r="K31" i="37"/>
  <c r="Q30" i="37"/>
  <c r="P30" i="37"/>
  <c r="O30" i="37"/>
  <c r="N30" i="37"/>
  <c r="M30" i="37"/>
  <c r="L30" i="37"/>
  <c r="K30" i="37"/>
  <c r="Q29" i="37"/>
  <c r="P29" i="37"/>
  <c r="O29" i="37"/>
  <c r="N29" i="37"/>
  <c r="M29" i="37"/>
  <c r="L29" i="37"/>
  <c r="K29" i="37"/>
  <c r="Q28" i="37"/>
  <c r="P28" i="37"/>
  <c r="O28" i="37"/>
  <c r="N28" i="37"/>
  <c r="M28" i="37"/>
  <c r="L28" i="37"/>
  <c r="K28" i="37"/>
  <c r="Q27" i="37"/>
  <c r="P27" i="37"/>
  <c r="O27" i="37"/>
  <c r="N27" i="37"/>
  <c r="M27" i="37"/>
  <c r="L27" i="37"/>
  <c r="K27" i="37"/>
  <c r="Q26" i="37"/>
  <c r="P26" i="37"/>
  <c r="O26" i="37"/>
  <c r="N26" i="37"/>
  <c r="M26" i="37"/>
  <c r="L26" i="37"/>
  <c r="K26" i="37"/>
  <c r="Q25" i="37"/>
  <c r="P25" i="37"/>
  <c r="O25" i="37"/>
  <c r="N25" i="37"/>
  <c r="M25" i="37"/>
  <c r="L25" i="37"/>
  <c r="K25" i="37"/>
  <c r="Q24" i="37"/>
  <c r="P24" i="37"/>
  <c r="O24" i="37"/>
  <c r="N24" i="37"/>
  <c r="M24" i="37"/>
  <c r="L24" i="37"/>
  <c r="K24" i="37"/>
  <c r="Q23" i="37"/>
  <c r="P23" i="37"/>
  <c r="O23" i="37"/>
  <c r="N23" i="37"/>
  <c r="M23" i="37"/>
  <c r="L23" i="37"/>
  <c r="K23" i="37"/>
  <c r="Q22" i="37"/>
  <c r="P22" i="37"/>
  <c r="O22" i="37"/>
  <c r="N22" i="37"/>
  <c r="M22" i="37"/>
  <c r="L22" i="37"/>
  <c r="K22" i="37"/>
  <c r="Q21" i="37"/>
  <c r="P21" i="37"/>
  <c r="O21" i="37"/>
  <c r="N21" i="37"/>
  <c r="M21" i="37"/>
  <c r="L21" i="37"/>
  <c r="K21" i="37"/>
  <c r="Q20" i="37"/>
  <c r="P20" i="37"/>
  <c r="O20" i="37"/>
  <c r="N20" i="37"/>
  <c r="M20" i="37"/>
  <c r="L20" i="37"/>
  <c r="K20" i="37"/>
  <c r="Q19" i="37"/>
  <c r="P19" i="37"/>
  <c r="O19" i="37"/>
  <c r="N19" i="37"/>
  <c r="M19" i="37"/>
  <c r="L19" i="37"/>
  <c r="K19" i="37"/>
  <c r="Q18" i="37"/>
  <c r="P18" i="37"/>
  <c r="O18" i="37"/>
  <c r="N18" i="37"/>
  <c r="M18" i="37"/>
  <c r="L18" i="37"/>
  <c r="K18" i="37"/>
  <c r="Q17" i="37"/>
  <c r="P17" i="37"/>
  <c r="O17" i="37"/>
  <c r="N17" i="37"/>
  <c r="M17" i="37"/>
  <c r="L17" i="37"/>
  <c r="K17" i="37"/>
  <c r="Q16" i="37"/>
  <c r="P16" i="37"/>
  <c r="O16" i="37"/>
  <c r="N16" i="37"/>
  <c r="M16" i="37"/>
  <c r="L16" i="37"/>
  <c r="K16" i="37"/>
  <c r="Q15" i="37"/>
  <c r="P15" i="37"/>
  <c r="O15" i="37"/>
  <c r="N15" i="37"/>
  <c r="M15" i="37"/>
  <c r="L15" i="37"/>
  <c r="K15" i="37"/>
  <c r="Q14" i="37"/>
  <c r="P14" i="37"/>
  <c r="O14" i="37"/>
  <c r="N14" i="37"/>
  <c r="M14" i="37"/>
  <c r="L14" i="37"/>
  <c r="K14" i="37"/>
  <c r="A2" i="58"/>
  <c r="Q203" i="58"/>
  <c r="P203" i="58"/>
  <c r="O203" i="58"/>
  <c r="N203" i="58"/>
  <c r="M203" i="58"/>
  <c r="L203" i="58"/>
  <c r="K203" i="58"/>
  <c r="Q202" i="58"/>
  <c r="P202" i="58"/>
  <c r="O202" i="58"/>
  <c r="N202" i="58"/>
  <c r="M202" i="58"/>
  <c r="L202" i="58"/>
  <c r="K202" i="58"/>
  <c r="Q201" i="58"/>
  <c r="P201" i="58"/>
  <c r="O201" i="58"/>
  <c r="N201" i="58"/>
  <c r="M201" i="58"/>
  <c r="L201" i="58"/>
  <c r="K201" i="58"/>
  <c r="Q200" i="58"/>
  <c r="P200" i="58"/>
  <c r="O200" i="58"/>
  <c r="N200" i="58"/>
  <c r="M200" i="58"/>
  <c r="L200" i="58"/>
  <c r="K200" i="58"/>
  <c r="Q199" i="58"/>
  <c r="P199" i="58"/>
  <c r="O199" i="58"/>
  <c r="N199" i="58"/>
  <c r="M199" i="58"/>
  <c r="L199" i="58"/>
  <c r="K199" i="58"/>
  <c r="Q198" i="58"/>
  <c r="P198" i="58"/>
  <c r="O198" i="58"/>
  <c r="N198" i="58"/>
  <c r="M198" i="58"/>
  <c r="L198" i="58"/>
  <c r="K198" i="58"/>
  <c r="Q197" i="58"/>
  <c r="P197" i="58"/>
  <c r="O197" i="58"/>
  <c r="N197" i="58"/>
  <c r="M197" i="58"/>
  <c r="L197" i="58"/>
  <c r="K197" i="58"/>
  <c r="Q196" i="58"/>
  <c r="P196" i="58"/>
  <c r="O196" i="58"/>
  <c r="N196" i="58"/>
  <c r="M196" i="58"/>
  <c r="L196" i="58"/>
  <c r="K196" i="58"/>
  <c r="Q195" i="58"/>
  <c r="P195" i="58"/>
  <c r="O195" i="58"/>
  <c r="N195" i="58"/>
  <c r="M195" i="58"/>
  <c r="L195" i="58"/>
  <c r="K195" i="58"/>
  <c r="Q194" i="58"/>
  <c r="P194" i="58"/>
  <c r="O194" i="58"/>
  <c r="N194" i="58"/>
  <c r="M194" i="58"/>
  <c r="L194" i="58"/>
  <c r="K194" i="58"/>
  <c r="Q193" i="58"/>
  <c r="P193" i="58"/>
  <c r="O193" i="58"/>
  <c r="N193" i="58"/>
  <c r="M193" i="58"/>
  <c r="L193" i="58"/>
  <c r="K193" i="58"/>
  <c r="Q192" i="58"/>
  <c r="P192" i="58"/>
  <c r="O192" i="58"/>
  <c r="N192" i="58"/>
  <c r="M192" i="58"/>
  <c r="L192" i="58"/>
  <c r="K192" i="58"/>
  <c r="Q191" i="58"/>
  <c r="P191" i="58"/>
  <c r="O191" i="58"/>
  <c r="N191" i="58"/>
  <c r="M191" i="58"/>
  <c r="L191" i="58"/>
  <c r="K191" i="58"/>
  <c r="Q190" i="58"/>
  <c r="P190" i="58"/>
  <c r="O190" i="58"/>
  <c r="N190" i="58"/>
  <c r="M190" i="58"/>
  <c r="L190" i="58"/>
  <c r="K190" i="58"/>
  <c r="Q189" i="58"/>
  <c r="P189" i="58"/>
  <c r="O189" i="58"/>
  <c r="N189" i="58"/>
  <c r="M189" i="58"/>
  <c r="L189" i="58"/>
  <c r="K189" i="58"/>
  <c r="Q188" i="58"/>
  <c r="P188" i="58"/>
  <c r="O188" i="58"/>
  <c r="N188" i="58"/>
  <c r="M188" i="58"/>
  <c r="L188" i="58"/>
  <c r="K188" i="58"/>
  <c r="Q187" i="58"/>
  <c r="P187" i="58"/>
  <c r="O187" i="58"/>
  <c r="N187" i="58"/>
  <c r="M187" i="58"/>
  <c r="L187" i="58"/>
  <c r="K187" i="58"/>
  <c r="Q186" i="58"/>
  <c r="P186" i="58"/>
  <c r="O186" i="58"/>
  <c r="N186" i="58"/>
  <c r="M186" i="58"/>
  <c r="L186" i="58"/>
  <c r="K186" i="58"/>
  <c r="Q185" i="58"/>
  <c r="P185" i="58"/>
  <c r="O185" i="58"/>
  <c r="N185" i="58"/>
  <c r="M185" i="58"/>
  <c r="L185" i="58"/>
  <c r="K185" i="58"/>
  <c r="Q184" i="58"/>
  <c r="P184" i="58"/>
  <c r="O184" i="58"/>
  <c r="N184" i="58"/>
  <c r="M184" i="58"/>
  <c r="L184" i="58"/>
  <c r="K184" i="58"/>
  <c r="Q183" i="58"/>
  <c r="P183" i="58"/>
  <c r="O183" i="58"/>
  <c r="N183" i="58"/>
  <c r="M183" i="58"/>
  <c r="L183" i="58"/>
  <c r="K183" i="58"/>
  <c r="Q182" i="58"/>
  <c r="P182" i="58"/>
  <c r="O182" i="58"/>
  <c r="N182" i="58"/>
  <c r="M182" i="58"/>
  <c r="L182" i="58"/>
  <c r="K182" i="58"/>
  <c r="Q181" i="58"/>
  <c r="P181" i="58"/>
  <c r="O181" i="58"/>
  <c r="N181" i="58"/>
  <c r="M181" i="58"/>
  <c r="L181" i="58"/>
  <c r="K181" i="58"/>
  <c r="Q180" i="58"/>
  <c r="P180" i="58"/>
  <c r="O180" i="58"/>
  <c r="N180" i="58"/>
  <c r="M180" i="58"/>
  <c r="L180" i="58"/>
  <c r="K180" i="58"/>
  <c r="Q179" i="58"/>
  <c r="P179" i="58"/>
  <c r="O179" i="58"/>
  <c r="N179" i="58"/>
  <c r="M179" i="58"/>
  <c r="L179" i="58"/>
  <c r="K179" i="58"/>
  <c r="Q178" i="58"/>
  <c r="P178" i="58"/>
  <c r="O178" i="58"/>
  <c r="N178" i="58"/>
  <c r="M178" i="58"/>
  <c r="L178" i="58"/>
  <c r="K178" i="58"/>
  <c r="Q177" i="58"/>
  <c r="P177" i="58"/>
  <c r="O177" i="58"/>
  <c r="N177" i="58"/>
  <c r="M177" i="58"/>
  <c r="L177" i="58"/>
  <c r="K177" i="58"/>
  <c r="Q176" i="58"/>
  <c r="P176" i="58"/>
  <c r="O176" i="58"/>
  <c r="N176" i="58"/>
  <c r="M176" i="58"/>
  <c r="L176" i="58"/>
  <c r="K176" i="58"/>
  <c r="Q175" i="58"/>
  <c r="P175" i="58"/>
  <c r="O175" i="58"/>
  <c r="N175" i="58"/>
  <c r="M175" i="58"/>
  <c r="L175" i="58"/>
  <c r="K175" i="58"/>
  <c r="Q174" i="58"/>
  <c r="P174" i="58"/>
  <c r="O174" i="58"/>
  <c r="N174" i="58"/>
  <c r="M174" i="58"/>
  <c r="L174" i="58"/>
  <c r="K174" i="58"/>
  <c r="Q173" i="58"/>
  <c r="P173" i="58"/>
  <c r="O173" i="58"/>
  <c r="N173" i="58"/>
  <c r="M173" i="58"/>
  <c r="L173" i="58"/>
  <c r="K173" i="58"/>
  <c r="Q172" i="58"/>
  <c r="P172" i="58"/>
  <c r="O172" i="58"/>
  <c r="N172" i="58"/>
  <c r="M172" i="58"/>
  <c r="L172" i="58"/>
  <c r="K172" i="58"/>
  <c r="Q171" i="58"/>
  <c r="P171" i="58"/>
  <c r="O171" i="58"/>
  <c r="N171" i="58"/>
  <c r="M171" i="58"/>
  <c r="L171" i="58"/>
  <c r="K171" i="58"/>
  <c r="Q170" i="58"/>
  <c r="P170" i="58"/>
  <c r="O170" i="58"/>
  <c r="N170" i="58"/>
  <c r="M170" i="58"/>
  <c r="L170" i="58"/>
  <c r="K170" i="58"/>
  <c r="Q169" i="58"/>
  <c r="P169" i="58"/>
  <c r="O169" i="58"/>
  <c r="N169" i="58"/>
  <c r="M169" i="58"/>
  <c r="L169" i="58"/>
  <c r="K169" i="58"/>
  <c r="Q168" i="58"/>
  <c r="P168" i="58"/>
  <c r="O168" i="58"/>
  <c r="N168" i="58"/>
  <c r="M168" i="58"/>
  <c r="L168" i="58"/>
  <c r="K168" i="58"/>
  <c r="Q167" i="58"/>
  <c r="P167" i="58"/>
  <c r="O167" i="58"/>
  <c r="N167" i="58"/>
  <c r="M167" i="58"/>
  <c r="L167" i="58"/>
  <c r="K167" i="58"/>
  <c r="Q166" i="58"/>
  <c r="P166" i="58"/>
  <c r="O166" i="58"/>
  <c r="N166" i="58"/>
  <c r="M166" i="58"/>
  <c r="L166" i="58"/>
  <c r="K166" i="58"/>
  <c r="Q165" i="58"/>
  <c r="P165" i="58"/>
  <c r="O165" i="58"/>
  <c r="N165" i="58"/>
  <c r="M165" i="58"/>
  <c r="L165" i="58"/>
  <c r="K165" i="58"/>
  <c r="Q164" i="58"/>
  <c r="P164" i="58"/>
  <c r="O164" i="58"/>
  <c r="N164" i="58"/>
  <c r="M164" i="58"/>
  <c r="L164" i="58"/>
  <c r="K164" i="58"/>
  <c r="Q163" i="58"/>
  <c r="P163" i="58"/>
  <c r="O163" i="58"/>
  <c r="N163" i="58"/>
  <c r="M163" i="58"/>
  <c r="L163" i="58"/>
  <c r="K163" i="58"/>
  <c r="Q162" i="58"/>
  <c r="P162" i="58"/>
  <c r="O162" i="58"/>
  <c r="N162" i="58"/>
  <c r="M162" i="58"/>
  <c r="L162" i="58"/>
  <c r="K162" i="58"/>
  <c r="Q161" i="58"/>
  <c r="P161" i="58"/>
  <c r="O161" i="58"/>
  <c r="N161" i="58"/>
  <c r="M161" i="58"/>
  <c r="L161" i="58"/>
  <c r="K161" i="58"/>
  <c r="Q160" i="58"/>
  <c r="P160" i="58"/>
  <c r="O160" i="58"/>
  <c r="N160" i="58"/>
  <c r="M160" i="58"/>
  <c r="L160" i="58"/>
  <c r="K160" i="58"/>
  <c r="Q159" i="58"/>
  <c r="P159" i="58"/>
  <c r="O159" i="58"/>
  <c r="N159" i="58"/>
  <c r="M159" i="58"/>
  <c r="L159" i="58"/>
  <c r="K159" i="58"/>
  <c r="Q158" i="58"/>
  <c r="P158" i="58"/>
  <c r="O158" i="58"/>
  <c r="N158" i="58"/>
  <c r="M158" i="58"/>
  <c r="L158" i="58"/>
  <c r="K158" i="58"/>
  <c r="Q157" i="58"/>
  <c r="P157" i="58"/>
  <c r="O157" i="58"/>
  <c r="N157" i="58"/>
  <c r="M157" i="58"/>
  <c r="L157" i="58"/>
  <c r="K157" i="58"/>
  <c r="Q156" i="58"/>
  <c r="P156" i="58"/>
  <c r="O156" i="58"/>
  <c r="N156" i="58"/>
  <c r="M156" i="58"/>
  <c r="L156" i="58"/>
  <c r="K156" i="58"/>
  <c r="Q155" i="58"/>
  <c r="P155" i="58"/>
  <c r="O155" i="58"/>
  <c r="N155" i="58"/>
  <c r="M155" i="58"/>
  <c r="L155" i="58"/>
  <c r="K155" i="58"/>
  <c r="Q154" i="58"/>
  <c r="P154" i="58"/>
  <c r="O154" i="58"/>
  <c r="N154" i="58"/>
  <c r="M154" i="58"/>
  <c r="L154" i="58"/>
  <c r="K154" i="58"/>
  <c r="Q153" i="58"/>
  <c r="P153" i="58"/>
  <c r="O153" i="58"/>
  <c r="N153" i="58"/>
  <c r="M153" i="58"/>
  <c r="L153" i="58"/>
  <c r="K153" i="58"/>
  <c r="Q152" i="58"/>
  <c r="P152" i="58"/>
  <c r="O152" i="58"/>
  <c r="N152" i="58"/>
  <c r="M152" i="58"/>
  <c r="L152" i="58"/>
  <c r="K152" i="58"/>
  <c r="Q151" i="58"/>
  <c r="P151" i="58"/>
  <c r="O151" i="58"/>
  <c r="N151" i="58"/>
  <c r="M151" i="58"/>
  <c r="L151" i="58"/>
  <c r="K151" i="58"/>
  <c r="Q150" i="58"/>
  <c r="P150" i="58"/>
  <c r="O150" i="58"/>
  <c r="N150" i="58"/>
  <c r="M150" i="58"/>
  <c r="L150" i="58"/>
  <c r="K150" i="58"/>
  <c r="Q149" i="58"/>
  <c r="P149" i="58"/>
  <c r="O149" i="58"/>
  <c r="N149" i="58"/>
  <c r="M149" i="58"/>
  <c r="L149" i="58"/>
  <c r="K149" i="58"/>
  <c r="Q148" i="58"/>
  <c r="P148" i="58"/>
  <c r="O148" i="58"/>
  <c r="N148" i="58"/>
  <c r="M148" i="58"/>
  <c r="L148" i="58"/>
  <c r="K148" i="58"/>
  <c r="Q147" i="58"/>
  <c r="P147" i="58"/>
  <c r="O147" i="58"/>
  <c r="N147" i="58"/>
  <c r="M147" i="58"/>
  <c r="L147" i="58"/>
  <c r="K147" i="58"/>
  <c r="Q146" i="58"/>
  <c r="P146" i="58"/>
  <c r="O146" i="58"/>
  <c r="N146" i="58"/>
  <c r="M146" i="58"/>
  <c r="L146" i="58"/>
  <c r="K146" i="58"/>
  <c r="Q145" i="58"/>
  <c r="P145" i="58"/>
  <c r="O145" i="58"/>
  <c r="N145" i="58"/>
  <c r="M145" i="58"/>
  <c r="L145" i="58"/>
  <c r="K145" i="58"/>
  <c r="Q144" i="58"/>
  <c r="P144" i="58"/>
  <c r="O144" i="58"/>
  <c r="N144" i="58"/>
  <c r="M144" i="58"/>
  <c r="L144" i="58"/>
  <c r="K144" i="58"/>
  <c r="Q143" i="58"/>
  <c r="P143" i="58"/>
  <c r="O143" i="58"/>
  <c r="N143" i="58"/>
  <c r="M143" i="58"/>
  <c r="L143" i="58"/>
  <c r="K143" i="58"/>
  <c r="Q142" i="58"/>
  <c r="P142" i="58"/>
  <c r="O142" i="58"/>
  <c r="N142" i="58"/>
  <c r="M142" i="58"/>
  <c r="L142" i="58"/>
  <c r="K142" i="58"/>
  <c r="Q141" i="58"/>
  <c r="P141" i="58"/>
  <c r="O141" i="58"/>
  <c r="N141" i="58"/>
  <c r="M141" i="58"/>
  <c r="L141" i="58"/>
  <c r="K141" i="58"/>
  <c r="Q140" i="58"/>
  <c r="P140" i="58"/>
  <c r="O140" i="58"/>
  <c r="N140" i="58"/>
  <c r="M140" i="58"/>
  <c r="L140" i="58"/>
  <c r="K140" i="58"/>
  <c r="Q139" i="58"/>
  <c r="P139" i="58"/>
  <c r="O139" i="58"/>
  <c r="N139" i="58"/>
  <c r="M139" i="58"/>
  <c r="L139" i="58"/>
  <c r="K139" i="58"/>
  <c r="Q138" i="58"/>
  <c r="P138" i="58"/>
  <c r="O138" i="58"/>
  <c r="N138" i="58"/>
  <c r="M138" i="58"/>
  <c r="L138" i="58"/>
  <c r="K138" i="58"/>
  <c r="Q137" i="58"/>
  <c r="P137" i="58"/>
  <c r="O137" i="58"/>
  <c r="N137" i="58"/>
  <c r="M137" i="58"/>
  <c r="L137" i="58"/>
  <c r="K137" i="58"/>
  <c r="Q136" i="58"/>
  <c r="P136" i="58"/>
  <c r="O136" i="58"/>
  <c r="N136" i="58"/>
  <c r="M136" i="58"/>
  <c r="L136" i="58"/>
  <c r="K136" i="58"/>
  <c r="Q135" i="58"/>
  <c r="P135" i="58"/>
  <c r="O135" i="58"/>
  <c r="N135" i="58"/>
  <c r="M135" i="58"/>
  <c r="L135" i="58"/>
  <c r="K135" i="58"/>
  <c r="Q134" i="58"/>
  <c r="P134" i="58"/>
  <c r="O134" i="58"/>
  <c r="N134" i="58"/>
  <c r="M134" i="58"/>
  <c r="L134" i="58"/>
  <c r="K134" i="58"/>
  <c r="Q133" i="58"/>
  <c r="P133" i="58"/>
  <c r="O133" i="58"/>
  <c r="N133" i="58"/>
  <c r="M133" i="58"/>
  <c r="L133" i="58"/>
  <c r="K133" i="58"/>
  <c r="Q132" i="58"/>
  <c r="P132" i="58"/>
  <c r="O132" i="58"/>
  <c r="N132" i="58"/>
  <c r="M132" i="58"/>
  <c r="L132" i="58"/>
  <c r="K132" i="58"/>
  <c r="Q131" i="58"/>
  <c r="P131" i="58"/>
  <c r="O131" i="58"/>
  <c r="N131" i="58"/>
  <c r="M131" i="58"/>
  <c r="L131" i="58"/>
  <c r="K131" i="58"/>
  <c r="Q130" i="58"/>
  <c r="P130" i="58"/>
  <c r="O130" i="58"/>
  <c r="N130" i="58"/>
  <c r="M130" i="58"/>
  <c r="L130" i="58"/>
  <c r="K130" i="58"/>
  <c r="Q129" i="58"/>
  <c r="P129" i="58"/>
  <c r="O129" i="58"/>
  <c r="N129" i="58"/>
  <c r="M129" i="58"/>
  <c r="L129" i="58"/>
  <c r="K129" i="58"/>
  <c r="Q128" i="58"/>
  <c r="P128" i="58"/>
  <c r="O128" i="58"/>
  <c r="N128" i="58"/>
  <c r="M128" i="58"/>
  <c r="L128" i="58"/>
  <c r="K128" i="58"/>
  <c r="Q127" i="58"/>
  <c r="P127" i="58"/>
  <c r="O127" i="58"/>
  <c r="N127" i="58"/>
  <c r="M127" i="58"/>
  <c r="L127" i="58"/>
  <c r="K127" i="58"/>
  <c r="Q126" i="58"/>
  <c r="P126" i="58"/>
  <c r="O126" i="58"/>
  <c r="N126" i="58"/>
  <c r="M126" i="58"/>
  <c r="L126" i="58"/>
  <c r="K126" i="58"/>
  <c r="Q125" i="58"/>
  <c r="P125" i="58"/>
  <c r="O125" i="58"/>
  <c r="N125" i="58"/>
  <c r="M125" i="58"/>
  <c r="L125" i="58"/>
  <c r="K125" i="58"/>
  <c r="Q124" i="58"/>
  <c r="P124" i="58"/>
  <c r="O124" i="58"/>
  <c r="N124" i="58"/>
  <c r="M124" i="58"/>
  <c r="L124" i="58"/>
  <c r="K124" i="58"/>
  <c r="Q123" i="58"/>
  <c r="P123" i="58"/>
  <c r="O123" i="58"/>
  <c r="N123" i="58"/>
  <c r="M123" i="58"/>
  <c r="L123" i="58"/>
  <c r="K123" i="58"/>
  <c r="Q122" i="58"/>
  <c r="P122" i="58"/>
  <c r="O122" i="58"/>
  <c r="N122" i="58"/>
  <c r="M122" i="58"/>
  <c r="L122" i="58"/>
  <c r="K122" i="58"/>
  <c r="Q121" i="58"/>
  <c r="P121" i="58"/>
  <c r="O121" i="58"/>
  <c r="N121" i="58"/>
  <c r="M121" i="58"/>
  <c r="L121" i="58"/>
  <c r="K121" i="58"/>
  <c r="Q120" i="58"/>
  <c r="P120" i="58"/>
  <c r="O120" i="58"/>
  <c r="N120" i="58"/>
  <c r="M120" i="58"/>
  <c r="L120" i="58"/>
  <c r="K120" i="58"/>
  <c r="Q119" i="58"/>
  <c r="P119" i="58"/>
  <c r="O119" i="58"/>
  <c r="N119" i="58"/>
  <c r="M119" i="58"/>
  <c r="L119" i="58"/>
  <c r="K119" i="58"/>
  <c r="Q118" i="58"/>
  <c r="P118" i="58"/>
  <c r="O118" i="58"/>
  <c r="N118" i="58"/>
  <c r="M118" i="58"/>
  <c r="L118" i="58"/>
  <c r="K118" i="58"/>
  <c r="Q117" i="58"/>
  <c r="P117" i="58"/>
  <c r="O117" i="58"/>
  <c r="N117" i="58"/>
  <c r="M117" i="58"/>
  <c r="L117" i="58"/>
  <c r="K117" i="58"/>
  <c r="Q116" i="58"/>
  <c r="P116" i="58"/>
  <c r="O116" i="58"/>
  <c r="N116" i="58"/>
  <c r="M116" i="58"/>
  <c r="L116" i="58"/>
  <c r="K116" i="58"/>
  <c r="Q115" i="58"/>
  <c r="P115" i="58"/>
  <c r="O115" i="58"/>
  <c r="N115" i="58"/>
  <c r="M115" i="58"/>
  <c r="L115" i="58"/>
  <c r="K115" i="58"/>
  <c r="Q114" i="58"/>
  <c r="P114" i="58"/>
  <c r="O114" i="58"/>
  <c r="N114" i="58"/>
  <c r="M114" i="58"/>
  <c r="L114" i="58"/>
  <c r="K114" i="58"/>
  <c r="Q113" i="58"/>
  <c r="P113" i="58"/>
  <c r="O113" i="58"/>
  <c r="N113" i="58"/>
  <c r="M113" i="58"/>
  <c r="L113" i="58"/>
  <c r="K113" i="58"/>
  <c r="Q112" i="58"/>
  <c r="P112" i="58"/>
  <c r="O112" i="58"/>
  <c r="N112" i="58"/>
  <c r="M112" i="58"/>
  <c r="L112" i="58"/>
  <c r="K112" i="58"/>
  <c r="Q111" i="58"/>
  <c r="P111" i="58"/>
  <c r="O111" i="58"/>
  <c r="N111" i="58"/>
  <c r="M111" i="58"/>
  <c r="L111" i="58"/>
  <c r="K111" i="58"/>
  <c r="Q110" i="58"/>
  <c r="P110" i="58"/>
  <c r="O110" i="58"/>
  <c r="N110" i="58"/>
  <c r="M110" i="58"/>
  <c r="L110" i="58"/>
  <c r="K110" i="58"/>
  <c r="Q109" i="58"/>
  <c r="P109" i="58"/>
  <c r="O109" i="58"/>
  <c r="N109" i="58"/>
  <c r="M109" i="58"/>
  <c r="L109" i="58"/>
  <c r="K109" i="58"/>
  <c r="Q108" i="58"/>
  <c r="P108" i="58"/>
  <c r="O108" i="58"/>
  <c r="N108" i="58"/>
  <c r="M108" i="58"/>
  <c r="L108" i="58"/>
  <c r="K108" i="58"/>
  <c r="Q107" i="58"/>
  <c r="P107" i="58"/>
  <c r="O107" i="58"/>
  <c r="N107" i="58"/>
  <c r="M107" i="58"/>
  <c r="L107" i="58"/>
  <c r="K107" i="58"/>
  <c r="Q106" i="58"/>
  <c r="P106" i="58"/>
  <c r="O106" i="58"/>
  <c r="N106" i="58"/>
  <c r="M106" i="58"/>
  <c r="L106" i="58"/>
  <c r="K106" i="58"/>
  <c r="Q105" i="58"/>
  <c r="P105" i="58"/>
  <c r="O105" i="58"/>
  <c r="N105" i="58"/>
  <c r="M105" i="58"/>
  <c r="L105" i="58"/>
  <c r="K105" i="58"/>
  <c r="Q104" i="58"/>
  <c r="P104" i="58"/>
  <c r="O104" i="58"/>
  <c r="N104" i="58"/>
  <c r="M104" i="58"/>
  <c r="L104" i="58"/>
  <c r="K104" i="58"/>
  <c r="Q103" i="58"/>
  <c r="P103" i="58"/>
  <c r="O103" i="58"/>
  <c r="N103" i="58"/>
  <c r="M103" i="58"/>
  <c r="L103" i="58"/>
  <c r="K103" i="58"/>
  <c r="Q102" i="58"/>
  <c r="P102" i="58"/>
  <c r="O102" i="58"/>
  <c r="N102" i="58"/>
  <c r="M102" i="58"/>
  <c r="L102" i="58"/>
  <c r="K102" i="58"/>
  <c r="Q101" i="58"/>
  <c r="P101" i="58"/>
  <c r="O101" i="58"/>
  <c r="N101" i="58"/>
  <c r="M101" i="58"/>
  <c r="L101" i="58"/>
  <c r="K101" i="58"/>
  <c r="Q100" i="58"/>
  <c r="P100" i="58"/>
  <c r="O100" i="58"/>
  <c r="N100" i="58"/>
  <c r="M100" i="58"/>
  <c r="L100" i="58"/>
  <c r="K100" i="58"/>
  <c r="Q99" i="58"/>
  <c r="P99" i="58"/>
  <c r="O99" i="58"/>
  <c r="N99" i="58"/>
  <c r="M99" i="58"/>
  <c r="L99" i="58"/>
  <c r="K99" i="58"/>
  <c r="Q98" i="58"/>
  <c r="P98" i="58"/>
  <c r="O98" i="58"/>
  <c r="N98" i="58"/>
  <c r="M98" i="58"/>
  <c r="L98" i="58"/>
  <c r="K98" i="58"/>
  <c r="Q97" i="58"/>
  <c r="P97" i="58"/>
  <c r="O97" i="58"/>
  <c r="N97" i="58"/>
  <c r="M97" i="58"/>
  <c r="L97" i="58"/>
  <c r="K97" i="58"/>
  <c r="Q96" i="58"/>
  <c r="P96" i="58"/>
  <c r="O96" i="58"/>
  <c r="N96" i="58"/>
  <c r="M96" i="58"/>
  <c r="L96" i="58"/>
  <c r="K96" i="58"/>
  <c r="Q95" i="58"/>
  <c r="P95" i="58"/>
  <c r="O95" i="58"/>
  <c r="N95" i="58"/>
  <c r="M95" i="58"/>
  <c r="L95" i="58"/>
  <c r="K95" i="58"/>
  <c r="Q94" i="58"/>
  <c r="P94" i="58"/>
  <c r="O94" i="58"/>
  <c r="N94" i="58"/>
  <c r="M94" i="58"/>
  <c r="L94" i="58"/>
  <c r="K94" i="58"/>
  <c r="Q93" i="58"/>
  <c r="P93" i="58"/>
  <c r="O93" i="58"/>
  <c r="N93" i="58"/>
  <c r="M93" i="58"/>
  <c r="L93" i="58"/>
  <c r="K93" i="58"/>
  <c r="Q92" i="58"/>
  <c r="P92" i="58"/>
  <c r="O92" i="58"/>
  <c r="N92" i="58"/>
  <c r="M92" i="58"/>
  <c r="L92" i="58"/>
  <c r="K92" i="58"/>
  <c r="Q91" i="58"/>
  <c r="P91" i="58"/>
  <c r="O91" i="58"/>
  <c r="N91" i="58"/>
  <c r="M91" i="58"/>
  <c r="L91" i="58"/>
  <c r="K91" i="58"/>
  <c r="Q90" i="58"/>
  <c r="P90" i="58"/>
  <c r="O90" i="58"/>
  <c r="N90" i="58"/>
  <c r="M90" i="58"/>
  <c r="L90" i="58"/>
  <c r="K90" i="58"/>
  <c r="Q89" i="58"/>
  <c r="P89" i="58"/>
  <c r="O89" i="58"/>
  <c r="N89" i="58"/>
  <c r="M89" i="58"/>
  <c r="L89" i="58"/>
  <c r="K89" i="58"/>
  <c r="Q88" i="58"/>
  <c r="P88" i="58"/>
  <c r="O88" i="58"/>
  <c r="N88" i="58"/>
  <c r="M88" i="58"/>
  <c r="L88" i="58"/>
  <c r="K88" i="58"/>
  <c r="Q87" i="58"/>
  <c r="P87" i="58"/>
  <c r="O87" i="58"/>
  <c r="N87" i="58"/>
  <c r="M87" i="58"/>
  <c r="L87" i="58"/>
  <c r="K87" i="58"/>
  <c r="Q86" i="58"/>
  <c r="P86" i="58"/>
  <c r="O86" i="58"/>
  <c r="N86" i="58"/>
  <c r="M86" i="58"/>
  <c r="L86" i="58"/>
  <c r="K86" i="58"/>
  <c r="Q85" i="58"/>
  <c r="P85" i="58"/>
  <c r="O85" i="58"/>
  <c r="N85" i="58"/>
  <c r="M85" i="58"/>
  <c r="L85" i="58"/>
  <c r="K85" i="58"/>
  <c r="Q84" i="58"/>
  <c r="P84" i="58"/>
  <c r="O84" i="58"/>
  <c r="N84" i="58"/>
  <c r="M84" i="58"/>
  <c r="L84" i="58"/>
  <c r="K84" i="58"/>
  <c r="Q83" i="58"/>
  <c r="P83" i="58"/>
  <c r="O83" i="58"/>
  <c r="N83" i="58"/>
  <c r="M83" i="58"/>
  <c r="L83" i="58"/>
  <c r="K83" i="58"/>
  <c r="Q82" i="58"/>
  <c r="P82" i="58"/>
  <c r="O82" i="58"/>
  <c r="N82" i="58"/>
  <c r="M82" i="58"/>
  <c r="L82" i="58"/>
  <c r="K82" i="58"/>
  <c r="Q81" i="58"/>
  <c r="P81" i="58"/>
  <c r="O81" i="58"/>
  <c r="N81" i="58"/>
  <c r="M81" i="58"/>
  <c r="L81" i="58"/>
  <c r="K81" i="58"/>
  <c r="Q80" i="58"/>
  <c r="P80" i="58"/>
  <c r="O80" i="58"/>
  <c r="N80" i="58"/>
  <c r="M80" i="58"/>
  <c r="L80" i="58"/>
  <c r="K80" i="58"/>
  <c r="Q79" i="58"/>
  <c r="P79" i="58"/>
  <c r="O79" i="58"/>
  <c r="N79" i="58"/>
  <c r="M79" i="58"/>
  <c r="L79" i="58"/>
  <c r="K79" i="58"/>
  <c r="Q78" i="58"/>
  <c r="P78" i="58"/>
  <c r="O78" i="58"/>
  <c r="N78" i="58"/>
  <c r="M78" i="58"/>
  <c r="L78" i="58"/>
  <c r="K78" i="58"/>
  <c r="Q77" i="58"/>
  <c r="P77" i="58"/>
  <c r="O77" i="58"/>
  <c r="N77" i="58"/>
  <c r="M77" i="58"/>
  <c r="L77" i="58"/>
  <c r="K77" i="58"/>
  <c r="Q76" i="58"/>
  <c r="P76" i="58"/>
  <c r="O76" i="58"/>
  <c r="N76" i="58"/>
  <c r="M76" i="58"/>
  <c r="L76" i="58"/>
  <c r="K76" i="58"/>
  <c r="Q75" i="58"/>
  <c r="P75" i="58"/>
  <c r="O75" i="58"/>
  <c r="N75" i="58"/>
  <c r="M75" i="58"/>
  <c r="L75" i="58"/>
  <c r="K75" i="58"/>
  <c r="Q74" i="58"/>
  <c r="P74" i="58"/>
  <c r="O74" i="58"/>
  <c r="N74" i="58"/>
  <c r="M74" i="58"/>
  <c r="L74" i="58"/>
  <c r="K74" i="58"/>
  <c r="Q73" i="58"/>
  <c r="P73" i="58"/>
  <c r="O73" i="58"/>
  <c r="N73" i="58"/>
  <c r="M73" i="58"/>
  <c r="L73" i="58"/>
  <c r="K73" i="58"/>
  <c r="Q72" i="58"/>
  <c r="P72" i="58"/>
  <c r="O72" i="58"/>
  <c r="N72" i="58"/>
  <c r="M72" i="58"/>
  <c r="L72" i="58"/>
  <c r="K72" i="58"/>
  <c r="Q71" i="58"/>
  <c r="P71" i="58"/>
  <c r="O71" i="58"/>
  <c r="N71" i="58"/>
  <c r="M71" i="58"/>
  <c r="L71" i="58"/>
  <c r="K71" i="58"/>
  <c r="Q70" i="58"/>
  <c r="P70" i="58"/>
  <c r="O70" i="58"/>
  <c r="N70" i="58"/>
  <c r="M70" i="58"/>
  <c r="L70" i="58"/>
  <c r="K70" i="58"/>
  <c r="Q69" i="58"/>
  <c r="P69" i="58"/>
  <c r="O69" i="58"/>
  <c r="N69" i="58"/>
  <c r="M69" i="58"/>
  <c r="L69" i="58"/>
  <c r="K69" i="58"/>
  <c r="Q68" i="58"/>
  <c r="P68" i="58"/>
  <c r="O68" i="58"/>
  <c r="N68" i="58"/>
  <c r="M68" i="58"/>
  <c r="L68" i="58"/>
  <c r="K68" i="58"/>
  <c r="Q67" i="58"/>
  <c r="P67" i="58"/>
  <c r="O67" i="58"/>
  <c r="N67" i="58"/>
  <c r="M67" i="58"/>
  <c r="L67" i="58"/>
  <c r="K67" i="58"/>
  <c r="Q66" i="58"/>
  <c r="P66" i="58"/>
  <c r="O66" i="58"/>
  <c r="N66" i="58"/>
  <c r="M66" i="58"/>
  <c r="L66" i="58"/>
  <c r="K66" i="58"/>
  <c r="Q65" i="58"/>
  <c r="P65" i="58"/>
  <c r="O65" i="58"/>
  <c r="N65" i="58"/>
  <c r="M65" i="58"/>
  <c r="L65" i="58"/>
  <c r="K65" i="58"/>
  <c r="Q64" i="58"/>
  <c r="P64" i="58"/>
  <c r="O64" i="58"/>
  <c r="N64" i="58"/>
  <c r="M64" i="58"/>
  <c r="L64" i="58"/>
  <c r="K64" i="58"/>
  <c r="Q63" i="58"/>
  <c r="P63" i="58"/>
  <c r="O63" i="58"/>
  <c r="N63" i="58"/>
  <c r="M63" i="58"/>
  <c r="L63" i="58"/>
  <c r="K63" i="58"/>
  <c r="Q62" i="58"/>
  <c r="P62" i="58"/>
  <c r="O62" i="58"/>
  <c r="N62" i="58"/>
  <c r="M62" i="58"/>
  <c r="L62" i="58"/>
  <c r="K62" i="58"/>
  <c r="Q61" i="58"/>
  <c r="P61" i="58"/>
  <c r="O61" i="58"/>
  <c r="N61" i="58"/>
  <c r="M61" i="58"/>
  <c r="L61" i="58"/>
  <c r="K61" i="58"/>
  <c r="Q60" i="58"/>
  <c r="P60" i="58"/>
  <c r="O60" i="58"/>
  <c r="N60" i="58"/>
  <c r="M60" i="58"/>
  <c r="L60" i="58"/>
  <c r="K60" i="58"/>
  <c r="Q59" i="58"/>
  <c r="P59" i="58"/>
  <c r="O59" i="58"/>
  <c r="N59" i="58"/>
  <c r="M59" i="58"/>
  <c r="L59" i="58"/>
  <c r="K59" i="58"/>
  <c r="Q58" i="58"/>
  <c r="P58" i="58"/>
  <c r="O58" i="58"/>
  <c r="N58" i="58"/>
  <c r="M58" i="58"/>
  <c r="L58" i="58"/>
  <c r="K58" i="58"/>
  <c r="Q57" i="58"/>
  <c r="P57" i="58"/>
  <c r="O57" i="58"/>
  <c r="N57" i="58"/>
  <c r="M57" i="58"/>
  <c r="L57" i="58"/>
  <c r="K57" i="58"/>
  <c r="Q56" i="58"/>
  <c r="P56" i="58"/>
  <c r="O56" i="58"/>
  <c r="N56" i="58"/>
  <c r="M56" i="58"/>
  <c r="L56" i="58"/>
  <c r="K56" i="58"/>
  <c r="Q55" i="58"/>
  <c r="P55" i="58"/>
  <c r="O55" i="58"/>
  <c r="N55" i="58"/>
  <c r="M55" i="58"/>
  <c r="L55" i="58"/>
  <c r="K55" i="58"/>
  <c r="Q54" i="58"/>
  <c r="P54" i="58"/>
  <c r="O54" i="58"/>
  <c r="N54" i="58"/>
  <c r="M54" i="58"/>
  <c r="L54" i="58"/>
  <c r="K54" i="58"/>
  <c r="Q53" i="58"/>
  <c r="P53" i="58"/>
  <c r="O53" i="58"/>
  <c r="N53" i="58"/>
  <c r="M53" i="58"/>
  <c r="L53" i="58"/>
  <c r="K53" i="58"/>
  <c r="Q52" i="58"/>
  <c r="P52" i="58"/>
  <c r="O52" i="58"/>
  <c r="N52" i="58"/>
  <c r="M52" i="58"/>
  <c r="L52" i="58"/>
  <c r="K52" i="58"/>
  <c r="Q51" i="58"/>
  <c r="P51" i="58"/>
  <c r="O51" i="58"/>
  <c r="N51" i="58"/>
  <c r="M51" i="58"/>
  <c r="L51" i="58"/>
  <c r="K51" i="58"/>
  <c r="Q50" i="58"/>
  <c r="P50" i="58"/>
  <c r="O50" i="58"/>
  <c r="N50" i="58"/>
  <c r="M50" i="58"/>
  <c r="L50" i="58"/>
  <c r="K50" i="58"/>
  <c r="Q49" i="58"/>
  <c r="P49" i="58"/>
  <c r="O49" i="58"/>
  <c r="N49" i="58"/>
  <c r="M49" i="58"/>
  <c r="L49" i="58"/>
  <c r="K49" i="58"/>
  <c r="Q48" i="58"/>
  <c r="P48" i="58"/>
  <c r="O48" i="58"/>
  <c r="N48" i="58"/>
  <c r="M48" i="58"/>
  <c r="L48" i="58"/>
  <c r="K48" i="58"/>
  <c r="Q47" i="58"/>
  <c r="P47" i="58"/>
  <c r="O47" i="58"/>
  <c r="N47" i="58"/>
  <c r="M47" i="58"/>
  <c r="L47" i="58"/>
  <c r="K47" i="58"/>
  <c r="Q46" i="58"/>
  <c r="P46" i="58"/>
  <c r="O46" i="58"/>
  <c r="N46" i="58"/>
  <c r="M46" i="58"/>
  <c r="L46" i="58"/>
  <c r="K46" i="58"/>
  <c r="Q45" i="58"/>
  <c r="P45" i="58"/>
  <c r="O45" i="58"/>
  <c r="N45" i="58"/>
  <c r="M45" i="58"/>
  <c r="L45" i="58"/>
  <c r="K45" i="58"/>
  <c r="Q44" i="58"/>
  <c r="P44" i="58"/>
  <c r="O44" i="58"/>
  <c r="N44" i="58"/>
  <c r="M44" i="58"/>
  <c r="L44" i="58"/>
  <c r="K44" i="58"/>
  <c r="Q43" i="58"/>
  <c r="P43" i="58"/>
  <c r="O43" i="58"/>
  <c r="N43" i="58"/>
  <c r="M43" i="58"/>
  <c r="L43" i="58"/>
  <c r="K43" i="58"/>
  <c r="Q42" i="58"/>
  <c r="P42" i="58"/>
  <c r="O42" i="58"/>
  <c r="N42" i="58"/>
  <c r="M42" i="58"/>
  <c r="L42" i="58"/>
  <c r="K42" i="58"/>
  <c r="Q41" i="58"/>
  <c r="P41" i="58"/>
  <c r="O41" i="58"/>
  <c r="N41" i="58"/>
  <c r="M41" i="58"/>
  <c r="L41" i="58"/>
  <c r="K41" i="58"/>
  <c r="Q40" i="58"/>
  <c r="P40" i="58"/>
  <c r="O40" i="58"/>
  <c r="N40" i="58"/>
  <c r="M40" i="58"/>
  <c r="L40" i="58"/>
  <c r="K40" i="58"/>
  <c r="Q39" i="58"/>
  <c r="P39" i="58"/>
  <c r="O39" i="58"/>
  <c r="N39" i="58"/>
  <c r="M39" i="58"/>
  <c r="L39" i="58"/>
  <c r="K39" i="58"/>
  <c r="Q38" i="58"/>
  <c r="P38" i="58"/>
  <c r="O38" i="58"/>
  <c r="N38" i="58"/>
  <c r="M38" i="58"/>
  <c r="L38" i="58"/>
  <c r="K38" i="58"/>
  <c r="Q37" i="58"/>
  <c r="P37" i="58"/>
  <c r="O37" i="58"/>
  <c r="N37" i="58"/>
  <c r="M37" i="58"/>
  <c r="L37" i="58"/>
  <c r="K37" i="58"/>
  <c r="Q36" i="58"/>
  <c r="P36" i="58"/>
  <c r="O36" i="58"/>
  <c r="N36" i="58"/>
  <c r="M36" i="58"/>
  <c r="L36" i="58"/>
  <c r="K36" i="58"/>
  <c r="Q35" i="58"/>
  <c r="P35" i="58"/>
  <c r="O35" i="58"/>
  <c r="N35" i="58"/>
  <c r="M35" i="58"/>
  <c r="L35" i="58"/>
  <c r="K35" i="58"/>
  <c r="Q34" i="58"/>
  <c r="P34" i="58"/>
  <c r="O34" i="58"/>
  <c r="N34" i="58"/>
  <c r="M34" i="58"/>
  <c r="L34" i="58"/>
  <c r="K34" i="58"/>
  <c r="Q33" i="58"/>
  <c r="P33" i="58"/>
  <c r="O33" i="58"/>
  <c r="N33" i="58"/>
  <c r="M33" i="58"/>
  <c r="L33" i="58"/>
  <c r="K33" i="58"/>
  <c r="Q32" i="58"/>
  <c r="P32" i="58"/>
  <c r="O32" i="58"/>
  <c r="N32" i="58"/>
  <c r="M32" i="58"/>
  <c r="L32" i="58"/>
  <c r="K32" i="58"/>
  <c r="Q31" i="58"/>
  <c r="P31" i="58"/>
  <c r="O31" i="58"/>
  <c r="N31" i="58"/>
  <c r="M31" i="58"/>
  <c r="L31" i="58"/>
  <c r="K31" i="58"/>
  <c r="Q30" i="58"/>
  <c r="P30" i="58"/>
  <c r="O30" i="58"/>
  <c r="N30" i="58"/>
  <c r="M30" i="58"/>
  <c r="L30" i="58"/>
  <c r="K30" i="58"/>
  <c r="Q29" i="58"/>
  <c r="P29" i="58"/>
  <c r="O29" i="58"/>
  <c r="N29" i="58"/>
  <c r="M29" i="58"/>
  <c r="L29" i="58"/>
  <c r="K29" i="58"/>
  <c r="Q28" i="58"/>
  <c r="P28" i="58"/>
  <c r="O28" i="58"/>
  <c r="N28" i="58"/>
  <c r="M28" i="58"/>
  <c r="L28" i="58"/>
  <c r="K28" i="58"/>
  <c r="Q27" i="58"/>
  <c r="P27" i="58"/>
  <c r="O27" i="58"/>
  <c r="N27" i="58"/>
  <c r="M27" i="58"/>
  <c r="L27" i="58"/>
  <c r="K27" i="58"/>
  <c r="Q26" i="58"/>
  <c r="P26" i="58"/>
  <c r="O26" i="58"/>
  <c r="N26" i="58"/>
  <c r="M26" i="58"/>
  <c r="L26" i="58"/>
  <c r="K26" i="58"/>
  <c r="Q25" i="58"/>
  <c r="P25" i="58"/>
  <c r="O25" i="58"/>
  <c r="N25" i="58"/>
  <c r="M25" i="58"/>
  <c r="L25" i="58"/>
  <c r="K25" i="58"/>
  <c r="Q24" i="58"/>
  <c r="P24" i="58"/>
  <c r="O24" i="58"/>
  <c r="N24" i="58"/>
  <c r="M24" i="58"/>
  <c r="L24" i="58"/>
  <c r="K24" i="58"/>
  <c r="Q23" i="58"/>
  <c r="P23" i="58"/>
  <c r="O23" i="58"/>
  <c r="N23" i="58"/>
  <c r="M23" i="58"/>
  <c r="L23" i="58"/>
  <c r="K23" i="58"/>
  <c r="Q22" i="58"/>
  <c r="P22" i="58"/>
  <c r="O22" i="58"/>
  <c r="N22" i="58"/>
  <c r="M22" i="58"/>
  <c r="L22" i="58"/>
  <c r="K22" i="58"/>
  <c r="Q21" i="58"/>
  <c r="P21" i="58"/>
  <c r="O21" i="58"/>
  <c r="N21" i="58"/>
  <c r="M21" i="58"/>
  <c r="L21" i="58"/>
  <c r="K21" i="58"/>
  <c r="Q20" i="58"/>
  <c r="P20" i="58"/>
  <c r="O20" i="58"/>
  <c r="N20" i="58"/>
  <c r="M20" i="58"/>
  <c r="L20" i="58"/>
  <c r="K20" i="58"/>
  <c r="Q19" i="58"/>
  <c r="P19" i="58"/>
  <c r="O19" i="58"/>
  <c r="N19" i="58"/>
  <c r="M19" i="58"/>
  <c r="L19" i="58"/>
  <c r="K19" i="58"/>
  <c r="Q18" i="58"/>
  <c r="P18" i="58"/>
  <c r="O18" i="58"/>
  <c r="N18" i="58"/>
  <c r="M18" i="58"/>
  <c r="L18" i="58"/>
  <c r="K18" i="58"/>
  <c r="Q17" i="58"/>
  <c r="P17" i="58"/>
  <c r="O17" i="58"/>
  <c r="N17" i="58"/>
  <c r="M17" i="58"/>
  <c r="L17" i="58"/>
  <c r="K17" i="58"/>
  <c r="Q16" i="58"/>
  <c r="P16" i="58"/>
  <c r="O16" i="58"/>
  <c r="N16" i="58"/>
  <c r="M16" i="58"/>
  <c r="L16" i="58"/>
  <c r="K16" i="58"/>
  <c r="Q15" i="58"/>
  <c r="P15" i="58"/>
  <c r="O15" i="58"/>
  <c r="N15" i="58"/>
  <c r="M15" i="58"/>
  <c r="L15" i="58"/>
  <c r="K15" i="58"/>
  <c r="Q14" i="58"/>
  <c r="P14" i="58"/>
  <c r="O14" i="58"/>
  <c r="N14" i="58"/>
  <c r="M14" i="58"/>
  <c r="L14" i="58"/>
  <c r="K14" i="58"/>
  <c r="A2" i="36"/>
  <c r="Q203" i="36"/>
  <c r="P203" i="36"/>
  <c r="O203" i="36"/>
  <c r="N203" i="36"/>
  <c r="M203" i="36"/>
  <c r="L203" i="36"/>
  <c r="K203" i="36"/>
  <c r="Q202" i="36"/>
  <c r="P202" i="36"/>
  <c r="O202" i="36"/>
  <c r="N202" i="36"/>
  <c r="M202" i="36"/>
  <c r="L202" i="36"/>
  <c r="K202" i="36"/>
  <c r="Q201" i="36"/>
  <c r="P201" i="36"/>
  <c r="O201" i="36"/>
  <c r="N201" i="36"/>
  <c r="M201" i="36"/>
  <c r="L201" i="36"/>
  <c r="K201" i="36"/>
  <c r="Q200" i="36"/>
  <c r="P200" i="36"/>
  <c r="O200" i="36"/>
  <c r="N200" i="36"/>
  <c r="M200" i="36"/>
  <c r="L200" i="36"/>
  <c r="K200" i="36"/>
  <c r="Q199" i="36"/>
  <c r="P199" i="36"/>
  <c r="O199" i="36"/>
  <c r="N199" i="36"/>
  <c r="M199" i="36"/>
  <c r="L199" i="36"/>
  <c r="K199" i="36"/>
  <c r="Q198" i="36"/>
  <c r="P198" i="36"/>
  <c r="O198" i="36"/>
  <c r="N198" i="36"/>
  <c r="M198" i="36"/>
  <c r="L198" i="36"/>
  <c r="K198" i="36"/>
  <c r="Q197" i="36"/>
  <c r="P197" i="36"/>
  <c r="O197" i="36"/>
  <c r="N197" i="36"/>
  <c r="M197" i="36"/>
  <c r="L197" i="36"/>
  <c r="K197" i="36"/>
  <c r="Q196" i="36"/>
  <c r="P196" i="36"/>
  <c r="O196" i="36"/>
  <c r="N196" i="36"/>
  <c r="M196" i="36"/>
  <c r="L196" i="36"/>
  <c r="K196" i="36"/>
  <c r="Q195" i="36"/>
  <c r="P195" i="36"/>
  <c r="O195" i="36"/>
  <c r="N195" i="36"/>
  <c r="M195" i="36"/>
  <c r="L195" i="36"/>
  <c r="K195" i="36"/>
  <c r="Q194" i="36"/>
  <c r="P194" i="36"/>
  <c r="O194" i="36"/>
  <c r="N194" i="36"/>
  <c r="M194" i="36"/>
  <c r="L194" i="36"/>
  <c r="K194" i="36"/>
  <c r="Q193" i="36"/>
  <c r="P193" i="36"/>
  <c r="O193" i="36"/>
  <c r="N193" i="36"/>
  <c r="M193" i="36"/>
  <c r="L193" i="36"/>
  <c r="K193" i="36"/>
  <c r="Q192" i="36"/>
  <c r="P192" i="36"/>
  <c r="O192" i="36"/>
  <c r="N192" i="36"/>
  <c r="M192" i="36"/>
  <c r="L192" i="36"/>
  <c r="K192" i="36"/>
  <c r="Q191" i="36"/>
  <c r="P191" i="36"/>
  <c r="O191" i="36"/>
  <c r="N191" i="36"/>
  <c r="M191" i="36"/>
  <c r="L191" i="36"/>
  <c r="K191" i="36"/>
  <c r="Q190" i="36"/>
  <c r="P190" i="36"/>
  <c r="O190" i="36"/>
  <c r="N190" i="36"/>
  <c r="M190" i="36"/>
  <c r="L190" i="36"/>
  <c r="K190" i="36"/>
  <c r="Q189" i="36"/>
  <c r="P189" i="36"/>
  <c r="O189" i="36"/>
  <c r="N189" i="36"/>
  <c r="M189" i="36"/>
  <c r="L189" i="36"/>
  <c r="K189" i="36"/>
  <c r="Q188" i="36"/>
  <c r="P188" i="36"/>
  <c r="O188" i="36"/>
  <c r="N188" i="36"/>
  <c r="M188" i="36"/>
  <c r="L188" i="36"/>
  <c r="K188" i="36"/>
  <c r="Q187" i="36"/>
  <c r="P187" i="36"/>
  <c r="O187" i="36"/>
  <c r="N187" i="36"/>
  <c r="M187" i="36"/>
  <c r="L187" i="36"/>
  <c r="K187" i="36"/>
  <c r="Q186" i="36"/>
  <c r="P186" i="36"/>
  <c r="O186" i="36"/>
  <c r="N186" i="36"/>
  <c r="M186" i="36"/>
  <c r="L186" i="36"/>
  <c r="K186" i="36"/>
  <c r="Q185" i="36"/>
  <c r="P185" i="36"/>
  <c r="O185" i="36"/>
  <c r="N185" i="36"/>
  <c r="M185" i="36"/>
  <c r="L185" i="36"/>
  <c r="K185" i="36"/>
  <c r="Q184" i="36"/>
  <c r="P184" i="36"/>
  <c r="O184" i="36"/>
  <c r="N184" i="36"/>
  <c r="M184" i="36"/>
  <c r="L184" i="36"/>
  <c r="K184" i="36"/>
  <c r="Q183" i="36"/>
  <c r="P183" i="36"/>
  <c r="O183" i="36"/>
  <c r="N183" i="36"/>
  <c r="M183" i="36"/>
  <c r="L183" i="36"/>
  <c r="K183" i="36"/>
  <c r="Q182" i="36"/>
  <c r="P182" i="36"/>
  <c r="O182" i="36"/>
  <c r="N182" i="36"/>
  <c r="M182" i="36"/>
  <c r="L182" i="36"/>
  <c r="K182" i="36"/>
  <c r="Q181" i="36"/>
  <c r="P181" i="36"/>
  <c r="O181" i="36"/>
  <c r="N181" i="36"/>
  <c r="M181" i="36"/>
  <c r="L181" i="36"/>
  <c r="K181" i="36"/>
  <c r="Q180" i="36"/>
  <c r="P180" i="36"/>
  <c r="O180" i="36"/>
  <c r="N180" i="36"/>
  <c r="M180" i="36"/>
  <c r="L180" i="36"/>
  <c r="K180" i="36"/>
  <c r="Q179" i="36"/>
  <c r="P179" i="36"/>
  <c r="O179" i="36"/>
  <c r="N179" i="36"/>
  <c r="M179" i="36"/>
  <c r="L179" i="36"/>
  <c r="K179" i="36"/>
  <c r="Q178" i="36"/>
  <c r="P178" i="36"/>
  <c r="O178" i="36"/>
  <c r="N178" i="36"/>
  <c r="M178" i="36"/>
  <c r="L178" i="36"/>
  <c r="K178" i="36"/>
  <c r="Q177" i="36"/>
  <c r="P177" i="36"/>
  <c r="O177" i="36"/>
  <c r="N177" i="36"/>
  <c r="M177" i="36"/>
  <c r="L177" i="36"/>
  <c r="K177" i="36"/>
  <c r="Q176" i="36"/>
  <c r="P176" i="36"/>
  <c r="O176" i="36"/>
  <c r="N176" i="36"/>
  <c r="M176" i="36"/>
  <c r="L176" i="36"/>
  <c r="K176" i="36"/>
  <c r="Q175" i="36"/>
  <c r="P175" i="36"/>
  <c r="O175" i="36"/>
  <c r="N175" i="36"/>
  <c r="M175" i="36"/>
  <c r="L175" i="36"/>
  <c r="K175" i="36"/>
  <c r="Q174" i="36"/>
  <c r="P174" i="36"/>
  <c r="O174" i="36"/>
  <c r="N174" i="36"/>
  <c r="M174" i="36"/>
  <c r="L174" i="36"/>
  <c r="K174" i="36"/>
  <c r="Q173" i="36"/>
  <c r="P173" i="36"/>
  <c r="O173" i="36"/>
  <c r="N173" i="36"/>
  <c r="M173" i="36"/>
  <c r="L173" i="36"/>
  <c r="K173" i="36"/>
  <c r="Q172" i="36"/>
  <c r="P172" i="36"/>
  <c r="O172" i="36"/>
  <c r="N172" i="36"/>
  <c r="M172" i="36"/>
  <c r="L172" i="36"/>
  <c r="K172" i="36"/>
  <c r="Q171" i="36"/>
  <c r="P171" i="36"/>
  <c r="O171" i="36"/>
  <c r="N171" i="36"/>
  <c r="M171" i="36"/>
  <c r="L171" i="36"/>
  <c r="K171" i="36"/>
  <c r="Q170" i="36"/>
  <c r="P170" i="36"/>
  <c r="O170" i="36"/>
  <c r="N170" i="36"/>
  <c r="M170" i="36"/>
  <c r="L170" i="36"/>
  <c r="K170" i="36"/>
  <c r="Q169" i="36"/>
  <c r="P169" i="36"/>
  <c r="O169" i="36"/>
  <c r="N169" i="36"/>
  <c r="M169" i="36"/>
  <c r="L169" i="36"/>
  <c r="K169" i="36"/>
  <c r="Q168" i="36"/>
  <c r="P168" i="36"/>
  <c r="O168" i="36"/>
  <c r="N168" i="36"/>
  <c r="M168" i="36"/>
  <c r="L168" i="36"/>
  <c r="K168" i="36"/>
  <c r="Q167" i="36"/>
  <c r="P167" i="36"/>
  <c r="O167" i="36"/>
  <c r="N167" i="36"/>
  <c r="M167" i="36"/>
  <c r="L167" i="36"/>
  <c r="K167" i="36"/>
  <c r="Q166" i="36"/>
  <c r="P166" i="36"/>
  <c r="O166" i="36"/>
  <c r="N166" i="36"/>
  <c r="M166" i="36"/>
  <c r="L166" i="36"/>
  <c r="K166" i="36"/>
  <c r="Q165" i="36"/>
  <c r="P165" i="36"/>
  <c r="O165" i="36"/>
  <c r="N165" i="36"/>
  <c r="M165" i="36"/>
  <c r="L165" i="36"/>
  <c r="K165" i="36"/>
  <c r="Q164" i="36"/>
  <c r="P164" i="36"/>
  <c r="O164" i="36"/>
  <c r="N164" i="36"/>
  <c r="M164" i="36"/>
  <c r="L164" i="36"/>
  <c r="K164" i="36"/>
  <c r="Q163" i="36"/>
  <c r="P163" i="36"/>
  <c r="O163" i="36"/>
  <c r="N163" i="36"/>
  <c r="M163" i="36"/>
  <c r="L163" i="36"/>
  <c r="K163" i="36"/>
  <c r="Q162" i="36"/>
  <c r="P162" i="36"/>
  <c r="O162" i="36"/>
  <c r="N162" i="36"/>
  <c r="M162" i="36"/>
  <c r="L162" i="36"/>
  <c r="K162" i="36"/>
  <c r="Q161" i="36"/>
  <c r="P161" i="36"/>
  <c r="O161" i="36"/>
  <c r="N161" i="36"/>
  <c r="M161" i="36"/>
  <c r="L161" i="36"/>
  <c r="K161" i="36"/>
  <c r="Q160" i="36"/>
  <c r="P160" i="36"/>
  <c r="O160" i="36"/>
  <c r="N160" i="36"/>
  <c r="M160" i="36"/>
  <c r="L160" i="36"/>
  <c r="K160" i="36"/>
  <c r="Q159" i="36"/>
  <c r="P159" i="36"/>
  <c r="O159" i="36"/>
  <c r="N159" i="36"/>
  <c r="M159" i="36"/>
  <c r="L159" i="36"/>
  <c r="K159" i="36"/>
  <c r="Q158" i="36"/>
  <c r="P158" i="36"/>
  <c r="O158" i="36"/>
  <c r="N158" i="36"/>
  <c r="M158" i="36"/>
  <c r="L158" i="36"/>
  <c r="K158" i="36"/>
  <c r="Q157" i="36"/>
  <c r="P157" i="36"/>
  <c r="O157" i="36"/>
  <c r="N157" i="36"/>
  <c r="M157" i="36"/>
  <c r="L157" i="36"/>
  <c r="K157" i="36"/>
  <c r="Q156" i="36"/>
  <c r="P156" i="36"/>
  <c r="O156" i="36"/>
  <c r="N156" i="36"/>
  <c r="M156" i="36"/>
  <c r="L156" i="36"/>
  <c r="K156" i="36"/>
  <c r="Q155" i="36"/>
  <c r="P155" i="36"/>
  <c r="O155" i="36"/>
  <c r="N155" i="36"/>
  <c r="M155" i="36"/>
  <c r="L155" i="36"/>
  <c r="K155" i="36"/>
  <c r="Q154" i="36"/>
  <c r="P154" i="36"/>
  <c r="O154" i="36"/>
  <c r="N154" i="36"/>
  <c r="M154" i="36"/>
  <c r="L154" i="36"/>
  <c r="K154" i="36"/>
  <c r="Q153" i="36"/>
  <c r="P153" i="36"/>
  <c r="O153" i="36"/>
  <c r="N153" i="36"/>
  <c r="M153" i="36"/>
  <c r="L153" i="36"/>
  <c r="K153" i="36"/>
  <c r="Q152" i="36"/>
  <c r="P152" i="36"/>
  <c r="O152" i="36"/>
  <c r="N152" i="36"/>
  <c r="M152" i="36"/>
  <c r="L152" i="36"/>
  <c r="K152" i="36"/>
  <c r="Q151" i="36"/>
  <c r="P151" i="36"/>
  <c r="O151" i="36"/>
  <c r="N151" i="36"/>
  <c r="M151" i="36"/>
  <c r="L151" i="36"/>
  <c r="K151" i="36"/>
  <c r="Q150" i="36"/>
  <c r="P150" i="36"/>
  <c r="O150" i="36"/>
  <c r="N150" i="36"/>
  <c r="M150" i="36"/>
  <c r="L150" i="36"/>
  <c r="K150" i="36"/>
  <c r="Q149" i="36"/>
  <c r="P149" i="36"/>
  <c r="O149" i="36"/>
  <c r="N149" i="36"/>
  <c r="M149" i="36"/>
  <c r="L149" i="36"/>
  <c r="K149" i="36"/>
  <c r="Q148" i="36"/>
  <c r="P148" i="36"/>
  <c r="O148" i="36"/>
  <c r="N148" i="36"/>
  <c r="M148" i="36"/>
  <c r="L148" i="36"/>
  <c r="K148" i="36"/>
  <c r="Q147" i="36"/>
  <c r="P147" i="36"/>
  <c r="O147" i="36"/>
  <c r="N147" i="36"/>
  <c r="M147" i="36"/>
  <c r="L147" i="36"/>
  <c r="K147" i="36"/>
  <c r="Q146" i="36"/>
  <c r="P146" i="36"/>
  <c r="O146" i="36"/>
  <c r="N146" i="36"/>
  <c r="M146" i="36"/>
  <c r="L146" i="36"/>
  <c r="K146" i="36"/>
  <c r="Q145" i="36"/>
  <c r="P145" i="36"/>
  <c r="O145" i="36"/>
  <c r="N145" i="36"/>
  <c r="M145" i="36"/>
  <c r="L145" i="36"/>
  <c r="K145" i="36"/>
  <c r="Q144" i="36"/>
  <c r="P144" i="36"/>
  <c r="O144" i="36"/>
  <c r="N144" i="36"/>
  <c r="M144" i="36"/>
  <c r="L144" i="36"/>
  <c r="K144" i="36"/>
  <c r="Q143" i="36"/>
  <c r="P143" i="36"/>
  <c r="O143" i="36"/>
  <c r="N143" i="36"/>
  <c r="M143" i="36"/>
  <c r="L143" i="36"/>
  <c r="K143" i="36"/>
  <c r="Q142" i="36"/>
  <c r="P142" i="36"/>
  <c r="O142" i="36"/>
  <c r="N142" i="36"/>
  <c r="M142" i="36"/>
  <c r="L142" i="36"/>
  <c r="K142" i="36"/>
  <c r="Q141" i="36"/>
  <c r="P141" i="36"/>
  <c r="O141" i="36"/>
  <c r="N141" i="36"/>
  <c r="M141" i="36"/>
  <c r="L141" i="36"/>
  <c r="K141" i="36"/>
  <c r="Q140" i="36"/>
  <c r="P140" i="36"/>
  <c r="O140" i="36"/>
  <c r="N140" i="36"/>
  <c r="M140" i="36"/>
  <c r="L140" i="36"/>
  <c r="K140" i="36"/>
  <c r="Q139" i="36"/>
  <c r="P139" i="36"/>
  <c r="O139" i="36"/>
  <c r="N139" i="36"/>
  <c r="M139" i="36"/>
  <c r="L139" i="36"/>
  <c r="K139" i="36"/>
  <c r="Q138" i="36"/>
  <c r="P138" i="36"/>
  <c r="O138" i="36"/>
  <c r="N138" i="36"/>
  <c r="M138" i="36"/>
  <c r="L138" i="36"/>
  <c r="K138" i="36"/>
  <c r="Q137" i="36"/>
  <c r="P137" i="36"/>
  <c r="O137" i="36"/>
  <c r="N137" i="36"/>
  <c r="M137" i="36"/>
  <c r="L137" i="36"/>
  <c r="K137" i="36"/>
  <c r="Q136" i="36"/>
  <c r="P136" i="36"/>
  <c r="O136" i="36"/>
  <c r="N136" i="36"/>
  <c r="M136" i="36"/>
  <c r="L136" i="36"/>
  <c r="K136" i="36"/>
  <c r="Q135" i="36"/>
  <c r="P135" i="36"/>
  <c r="O135" i="36"/>
  <c r="N135" i="36"/>
  <c r="M135" i="36"/>
  <c r="L135" i="36"/>
  <c r="K135" i="36"/>
  <c r="Q134" i="36"/>
  <c r="P134" i="36"/>
  <c r="O134" i="36"/>
  <c r="N134" i="36"/>
  <c r="M134" i="36"/>
  <c r="L134" i="36"/>
  <c r="K134" i="36"/>
  <c r="Q133" i="36"/>
  <c r="P133" i="36"/>
  <c r="O133" i="36"/>
  <c r="N133" i="36"/>
  <c r="M133" i="36"/>
  <c r="L133" i="36"/>
  <c r="K133" i="36"/>
  <c r="Q132" i="36"/>
  <c r="P132" i="36"/>
  <c r="O132" i="36"/>
  <c r="N132" i="36"/>
  <c r="M132" i="36"/>
  <c r="L132" i="36"/>
  <c r="K132" i="36"/>
  <c r="Q131" i="36"/>
  <c r="P131" i="36"/>
  <c r="O131" i="36"/>
  <c r="N131" i="36"/>
  <c r="M131" i="36"/>
  <c r="L131" i="36"/>
  <c r="K131" i="36"/>
  <c r="Q130" i="36"/>
  <c r="P130" i="36"/>
  <c r="O130" i="36"/>
  <c r="N130" i="36"/>
  <c r="M130" i="36"/>
  <c r="L130" i="36"/>
  <c r="K130" i="36"/>
  <c r="Q129" i="36"/>
  <c r="P129" i="36"/>
  <c r="O129" i="36"/>
  <c r="N129" i="36"/>
  <c r="M129" i="36"/>
  <c r="L129" i="36"/>
  <c r="K129" i="36"/>
  <c r="Q128" i="36"/>
  <c r="P128" i="36"/>
  <c r="O128" i="36"/>
  <c r="N128" i="36"/>
  <c r="M128" i="36"/>
  <c r="L128" i="36"/>
  <c r="K128" i="36"/>
  <c r="Q127" i="36"/>
  <c r="P127" i="36"/>
  <c r="O127" i="36"/>
  <c r="N127" i="36"/>
  <c r="M127" i="36"/>
  <c r="L127" i="36"/>
  <c r="K127" i="36"/>
  <c r="Q126" i="36"/>
  <c r="P126" i="36"/>
  <c r="O126" i="36"/>
  <c r="N126" i="36"/>
  <c r="M126" i="36"/>
  <c r="L126" i="36"/>
  <c r="K126" i="36"/>
  <c r="Q125" i="36"/>
  <c r="P125" i="36"/>
  <c r="O125" i="36"/>
  <c r="N125" i="36"/>
  <c r="M125" i="36"/>
  <c r="L125" i="36"/>
  <c r="K125" i="36"/>
  <c r="Q124" i="36"/>
  <c r="P124" i="36"/>
  <c r="O124" i="36"/>
  <c r="N124" i="36"/>
  <c r="M124" i="36"/>
  <c r="L124" i="36"/>
  <c r="K124" i="36"/>
  <c r="Q123" i="36"/>
  <c r="P123" i="36"/>
  <c r="O123" i="36"/>
  <c r="N123" i="36"/>
  <c r="M123" i="36"/>
  <c r="L123" i="36"/>
  <c r="K123" i="36"/>
  <c r="Q122" i="36"/>
  <c r="P122" i="36"/>
  <c r="O122" i="36"/>
  <c r="N122" i="36"/>
  <c r="M122" i="36"/>
  <c r="L122" i="36"/>
  <c r="K122" i="36"/>
  <c r="Q121" i="36"/>
  <c r="P121" i="36"/>
  <c r="O121" i="36"/>
  <c r="N121" i="36"/>
  <c r="M121" i="36"/>
  <c r="L121" i="36"/>
  <c r="K121" i="36"/>
  <c r="Q120" i="36"/>
  <c r="P120" i="36"/>
  <c r="O120" i="36"/>
  <c r="N120" i="36"/>
  <c r="M120" i="36"/>
  <c r="L120" i="36"/>
  <c r="K120" i="36"/>
  <c r="Q119" i="36"/>
  <c r="P119" i="36"/>
  <c r="O119" i="36"/>
  <c r="N119" i="36"/>
  <c r="M119" i="36"/>
  <c r="L119" i="36"/>
  <c r="K119" i="36"/>
  <c r="Q118" i="36"/>
  <c r="P118" i="36"/>
  <c r="O118" i="36"/>
  <c r="N118" i="36"/>
  <c r="M118" i="36"/>
  <c r="L118" i="36"/>
  <c r="K118" i="36"/>
  <c r="Q117" i="36"/>
  <c r="P117" i="36"/>
  <c r="O117" i="36"/>
  <c r="N117" i="36"/>
  <c r="M117" i="36"/>
  <c r="L117" i="36"/>
  <c r="K117" i="36"/>
  <c r="Q116" i="36"/>
  <c r="P116" i="36"/>
  <c r="O116" i="36"/>
  <c r="N116" i="36"/>
  <c r="M116" i="36"/>
  <c r="L116" i="36"/>
  <c r="K116" i="36"/>
  <c r="Q115" i="36"/>
  <c r="P115" i="36"/>
  <c r="O115" i="36"/>
  <c r="N115" i="36"/>
  <c r="M115" i="36"/>
  <c r="L115" i="36"/>
  <c r="K115" i="36"/>
  <c r="Q114" i="36"/>
  <c r="P114" i="36"/>
  <c r="O114" i="36"/>
  <c r="N114" i="36"/>
  <c r="M114" i="36"/>
  <c r="L114" i="36"/>
  <c r="K114" i="36"/>
  <c r="Q113" i="36"/>
  <c r="P113" i="36"/>
  <c r="O113" i="36"/>
  <c r="N113" i="36"/>
  <c r="M113" i="36"/>
  <c r="L113" i="36"/>
  <c r="K113" i="36"/>
  <c r="Q112" i="36"/>
  <c r="P112" i="36"/>
  <c r="O112" i="36"/>
  <c r="N112" i="36"/>
  <c r="M112" i="36"/>
  <c r="L112" i="36"/>
  <c r="K112" i="36"/>
  <c r="Q111" i="36"/>
  <c r="P111" i="36"/>
  <c r="O111" i="36"/>
  <c r="N111" i="36"/>
  <c r="M111" i="36"/>
  <c r="L111" i="36"/>
  <c r="K111" i="36"/>
  <c r="Q110" i="36"/>
  <c r="P110" i="36"/>
  <c r="O110" i="36"/>
  <c r="N110" i="36"/>
  <c r="M110" i="36"/>
  <c r="L110" i="36"/>
  <c r="K110" i="36"/>
  <c r="Q109" i="36"/>
  <c r="P109" i="36"/>
  <c r="O109" i="36"/>
  <c r="N109" i="36"/>
  <c r="M109" i="36"/>
  <c r="L109" i="36"/>
  <c r="K109" i="36"/>
  <c r="Q108" i="36"/>
  <c r="P108" i="36"/>
  <c r="O108" i="36"/>
  <c r="N108" i="36"/>
  <c r="M108" i="36"/>
  <c r="L108" i="36"/>
  <c r="K108" i="36"/>
  <c r="Q107" i="36"/>
  <c r="P107" i="36"/>
  <c r="O107" i="36"/>
  <c r="N107" i="36"/>
  <c r="M107" i="36"/>
  <c r="L107" i="36"/>
  <c r="K107" i="36"/>
  <c r="Q106" i="36"/>
  <c r="P106" i="36"/>
  <c r="O106" i="36"/>
  <c r="N106" i="36"/>
  <c r="M106" i="36"/>
  <c r="L106" i="36"/>
  <c r="K106" i="36"/>
  <c r="Q105" i="36"/>
  <c r="P105" i="36"/>
  <c r="O105" i="36"/>
  <c r="N105" i="36"/>
  <c r="M105" i="36"/>
  <c r="L105" i="36"/>
  <c r="K105" i="36"/>
  <c r="Q104" i="36"/>
  <c r="P104" i="36"/>
  <c r="O104" i="36"/>
  <c r="N104" i="36"/>
  <c r="M104" i="36"/>
  <c r="L104" i="36"/>
  <c r="K104" i="36"/>
  <c r="Q103" i="36"/>
  <c r="P103" i="36"/>
  <c r="O103" i="36"/>
  <c r="N103" i="36"/>
  <c r="M103" i="36"/>
  <c r="L103" i="36"/>
  <c r="K103" i="36"/>
  <c r="Q102" i="36"/>
  <c r="P102" i="36"/>
  <c r="O102" i="36"/>
  <c r="N102" i="36"/>
  <c r="M102" i="36"/>
  <c r="L102" i="36"/>
  <c r="K102" i="36"/>
  <c r="Q101" i="36"/>
  <c r="P101" i="36"/>
  <c r="O101" i="36"/>
  <c r="N101" i="36"/>
  <c r="M101" i="36"/>
  <c r="L101" i="36"/>
  <c r="K101" i="36"/>
  <c r="Q100" i="36"/>
  <c r="P100" i="36"/>
  <c r="O100" i="36"/>
  <c r="N100" i="36"/>
  <c r="M100" i="36"/>
  <c r="L100" i="36"/>
  <c r="K100" i="36"/>
  <c r="Q99" i="36"/>
  <c r="P99" i="36"/>
  <c r="O99" i="36"/>
  <c r="N99" i="36"/>
  <c r="M99" i="36"/>
  <c r="L99" i="36"/>
  <c r="K99" i="36"/>
  <c r="Q98" i="36"/>
  <c r="P98" i="36"/>
  <c r="O98" i="36"/>
  <c r="N98" i="36"/>
  <c r="M98" i="36"/>
  <c r="L98" i="36"/>
  <c r="K98" i="36"/>
  <c r="Q97" i="36"/>
  <c r="P97" i="36"/>
  <c r="O97" i="36"/>
  <c r="N97" i="36"/>
  <c r="M97" i="36"/>
  <c r="L97" i="36"/>
  <c r="K97" i="36"/>
  <c r="Q96" i="36"/>
  <c r="P96" i="36"/>
  <c r="O96" i="36"/>
  <c r="N96" i="36"/>
  <c r="M96" i="36"/>
  <c r="L96" i="36"/>
  <c r="K96" i="36"/>
  <c r="Q95" i="36"/>
  <c r="P95" i="36"/>
  <c r="O95" i="36"/>
  <c r="N95" i="36"/>
  <c r="M95" i="36"/>
  <c r="L95" i="36"/>
  <c r="K95" i="36"/>
  <c r="Q94" i="36"/>
  <c r="P94" i="36"/>
  <c r="O94" i="36"/>
  <c r="N94" i="36"/>
  <c r="M94" i="36"/>
  <c r="L94" i="36"/>
  <c r="K94" i="36"/>
  <c r="Q93" i="36"/>
  <c r="P93" i="36"/>
  <c r="O93" i="36"/>
  <c r="N93" i="36"/>
  <c r="M93" i="36"/>
  <c r="L93" i="36"/>
  <c r="K93" i="36"/>
  <c r="Q92" i="36"/>
  <c r="P92" i="36"/>
  <c r="O92" i="36"/>
  <c r="N92" i="36"/>
  <c r="M92" i="36"/>
  <c r="L92" i="36"/>
  <c r="K92" i="36"/>
  <c r="Q91" i="36"/>
  <c r="P91" i="36"/>
  <c r="O91" i="36"/>
  <c r="N91" i="36"/>
  <c r="M91" i="36"/>
  <c r="L91" i="36"/>
  <c r="K91" i="36"/>
  <c r="Q90" i="36"/>
  <c r="P90" i="36"/>
  <c r="O90" i="36"/>
  <c r="N90" i="36"/>
  <c r="M90" i="36"/>
  <c r="L90" i="36"/>
  <c r="K90" i="36"/>
  <c r="Q89" i="36"/>
  <c r="P89" i="36"/>
  <c r="O89" i="36"/>
  <c r="N89" i="36"/>
  <c r="M89" i="36"/>
  <c r="L89" i="36"/>
  <c r="K89" i="36"/>
  <c r="Q88" i="36"/>
  <c r="P88" i="36"/>
  <c r="O88" i="36"/>
  <c r="N88" i="36"/>
  <c r="M88" i="36"/>
  <c r="L88" i="36"/>
  <c r="K88" i="36"/>
  <c r="Q87" i="36"/>
  <c r="P87" i="36"/>
  <c r="O87" i="36"/>
  <c r="N87" i="36"/>
  <c r="M87" i="36"/>
  <c r="L87" i="36"/>
  <c r="K87" i="36"/>
  <c r="Q86" i="36"/>
  <c r="P86" i="36"/>
  <c r="O86" i="36"/>
  <c r="N86" i="36"/>
  <c r="M86" i="36"/>
  <c r="L86" i="36"/>
  <c r="K86" i="36"/>
  <c r="Q85" i="36"/>
  <c r="P85" i="36"/>
  <c r="O85" i="36"/>
  <c r="N85" i="36"/>
  <c r="M85" i="36"/>
  <c r="L85" i="36"/>
  <c r="K85" i="36"/>
  <c r="Q84" i="36"/>
  <c r="P84" i="36"/>
  <c r="O84" i="36"/>
  <c r="N84" i="36"/>
  <c r="M84" i="36"/>
  <c r="L84" i="36"/>
  <c r="K84" i="36"/>
  <c r="Q83" i="36"/>
  <c r="P83" i="36"/>
  <c r="O83" i="36"/>
  <c r="N83" i="36"/>
  <c r="M83" i="36"/>
  <c r="L83" i="36"/>
  <c r="K83" i="36"/>
  <c r="Q82" i="36"/>
  <c r="P82" i="36"/>
  <c r="O82" i="36"/>
  <c r="N82" i="36"/>
  <c r="M82" i="36"/>
  <c r="L82" i="36"/>
  <c r="K82" i="36"/>
  <c r="Q81" i="36"/>
  <c r="P81" i="36"/>
  <c r="O81" i="36"/>
  <c r="N81" i="36"/>
  <c r="M81" i="36"/>
  <c r="L81" i="36"/>
  <c r="K81" i="36"/>
  <c r="Q80" i="36"/>
  <c r="P80" i="36"/>
  <c r="O80" i="36"/>
  <c r="N80" i="36"/>
  <c r="M80" i="36"/>
  <c r="L80" i="36"/>
  <c r="K80" i="36"/>
  <c r="Q79" i="36"/>
  <c r="P79" i="36"/>
  <c r="O79" i="36"/>
  <c r="N79" i="36"/>
  <c r="M79" i="36"/>
  <c r="L79" i="36"/>
  <c r="K79" i="36"/>
  <c r="Q78" i="36"/>
  <c r="P78" i="36"/>
  <c r="O78" i="36"/>
  <c r="N78" i="36"/>
  <c r="M78" i="36"/>
  <c r="L78" i="36"/>
  <c r="K78" i="36"/>
  <c r="Q77" i="36"/>
  <c r="P77" i="36"/>
  <c r="O77" i="36"/>
  <c r="N77" i="36"/>
  <c r="M77" i="36"/>
  <c r="L77" i="36"/>
  <c r="K77" i="36"/>
  <c r="Q76" i="36"/>
  <c r="P76" i="36"/>
  <c r="O76" i="36"/>
  <c r="N76" i="36"/>
  <c r="M76" i="36"/>
  <c r="L76" i="36"/>
  <c r="K76" i="36"/>
  <c r="Q75" i="36"/>
  <c r="P75" i="36"/>
  <c r="O75" i="36"/>
  <c r="N75" i="36"/>
  <c r="M75" i="36"/>
  <c r="L75" i="36"/>
  <c r="K75" i="36"/>
  <c r="Q74" i="36"/>
  <c r="P74" i="36"/>
  <c r="O74" i="36"/>
  <c r="N74" i="36"/>
  <c r="M74" i="36"/>
  <c r="L74" i="36"/>
  <c r="K74" i="36"/>
  <c r="Q73" i="36"/>
  <c r="P73" i="36"/>
  <c r="O73" i="36"/>
  <c r="N73" i="36"/>
  <c r="M73" i="36"/>
  <c r="L73" i="36"/>
  <c r="K73" i="36"/>
  <c r="Q72" i="36"/>
  <c r="P72" i="36"/>
  <c r="O72" i="36"/>
  <c r="N72" i="36"/>
  <c r="M72" i="36"/>
  <c r="L72" i="36"/>
  <c r="K72" i="36"/>
  <c r="Q71" i="36"/>
  <c r="P71" i="36"/>
  <c r="O71" i="36"/>
  <c r="N71" i="36"/>
  <c r="M71" i="36"/>
  <c r="L71" i="36"/>
  <c r="K71" i="36"/>
  <c r="Q70" i="36"/>
  <c r="P70" i="36"/>
  <c r="O70" i="36"/>
  <c r="N70" i="36"/>
  <c r="M70" i="36"/>
  <c r="L70" i="36"/>
  <c r="K70" i="36"/>
  <c r="Q69" i="36"/>
  <c r="P69" i="36"/>
  <c r="O69" i="36"/>
  <c r="N69" i="36"/>
  <c r="M69" i="36"/>
  <c r="L69" i="36"/>
  <c r="K69" i="36"/>
  <c r="Q68" i="36"/>
  <c r="P68" i="36"/>
  <c r="O68" i="36"/>
  <c r="N68" i="36"/>
  <c r="M68" i="36"/>
  <c r="L68" i="36"/>
  <c r="K68" i="36"/>
  <c r="Q67" i="36"/>
  <c r="P67" i="36"/>
  <c r="O67" i="36"/>
  <c r="N67" i="36"/>
  <c r="M67" i="36"/>
  <c r="L67" i="36"/>
  <c r="K67" i="36"/>
  <c r="Q66" i="36"/>
  <c r="P66" i="36"/>
  <c r="O66" i="36"/>
  <c r="N66" i="36"/>
  <c r="M66" i="36"/>
  <c r="L66" i="36"/>
  <c r="K66" i="36"/>
  <c r="Q65" i="36"/>
  <c r="P65" i="36"/>
  <c r="O65" i="36"/>
  <c r="N65" i="36"/>
  <c r="M65" i="36"/>
  <c r="L65" i="36"/>
  <c r="K65" i="36"/>
  <c r="Q64" i="36"/>
  <c r="P64" i="36"/>
  <c r="O64" i="36"/>
  <c r="N64" i="36"/>
  <c r="M64" i="36"/>
  <c r="L64" i="36"/>
  <c r="K64" i="36"/>
  <c r="Q63" i="36"/>
  <c r="P63" i="36"/>
  <c r="O63" i="36"/>
  <c r="N63" i="36"/>
  <c r="M63" i="36"/>
  <c r="L63" i="36"/>
  <c r="K63" i="36"/>
  <c r="Q62" i="36"/>
  <c r="P62" i="36"/>
  <c r="O62" i="36"/>
  <c r="N62" i="36"/>
  <c r="M62" i="36"/>
  <c r="L62" i="36"/>
  <c r="K62" i="36"/>
  <c r="Q61" i="36"/>
  <c r="P61" i="36"/>
  <c r="O61" i="36"/>
  <c r="N61" i="36"/>
  <c r="M61" i="36"/>
  <c r="L61" i="36"/>
  <c r="K61" i="36"/>
  <c r="Q60" i="36"/>
  <c r="P60" i="36"/>
  <c r="O60" i="36"/>
  <c r="N60" i="36"/>
  <c r="M60" i="36"/>
  <c r="L60" i="36"/>
  <c r="K60" i="36"/>
  <c r="Q59" i="36"/>
  <c r="P59" i="36"/>
  <c r="O59" i="36"/>
  <c r="N59" i="36"/>
  <c r="M59" i="36"/>
  <c r="L59" i="36"/>
  <c r="K59" i="36"/>
  <c r="Q58" i="36"/>
  <c r="P58" i="36"/>
  <c r="O58" i="36"/>
  <c r="N58" i="36"/>
  <c r="M58" i="36"/>
  <c r="L58" i="36"/>
  <c r="K58" i="36"/>
  <c r="Q57" i="36"/>
  <c r="P57" i="36"/>
  <c r="O57" i="36"/>
  <c r="N57" i="36"/>
  <c r="M57" i="36"/>
  <c r="L57" i="36"/>
  <c r="K57" i="36"/>
  <c r="Q56" i="36"/>
  <c r="P56" i="36"/>
  <c r="O56" i="36"/>
  <c r="N56" i="36"/>
  <c r="M56" i="36"/>
  <c r="L56" i="36"/>
  <c r="K56" i="36"/>
  <c r="Q55" i="36"/>
  <c r="P55" i="36"/>
  <c r="O55" i="36"/>
  <c r="N55" i="36"/>
  <c r="M55" i="36"/>
  <c r="L55" i="36"/>
  <c r="K55" i="36"/>
  <c r="Q54" i="36"/>
  <c r="P54" i="36"/>
  <c r="O54" i="36"/>
  <c r="N54" i="36"/>
  <c r="M54" i="36"/>
  <c r="L54" i="36"/>
  <c r="K54" i="36"/>
  <c r="Q53" i="36"/>
  <c r="P53" i="36"/>
  <c r="O53" i="36"/>
  <c r="N53" i="36"/>
  <c r="M53" i="36"/>
  <c r="L53" i="36"/>
  <c r="K53" i="36"/>
  <c r="Q52" i="36"/>
  <c r="P52" i="36"/>
  <c r="O52" i="36"/>
  <c r="N52" i="36"/>
  <c r="M52" i="36"/>
  <c r="L52" i="36"/>
  <c r="K52" i="36"/>
  <c r="Q51" i="36"/>
  <c r="P51" i="36"/>
  <c r="O51" i="36"/>
  <c r="N51" i="36"/>
  <c r="M51" i="36"/>
  <c r="L51" i="36"/>
  <c r="K51" i="36"/>
  <c r="Q50" i="36"/>
  <c r="P50" i="36"/>
  <c r="O50" i="36"/>
  <c r="N50" i="36"/>
  <c r="M50" i="36"/>
  <c r="L50" i="36"/>
  <c r="K50" i="36"/>
  <c r="Q49" i="36"/>
  <c r="P49" i="36"/>
  <c r="O49" i="36"/>
  <c r="N49" i="36"/>
  <c r="M49" i="36"/>
  <c r="L49" i="36"/>
  <c r="K49" i="36"/>
  <c r="Q48" i="36"/>
  <c r="P48" i="36"/>
  <c r="O48" i="36"/>
  <c r="N48" i="36"/>
  <c r="M48" i="36"/>
  <c r="L48" i="36"/>
  <c r="K48" i="36"/>
  <c r="Q47" i="36"/>
  <c r="P47" i="36"/>
  <c r="O47" i="36"/>
  <c r="N47" i="36"/>
  <c r="M47" i="36"/>
  <c r="L47" i="36"/>
  <c r="K47" i="36"/>
  <c r="Q46" i="36"/>
  <c r="P46" i="36"/>
  <c r="O46" i="36"/>
  <c r="N46" i="36"/>
  <c r="M46" i="36"/>
  <c r="L46" i="36"/>
  <c r="K46" i="36"/>
  <c r="Q45" i="36"/>
  <c r="P45" i="36"/>
  <c r="O45" i="36"/>
  <c r="N45" i="36"/>
  <c r="M45" i="36"/>
  <c r="L45" i="36"/>
  <c r="K45" i="36"/>
  <c r="Q44" i="36"/>
  <c r="P44" i="36"/>
  <c r="O44" i="36"/>
  <c r="N44" i="36"/>
  <c r="M44" i="36"/>
  <c r="L44" i="36"/>
  <c r="K44" i="36"/>
  <c r="Q43" i="36"/>
  <c r="P43" i="36"/>
  <c r="O43" i="36"/>
  <c r="N43" i="36"/>
  <c r="M43" i="36"/>
  <c r="L43" i="36"/>
  <c r="K43" i="36"/>
  <c r="Q42" i="36"/>
  <c r="P42" i="36"/>
  <c r="O42" i="36"/>
  <c r="N42" i="36"/>
  <c r="M42" i="36"/>
  <c r="L42" i="36"/>
  <c r="K42" i="36"/>
  <c r="Q41" i="36"/>
  <c r="P41" i="36"/>
  <c r="O41" i="36"/>
  <c r="N41" i="36"/>
  <c r="M41" i="36"/>
  <c r="L41" i="36"/>
  <c r="K41" i="36"/>
  <c r="Q40" i="36"/>
  <c r="P40" i="36"/>
  <c r="O40" i="36"/>
  <c r="N40" i="36"/>
  <c r="M40" i="36"/>
  <c r="L40" i="36"/>
  <c r="K40" i="36"/>
  <c r="Q39" i="36"/>
  <c r="P39" i="36"/>
  <c r="O39" i="36"/>
  <c r="N39" i="36"/>
  <c r="M39" i="36"/>
  <c r="L39" i="36"/>
  <c r="K39" i="36"/>
  <c r="Q38" i="36"/>
  <c r="P38" i="36"/>
  <c r="O38" i="36"/>
  <c r="N38" i="36"/>
  <c r="M38" i="36"/>
  <c r="L38" i="36"/>
  <c r="K38" i="36"/>
  <c r="Q37" i="36"/>
  <c r="P37" i="36"/>
  <c r="O37" i="36"/>
  <c r="N37" i="36"/>
  <c r="M37" i="36"/>
  <c r="L37" i="36"/>
  <c r="K37" i="36"/>
  <c r="Q36" i="36"/>
  <c r="P36" i="36"/>
  <c r="O36" i="36"/>
  <c r="N36" i="36"/>
  <c r="M36" i="36"/>
  <c r="L36" i="36"/>
  <c r="K36" i="36"/>
  <c r="Q35" i="36"/>
  <c r="P35" i="36"/>
  <c r="O35" i="36"/>
  <c r="N35" i="36"/>
  <c r="M35" i="36"/>
  <c r="L35" i="36"/>
  <c r="K35" i="36"/>
  <c r="Q34" i="36"/>
  <c r="P34" i="36"/>
  <c r="O34" i="36"/>
  <c r="N34" i="36"/>
  <c r="M34" i="36"/>
  <c r="L34" i="36"/>
  <c r="K34" i="36"/>
  <c r="Q33" i="36"/>
  <c r="P33" i="36"/>
  <c r="O33" i="36"/>
  <c r="N33" i="36"/>
  <c r="M33" i="36"/>
  <c r="L33" i="36"/>
  <c r="K33" i="36"/>
  <c r="Q32" i="36"/>
  <c r="P32" i="36"/>
  <c r="O32" i="36"/>
  <c r="N32" i="36"/>
  <c r="M32" i="36"/>
  <c r="L32" i="36"/>
  <c r="K32" i="36"/>
  <c r="Q31" i="36"/>
  <c r="P31" i="36"/>
  <c r="O31" i="36"/>
  <c r="N31" i="36"/>
  <c r="M31" i="36"/>
  <c r="L31" i="36"/>
  <c r="K31" i="36"/>
  <c r="Q30" i="36"/>
  <c r="P30" i="36"/>
  <c r="O30" i="36"/>
  <c r="N30" i="36"/>
  <c r="M30" i="36"/>
  <c r="L30" i="36"/>
  <c r="K30" i="36"/>
  <c r="Q29" i="36"/>
  <c r="P29" i="36"/>
  <c r="O29" i="36"/>
  <c r="N29" i="36"/>
  <c r="M29" i="36"/>
  <c r="L29" i="36"/>
  <c r="K29" i="36"/>
  <c r="Q28" i="36"/>
  <c r="P28" i="36"/>
  <c r="O28" i="36"/>
  <c r="N28" i="36"/>
  <c r="M28" i="36"/>
  <c r="L28" i="36"/>
  <c r="K28" i="36"/>
  <c r="Q27" i="36"/>
  <c r="P27" i="36"/>
  <c r="O27" i="36"/>
  <c r="N27" i="36"/>
  <c r="M27" i="36"/>
  <c r="L27" i="36"/>
  <c r="K27" i="36"/>
  <c r="Q26" i="36"/>
  <c r="P26" i="36"/>
  <c r="O26" i="36"/>
  <c r="N26" i="36"/>
  <c r="M26" i="36"/>
  <c r="L26" i="36"/>
  <c r="K26" i="36"/>
  <c r="Q25" i="36"/>
  <c r="P25" i="36"/>
  <c r="O25" i="36"/>
  <c r="N25" i="36"/>
  <c r="M25" i="36"/>
  <c r="L25" i="36"/>
  <c r="K25" i="36"/>
  <c r="Q24" i="36"/>
  <c r="P24" i="36"/>
  <c r="O24" i="36"/>
  <c r="N24" i="36"/>
  <c r="M24" i="36"/>
  <c r="L24" i="36"/>
  <c r="K24" i="36"/>
  <c r="Q23" i="36"/>
  <c r="P23" i="36"/>
  <c r="O23" i="36"/>
  <c r="N23" i="36"/>
  <c r="M23" i="36"/>
  <c r="L23" i="36"/>
  <c r="K23" i="36"/>
  <c r="Q22" i="36"/>
  <c r="P22" i="36"/>
  <c r="O22" i="36"/>
  <c r="N22" i="36"/>
  <c r="M22" i="36"/>
  <c r="L22" i="36"/>
  <c r="K22" i="36"/>
  <c r="Q21" i="36"/>
  <c r="P21" i="36"/>
  <c r="O21" i="36"/>
  <c r="N21" i="36"/>
  <c r="M21" i="36"/>
  <c r="L21" i="36"/>
  <c r="K21" i="36"/>
  <c r="Q20" i="36"/>
  <c r="P20" i="36"/>
  <c r="O20" i="36"/>
  <c r="N20" i="36"/>
  <c r="M20" i="36"/>
  <c r="L20" i="36"/>
  <c r="K20" i="36"/>
  <c r="Q19" i="36"/>
  <c r="P19" i="36"/>
  <c r="O19" i="36"/>
  <c r="N19" i="36"/>
  <c r="M19" i="36"/>
  <c r="L19" i="36"/>
  <c r="K19" i="36"/>
  <c r="Q18" i="36"/>
  <c r="P18" i="36"/>
  <c r="O18" i="36"/>
  <c r="N18" i="36"/>
  <c r="M18" i="36"/>
  <c r="L18" i="36"/>
  <c r="K18" i="36"/>
  <c r="Q17" i="36"/>
  <c r="P17" i="36"/>
  <c r="O17" i="36"/>
  <c r="N17" i="36"/>
  <c r="M17" i="36"/>
  <c r="L17" i="36"/>
  <c r="K17" i="36"/>
  <c r="Q16" i="36"/>
  <c r="P16" i="36"/>
  <c r="O16" i="36"/>
  <c r="N16" i="36"/>
  <c r="M16" i="36"/>
  <c r="L16" i="36"/>
  <c r="K16" i="36"/>
  <c r="Q15" i="36"/>
  <c r="P15" i="36"/>
  <c r="O15" i="36"/>
  <c r="N15" i="36"/>
  <c r="M15" i="36"/>
  <c r="L15" i="36"/>
  <c r="K15" i="36"/>
  <c r="Q14" i="36"/>
  <c r="P14" i="36"/>
  <c r="O14" i="36"/>
  <c r="N14" i="36"/>
  <c r="M14" i="36"/>
  <c r="L14" i="36"/>
  <c r="K14" i="36"/>
  <c r="A2" i="34"/>
  <c r="B31" i="1" s="1"/>
  <c r="A38" i="54" s="1"/>
  <c r="Q203" i="34"/>
  <c r="P203" i="34"/>
  <c r="O203" i="34"/>
  <c r="N203" i="34"/>
  <c r="M203" i="34"/>
  <c r="L203" i="34"/>
  <c r="K203" i="34"/>
  <c r="Q202" i="34"/>
  <c r="P202" i="34"/>
  <c r="O202" i="34"/>
  <c r="N202" i="34"/>
  <c r="M202" i="34"/>
  <c r="L202" i="34"/>
  <c r="K202" i="34"/>
  <c r="Q201" i="34"/>
  <c r="P201" i="34"/>
  <c r="O201" i="34"/>
  <c r="N201" i="34"/>
  <c r="M201" i="34"/>
  <c r="L201" i="34"/>
  <c r="K201" i="34"/>
  <c r="Q200" i="34"/>
  <c r="P200" i="34"/>
  <c r="O200" i="34"/>
  <c r="N200" i="34"/>
  <c r="M200" i="34"/>
  <c r="L200" i="34"/>
  <c r="K200" i="34"/>
  <c r="Q199" i="34"/>
  <c r="P199" i="34"/>
  <c r="O199" i="34"/>
  <c r="N199" i="34"/>
  <c r="M199" i="34"/>
  <c r="L199" i="34"/>
  <c r="K199" i="34"/>
  <c r="Q198" i="34"/>
  <c r="P198" i="34"/>
  <c r="O198" i="34"/>
  <c r="N198" i="34"/>
  <c r="M198" i="34"/>
  <c r="L198" i="34"/>
  <c r="K198" i="34"/>
  <c r="Q197" i="34"/>
  <c r="P197" i="34"/>
  <c r="O197" i="34"/>
  <c r="N197" i="34"/>
  <c r="M197" i="34"/>
  <c r="L197" i="34"/>
  <c r="K197" i="34"/>
  <c r="Q196" i="34"/>
  <c r="P196" i="34"/>
  <c r="O196" i="34"/>
  <c r="N196" i="34"/>
  <c r="M196" i="34"/>
  <c r="L196" i="34"/>
  <c r="K196" i="34"/>
  <c r="Q195" i="34"/>
  <c r="P195" i="34"/>
  <c r="O195" i="34"/>
  <c r="N195" i="34"/>
  <c r="M195" i="34"/>
  <c r="L195" i="34"/>
  <c r="K195" i="34"/>
  <c r="Q194" i="34"/>
  <c r="P194" i="34"/>
  <c r="O194" i="34"/>
  <c r="N194" i="34"/>
  <c r="M194" i="34"/>
  <c r="L194" i="34"/>
  <c r="K194" i="34"/>
  <c r="Q193" i="34"/>
  <c r="P193" i="34"/>
  <c r="O193" i="34"/>
  <c r="N193" i="34"/>
  <c r="M193" i="34"/>
  <c r="L193" i="34"/>
  <c r="K193" i="34"/>
  <c r="Q192" i="34"/>
  <c r="P192" i="34"/>
  <c r="O192" i="34"/>
  <c r="N192" i="34"/>
  <c r="M192" i="34"/>
  <c r="L192" i="34"/>
  <c r="K192" i="34"/>
  <c r="Q191" i="34"/>
  <c r="P191" i="34"/>
  <c r="O191" i="34"/>
  <c r="N191" i="34"/>
  <c r="M191" i="34"/>
  <c r="L191" i="34"/>
  <c r="K191" i="34"/>
  <c r="Q190" i="34"/>
  <c r="P190" i="34"/>
  <c r="O190" i="34"/>
  <c r="N190" i="34"/>
  <c r="M190" i="34"/>
  <c r="L190" i="34"/>
  <c r="K190" i="34"/>
  <c r="Q189" i="34"/>
  <c r="P189" i="34"/>
  <c r="O189" i="34"/>
  <c r="N189" i="34"/>
  <c r="M189" i="34"/>
  <c r="L189" i="34"/>
  <c r="K189" i="34"/>
  <c r="Q188" i="34"/>
  <c r="P188" i="34"/>
  <c r="O188" i="34"/>
  <c r="N188" i="34"/>
  <c r="M188" i="34"/>
  <c r="L188" i="34"/>
  <c r="K188" i="34"/>
  <c r="Q187" i="34"/>
  <c r="P187" i="34"/>
  <c r="O187" i="34"/>
  <c r="N187" i="34"/>
  <c r="M187" i="34"/>
  <c r="L187" i="34"/>
  <c r="K187" i="34"/>
  <c r="Q186" i="34"/>
  <c r="P186" i="34"/>
  <c r="O186" i="34"/>
  <c r="N186" i="34"/>
  <c r="M186" i="34"/>
  <c r="L186" i="34"/>
  <c r="K186" i="34"/>
  <c r="Q185" i="34"/>
  <c r="P185" i="34"/>
  <c r="O185" i="34"/>
  <c r="N185" i="34"/>
  <c r="M185" i="34"/>
  <c r="L185" i="34"/>
  <c r="K185" i="34"/>
  <c r="Q184" i="34"/>
  <c r="P184" i="34"/>
  <c r="O184" i="34"/>
  <c r="N184" i="34"/>
  <c r="M184" i="34"/>
  <c r="L184" i="34"/>
  <c r="K184" i="34"/>
  <c r="Q183" i="34"/>
  <c r="P183" i="34"/>
  <c r="O183" i="34"/>
  <c r="N183" i="34"/>
  <c r="M183" i="34"/>
  <c r="L183" i="34"/>
  <c r="K183" i="34"/>
  <c r="Q182" i="34"/>
  <c r="P182" i="34"/>
  <c r="O182" i="34"/>
  <c r="N182" i="34"/>
  <c r="M182" i="34"/>
  <c r="L182" i="34"/>
  <c r="K182" i="34"/>
  <c r="Q181" i="34"/>
  <c r="P181" i="34"/>
  <c r="O181" i="34"/>
  <c r="N181" i="34"/>
  <c r="M181" i="34"/>
  <c r="L181" i="34"/>
  <c r="K181" i="34"/>
  <c r="Q180" i="34"/>
  <c r="P180" i="34"/>
  <c r="O180" i="34"/>
  <c r="N180" i="34"/>
  <c r="M180" i="34"/>
  <c r="L180" i="34"/>
  <c r="K180" i="34"/>
  <c r="Q179" i="34"/>
  <c r="P179" i="34"/>
  <c r="O179" i="34"/>
  <c r="N179" i="34"/>
  <c r="M179" i="34"/>
  <c r="L179" i="34"/>
  <c r="K179" i="34"/>
  <c r="Q178" i="34"/>
  <c r="P178" i="34"/>
  <c r="O178" i="34"/>
  <c r="N178" i="34"/>
  <c r="M178" i="34"/>
  <c r="L178" i="34"/>
  <c r="K178" i="34"/>
  <c r="Q177" i="34"/>
  <c r="P177" i="34"/>
  <c r="O177" i="34"/>
  <c r="N177" i="34"/>
  <c r="M177" i="34"/>
  <c r="L177" i="34"/>
  <c r="K177" i="34"/>
  <c r="Q176" i="34"/>
  <c r="P176" i="34"/>
  <c r="O176" i="34"/>
  <c r="N176" i="34"/>
  <c r="M176" i="34"/>
  <c r="L176" i="34"/>
  <c r="K176" i="34"/>
  <c r="Q175" i="34"/>
  <c r="P175" i="34"/>
  <c r="O175" i="34"/>
  <c r="N175" i="34"/>
  <c r="M175" i="34"/>
  <c r="L175" i="34"/>
  <c r="K175" i="34"/>
  <c r="Q174" i="34"/>
  <c r="P174" i="34"/>
  <c r="O174" i="34"/>
  <c r="N174" i="34"/>
  <c r="M174" i="34"/>
  <c r="L174" i="34"/>
  <c r="K174" i="34"/>
  <c r="Q173" i="34"/>
  <c r="P173" i="34"/>
  <c r="O173" i="34"/>
  <c r="N173" i="34"/>
  <c r="M173" i="34"/>
  <c r="L173" i="34"/>
  <c r="K173" i="34"/>
  <c r="Q172" i="34"/>
  <c r="P172" i="34"/>
  <c r="O172" i="34"/>
  <c r="N172" i="34"/>
  <c r="M172" i="34"/>
  <c r="L172" i="34"/>
  <c r="K172" i="34"/>
  <c r="Q171" i="34"/>
  <c r="P171" i="34"/>
  <c r="O171" i="34"/>
  <c r="N171" i="34"/>
  <c r="M171" i="34"/>
  <c r="L171" i="34"/>
  <c r="K171" i="34"/>
  <c r="Q170" i="34"/>
  <c r="P170" i="34"/>
  <c r="O170" i="34"/>
  <c r="N170" i="34"/>
  <c r="M170" i="34"/>
  <c r="L170" i="34"/>
  <c r="K170" i="34"/>
  <c r="Q169" i="34"/>
  <c r="P169" i="34"/>
  <c r="O169" i="34"/>
  <c r="N169" i="34"/>
  <c r="M169" i="34"/>
  <c r="L169" i="34"/>
  <c r="K169" i="34"/>
  <c r="Q168" i="34"/>
  <c r="P168" i="34"/>
  <c r="O168" i="34"/>
  <c r="N168" i="34"/>
  <c r="M168" i="34"/>
  <c r="L168" i="34"/>
  <c r="K168" i="34"/>
  <c r="Q167" i="34"/>
  <c r="P167" i="34"/>
  <c r="O167" i="34"/>
  <c r="N167" i="34"/>
  <c r="M167" i="34"/>
  <c r="L167" i="34"/>
  <c r="K167" i="34"/>
  <c r="Q166" i="34"/>
  <c r="P166" i="34"/>
  <c r="O166" i="34"/>
  <c r="N166" i="34"/>
  <c r="M166" i="34"/>
  <c r="L166" i="34"/>
  <c r="K166" i="34"/>
  <c r="Q165" i="34"/>
  <c r="P165" i="34"/>
  <c r="O165" i="34"/>
  <c r="N165" i="34"/>
  <c r="M165" i="34"/>
  <c r="L165" i="34"/>
  <c r="K165" i="34"/>
  <c r="Q164" i="34"/>
  <c r="P164" i="34"/>
  <c r="O164" i="34"/>
  <c r="N164" i="34"/>
  <c r="M164" i="34"/>
  <c r="L164" i="34"/>
  <c r="K164" i="34"/>
  <c r="Q163" i="34"/>
  <c r="P163" i="34"/>
  <c r="O163" i="34"/>
  <c r="N163" i="34"/>
  <c r="M163" i="34"/>
  <c r="L163" i="34"/>
  <c r="K163" i="34"/>
  <c r="Q162" i="34"/>
  <c r="P162" i="34"/>
  <c r="O162" i="34"/>
  <c r="N162" i="34"/>
  <c r="M162" i="34"/>
  <c r="L162" i="34"/>
  <c r="K162" i="34"/>
  <c r="Q161" i="34"/>
  <c r="P161" i="34"/>
  <c r="O161" i="34"/>
  <c r="N161" i="34"/>
  <c r="M161" i="34"/>
  <c r="L161" i="34"/>
  <c r="K161" i="34"/>
  <c r="Q160" i="34"/>
  <c r="P160" i="34"/>
  <c r="O160" i="34"/>
  <c r="N160" i="34"/>
  <c r="M160" i="34"/>
  <c r="L160" i="34"/>
  <c r="K160" i="34"/>
  <c r="Q159" i="34"/>
  <c r="P159" i="34"/>
  <c r="O159" i="34"/>
  <c r="N159" i="34"/>
  <c r="M159" i="34"/>
  <c r="L159" i="34"/>
  <c r="K159" i="34"/>
  <c r="Q158" i="34"/>
  <c r="P158" i="34"/>
  <c r="O158" i="34"/>
  <c r="N158" i="34"/>
  <c r="M158" i="34"/>
  <c r="L158" i="34"/>
  <c r="K158" i="34"/>
  <c r="Q157" i="34"/>
  <c r="P157" i="34"/>
  <c r="O157" i="34"/>
  <c r="N157" i="34"/>
  <c r="M157" i="34"/>
  <c r="L157" i="34"/>
  <c r="K157" i="34"/>
  <c r="Q156" i="34"/>
  <c r="P156" i="34"/>
  <c r="O156" i="34"/>
  <c r="N156" i="34"/>
  <c r="M156" i="34"/>
  <c r="L156" i="34"/>
  <c r="K156" i="34"/>
  <c r="Q155" i="34"/>
  <c r="P155" i="34"/>
  <c r="O155" i="34"/>
  <c r="N155" i="34"/>
  <c r="M155" i="34"/>
  <c r="L155" i="34"/>
  <c r="K155" i="34"/>
  <c r="Q154" i="34"/>
  <c r="P154" i="34"/>
  <c r="O154" i="34"/>
  <c r="N154" i="34"/>
  <c r="M154" i="34"/>
  <c r="L154" i="34"/>
  <c r="K154" i="34"/>
  <c r="Q153" i="34"/>
  <c r="P153" i="34"/>
  <c r="O153" i="34"/>
  <c r="N153" i="34"/>
  <c r="M153" i="34"/>
  <c r="L153" i="34"/>
  <c r="K153" i="34"/>
  <c r="Q152" i="34"/>
  <c r="P152" i="34"/>
  <c r="O152" i="34"/>
  <c r="N152" i="34"/>
  <c r="M152" i="34"/>
  <c r="L152" i="34"/>
  <c r="K152" i="34"/>
  <c r="Q151" i="34"/>
  <c r="P151" i="34"/>
  <c r="O151" i="34"/>
  <c r="N151" i="34"/>
  <c r="M151" i="34"/>
  <c r="L151" i="34"/>
  <c r="K151" i="34"/>
  <c r="Q150" i="34"/>
  <c r="P150" i="34"/>
  <c r="O150" i="34"/>
  <c r="N150" i="34"/>
  <c r="M150" i="34"/>
  <c r="L150" i="34"/>
  <c r="K150" i="34"/>
  <c r="Q149" i="34"/>
  <c r="P149" i="34"/>
  <c r="O149" i="34"/>
  <c r="N149" i="34"/>
  <c r="M149" i="34"/>
  <c r="L149" i="34"/>
  <c r="K149" i="34"/>
  <c r="Q148" i="34"/>
  <c r="P148" i="34"/>
  <c r="O148" i="34"/>
  <c r="N148" i="34"/>
  <c r="M148" i="34"/>
  <c r="L148" i="34"/>
  <c r="K148" i="34"/>
  <c r="Q147" i="34"/>
  <c r="P147" i="34"/>
  <c r="O147" i="34"/>
  <c r="N147" i="34"/>
  <c r="M147" i="34"/>
  <c r="L147" i="34"/>
  <c r="K147" i="34"/>
  <c r="Q146" i="34"/>
  <c r="P146" i="34"/>
  <c r="O146" i="34"/>
  <c r="N146" i="34"/>
  <c r="M146" i="34"/>
  <c r="L146" i="34"/>
  <c r="K146" i="34"/>
  <c r="Q145" i="34"/>
  <c r="P145" i="34"/>
  <c r="O145" i="34"/>
  <c r="N145" i="34"/>
  <c r="M145" i="34"/>
  <c r="L145" i="34"/>
  <c r="K145" i="34"/>
  <c r="Q144" i="34"/>
  <c r="P144" i="34"/>
  <c r="O144" i="34"/>
  <c r="N144" i="34"/>
  <c r="M144" i="34"/>
  <c r="L144" i="34"/>
  <c r="K144" i="34"/>
  <c r="Q143" i="34"/>
  <c r="P143" i="34"/>
  <c r="O143" i="34"/>
  <c r="N143" i="34"/>
  <c r="M143" i="34"/>
  <c r="L143" i="34"/>
  <c r="K143" i="34"/>
  <c r="Q142" i="34"/>
  <c r="P142" i="34"/>
  <c r="O142" i="34"/>
  <c r="N142" i="34"/>
  <c r="M142" i="34"/>
  <c r="L142" i="34"/>
  <c r="K142" i="34"/>
  <c r="Q141" i="34"/>
  <c r="P141" i="34"/>
  <c r="O141" i="34"/>
  <c r="N141" i="34"/>
  <c r="M141" i="34"/>
  <c r="L141" i="34"/>
  <c r="K141" i="34"/>
  <c r="Q140" i="34"/>
  <c r="P140" i="34"/>
  <c r="O140" i="34"/>
  <c r="N140" i="34"/>
  <c r="M140" i="34"/>
  <c r="L140" i="34"/>
  <c r="K140" i="34"/>
  <c r="Q139" i="34"/>
  <c r="P139" i="34"/>
  <c r="O139" i="34"/>
  <c r="N139" i="34"/>
  <c r="M139" i="34"/>
  <c r="L139" i="34"/>
  <c r="K139" i="34"/>
  <c r="Q138" i="34"/>
  <c r="P138" i="34"/>
  <c r="O138" i="34"/>
  <c r="N138" i="34"/>
  <c r="M138" i="34"/>
  <c r="L138" i="34"/>
  <c r="K138" i="34"/>
  <c r="Q137" i="34"/>
  <c r="P137" i="34"/>
  <c r="O137" i="34"/>
  <c r="N137" i="34"/>
  <c r="M137" i="34"/>
  <c r="L137" i="34"/>
  <c r="K137" i="34"/>
  <c r="Q136" i="34"/>
  <c r="P136" i="34"/>
  <c r="O136" i="34"/>
  <c r="N136" i="34"/>
  <c r="M136" i="34"/>
  <c r="L136" i="34"/>
  <c r="K136" i="34"/>
  <c r="Q135" i="34"/>
  <c r="P135" i="34"/>
  <c r="O135" i="34"/>
  <c r="N135" i="34"/>
  <c r="M135" i="34"/>
  <c r="L135" i="34"/>
  <c r="K135" i="34"/>
  <c r="Q134" i="34"/>
  <c r="P134" i="34"/>
  <c r="O134" i="34"/>
  <c r="N134" i="34"/>
  <c r="M134" i="34"/>
  <c r="L134" i="34"/>
  <c r="K134" i="34"/>
  <c r="Q133" i="34"/>
  <c r="P133" i="34"/>
  <c r="O133" i="34"/>
  <c r="N133" i="34"/>
  <c r="M133" i="34"/>
  <c r="L133" i="34"/>
  <c r="K133" i="34"/>
  <c r="Q132" i="34"/>
  <c r="P132" i="34"/>
  <c r="O132" i="34"/>
  <c r="N132" i="34"/>
  <c r="M132" i="34"/>
  <c r="L132" i="34"/>
  <c r="K132" i="34"/>
  <c r="Q131" i="34"/>
  <c r="P131" i="34"/>
  <c r="O131" i="34"/>
  <c r="N131" i="34"/>
  <c r="M131" i="34"/>
  <c r="L131" i="34"/>
  <c r="K131" i="34"/>
  <c r="Q130" i="34"/>
  <c r="P130" i="34"/>
  <c r="O130" i="34"/>
  <c r="N130" i="34"/>
  <c r="M130" i="34"/>
  <c r="L130" i="34"/>
  <c r="K130" i="34"/>
  <c r="Q129" i="34"/>
  <c r="P129" i="34"/>
  <c r="O129" i="34"/>
  <c r="N129" i="34"/>
  <c r="M129" i="34"/>
  <c r="L129" i="34"/>
  <c r="K129" i="34"/>
  <c r="Q128" i="34"/>
  <c r="P128" i="34"/>
  <c r="O128" i="34"/>
  <c r="N128" i="34"/>
  <c r="M128" i="34"/>
  <c r="L128" i="34"/>
  <c r="K128" i="34"/>
  <c r="Q127" i="34"/>
  <c r="P127" i="34"/>
  <c r="O127" i="34"/>
  <c r="N127" i="34"/>
  <c r="M127" i="34"/>
  <c r="L127" i="34"/>
  <c r="K127" i="34"/>
  <c r="Q126" i="34"/>
  <c r="P126" i="34"/>
  <c r="O126" i="34"/>
  <c r="N126" i="34"/>
  <c r="M126" i="34"/>
  <c r="L126" i="34"/>
  <c r="K126" i="34"/>
  <c r="Q125" i="34"/>
  <c r="P125" i="34"/>
  <c r="O125" i="34"/>
  <c r="N125" i="34"/>
  <c r="M125" i="34"/>
  <c r="L125" i="34"/>
  <c r="K125" i="34"/>
  <c r="Q124" i="34"/>
  <c r="P124" i="34"/>
  <c r="O124" i="34"/>
  <c r="N124" i="34"/>
  <c r="M124" i="34"/>
  <c r="L124" i="34"/>
  <c r="K124" i="34"/>
  <c r="Q123" i="34"/>
  <c r="P123" i="34"/>
  <c r="O123" i="34"/>
  <c r="N123" i="34"/>
  <c r="M123" i="34"/>
  <c r="L123" i="34"/>
  <c r="K123" i="34"/>
  <c r="Q122" i="34"/>
  <c r="P122" i="34"/>
  <c r="O122" i="34"/>
  <c r="N122" i="34"/>
  <c r="M122" i="34"/>
  <c r="L122" i="34"/>
  <c r="K122" i="34"/>
  <c r="Q121" i="34"/>
  <c r="P121" i="34"/>
  <c r="O121" i="34"/>
  <c r="N121" i="34"/>
  <c r="M121" i="34"/>
  <c r="L121" i="34"/>
  <c r="K121" i="34"/>
  <c r="Q120" i="34"/>
  <c r="P120" i="34"/>
  <c r="O120" i="34"/>
  <c r="N120" i="34"/>
  <c r="M120" i="34"/>
  <c r="L120" i="34"/>
  <c r="K120" i="34"/>
  <c r="Q119" i="34"/>
  <c r="P119" i="34"/>
  <c r="O119" i="34"/>
  <c r="N119" i="34"/>
  <c r="M119" i="34"/>
  <c r="L119" i="34"/>
  <c r="K119" i="34"/>
  <c r="Q118" i="34"/>
  <c r="P118" i="34"/>
  <c r="O118" i="34"/>
  <c r="N118" i="34"/>
  <c r="M118" i="34"/>
  <c r="L118" i="34"/>
  <c r="K118" i="34"/>
  <c r="Q117" i="34"/>
  <c r="P117" i="34"/>
  <c r="O117" i="34"/>
  <c r="N117" i="34"/>
  <c r="M117" i="34"/>
  <c r="L117" i="34"/>
  <c r="K117" i="34"/>
  <c r="Q116" i="34"/>
  <c r="P116" i="34"/>
  <c r="O116" i="34"/>
  <c r="N116" i="34"/>
  <c r="M116" i="34"/>
  <c r="L116" i="34"/>
  <c r="K116" i="34"/>
  <c r="Q115" i="34"/>
  <c r="P115" i="34"/>
  <c r="O115" i="34"/>
  <c r="N115" i="34"/>
  <c r="M115" i="34"/>
  <c r="L115" i="34"/>
  <c r="K115" i="34"/>
  <c r="Q114" i="34"/>
  <c r="P114" i="34"/>
  <c r="O114" i="34"/>
  <c r="N114" i="34"/>
  <c r="M114" i="34"/>
  <c r="L114" i="34"/>
  <c r="K114" i="34"/>
  <c r="Q113" i="34"/>
  <c r="P113" i="34"/>
  <c r="O113" i="34"/>
  <c r="N113" i="34"/>
  <c r="M113" i="34"/>
  <c r="L113" i="34"/>
  <c r="K113" i="34"/>
  <c r="Q112" i="34"/>
  <c r="P112" i="34"/>
  <c r="O112" i="34"/>
  <c r="N112" i="34"/>
  <c r="M112" i="34"/>
  <c r="L112" i="34"/>
  <c r="K112" i="34"/>
  <c r="Q111" i="34"/>
  <c r="P111" i="34"/>
  <c r="O111" i="34"/>
  <c r="N111" i="34"/>
  <c r="M111" i="34"/>
  <c r="L111" i="34"/>
  <c r="K111" i="34"/>
  <c r="Q110" i="34"/>
  <c r="P110" i="34"/>
  <c r="O110" i="34"/>
  <c r="N110" i="34"/>
  <c r="M110" i="34"/>
  <c r="L110" i="34"/>
  <c r="K110" i="34"/>
  <c r="Q109" i="34"/>
  <c r="P109" i="34"/>
  <c r="O109" i="34"/>
  <c r="N109" i="34"/>
  <c r="M109" i="34"/>
  <c r="L109" i="34"/>
  <c r="K109" i="34"/>
  <c r="Q108" i="34"/>
  <c r="P108" i="34"/>
  <c r="O108" i="34"/>
  <c r="N108" i="34"/>
  <c r="M108" i="34"/>
  <c r="L108" i="34"/>
  <c r="K108" i="34"/>
  <c r="Q107" i="34"/>
  <c r="P107" i="34"/>
  <c r="O107" i="34"/>
  <c r="N107" i="34"/>
  <c r="M107" i="34"/>
  <c r="L107" i="34"/>
  <c r="K107" i="34"/>
  <c r="Q106" i="34"/>
  <c r="P106" i="34"/>
  <c r="O106" i="34"/>
  <c r="N106" i="34"/>
  <c r="M106" i="34"/>
  <c r="L106" i="34"/>
  <c r="K106" i="34"/>
  <c r="Q105" i="34"/>
  <c r="P105" i="34"/>
  <c r="O105" i="34"/>
  <c r="N105" i="34"/>
  <c r="M105" i="34"/>
  <c r="L105" i="34"/>
  <c r="K105" i="34"/>
  <c r="Q104" i="34"/>
  <c r="P104" i="34"/>
  <c r="O104" i="34"/>
  <c r="N104" i="34"/>
  <c r="M104" i="34"/>
  <c r="L104" i="34"/>
  <c r="K104" i="34"/>
  <c r="Q103" i="34"/>
  <c r="P103" i="34"/>
  <c r="O103" i="34"/>
  <c r="N103" i="34"/>
  <c r="M103" i="34"/>
  <c r="L103" i="34"/>
  <c r="K103" i="34"/>
  <c r="Q102" i="34"/>
  <c r="P102" i="34"/>
  <c r="O102" i="34"/>
  <c r="N102" i="34"/>
  <c r="M102" i="34"/>
  <c r="L102" i="34"/>
  <c r="K102" i="34"/>
  <c r="Q101" i="34"/>
  <c r="P101" i="34"/>
  <c r="O101" i="34"/>
  <c r="N101" i="34"/>
  <c r="M101" i="34"/>
  <c r="L101" i="34"/>
  <c r="K101" i="34"/>
  <c r="Q100" i="34"/>
  <c r="P100" i="34"/>
  <c r="O100" i="34"/>
  <c r="N100" i="34"/>
  <c r="M100" i="34"/>
  <c r="L100" i="34"/>
  <c r="K100" i="34"/>
  <c r="Q99" i="34"/>
  <c r="P99" i="34"/>
  <c r="O99" i="34"/>
  <c r="N99" i="34"/>
  <c r="M99" i="34"/>
  <c r="L99" i="34"/>
  <c r="K99" i="34"/>
  <c r="Q98" i="34"/>
  <c r="P98" i="34"/>
  <c r="O98" i="34"/>
  <c r="N98" i="34"/>
  <c r="M98" i="34"/>
  <c r="L98" i="34"/>
  <c r="K98" i="34"/>
  <c r="Q97" i="34"/>
  <c r="P97" i="34"/>
  <c r="O97" i="34"/>
  <c r="N97" i="34"/>
  <c r="M97" i="34"/>
  <c r="L97" i="34"/>
  <c r="K97" i="34"/>
  <c r="Q96" i="34"/>
  <c r="P96" i="34"/>
  <c r="O96" i="34"/>
  <c r="N96" i="34"/>
  <c r="M96" i="34"/>
  <c r="L96" i="34"/>
  <c r="K96" i="34"/>
  <c r="Q95" i="34"/>
  <c r="P95" i="34"/>
  <c r="O95" i="34"/>
  <c r="N95" i="34"/>
  <c r="M95" i="34"/>
  <c r="L95" i="34"/>
  <c r="K95" i="34"/>
  <c r="Q94" i="34"/>
  <c r="P94" i="34"/>
  <c r="O94" i="34"/>
  <c r="N94" i="34"/>
  <c r="M94" i="34"/>
  <c r="L94" i="34"/>
  <c r="K94" i="34"/>
  <c r="Q93" i="34"/>
  <c r="P93" i="34"/>
  <c r="O93" i="34"/>
  <c r="N93" i="34"/>
  <c r="M93" i="34"/>
  <c r="L93" i="34"/>
  <c r="K93" i="34"/>
  <c r="Q92" i="34"/>
  <c r="P92" i="34"/>
  <c r="O92" i="34"/>
  <c r="N92" i="34"/>
  <c r="M92" i="34"/>
  <c r="L92" i="34"/>
  <c r="K92" i="34"/>
  <c r="Q91" i="34"/>
  <c r="P91" i="34"/>
  <c r="O91" i="34"/>
  <c r="N91" i="34"/>
  <c r="M91" i="34"/>
  <c r="L91" i="34"/>
  <c r="K91" i="34"/>
  <c r="Q90" i="34"/>
  <c r="P90" i="34"/>
  <c r="O90" i="34"/>
  <c r="N90" i="34"/>
  <c r="M90" i="34"/>
  <c r="L90" i="34"/>
  <c r="K90" i="34"/>
  <c r="Q89" i="34"/>
  <c r="P89" i="34"/>
  <c r="O89" i="34"/>
  <c r="N89" i="34"/>
  <c r="M89" i="34"/>
  <c r="L89" i="34"/>
  <c r="K89" i="34"/>
  <c r="Q88" i="34"/>
  <c r="P88" i="34"/>
  <c r="O88" i="34"/>
  <c r="N88" i="34"/>
  <c r="M88" i="34"/>
  <c r="L88" i="34"/>
  <c r="K88" i="34"/>
  <c r="Q87" i="34"/>
  <c r="P87" i="34"/>
  <c r="O87" i="34"/>
  <c r="N87" i="34"/>
  <c r="M87" i="34"/>
  <c r="L87" i="34"/>
  <c r="K87" i="34"/>
  <c r="Q86" i="34"/>
  <c r="P86" i="34"/>
  <c r="O86" i="34"/>
  <c r="N86" i="34"/>
  <c r="M86" i="34"/>
  <c r="L86" i="34"/>
  <c r="K86" i="34"/>
  <c r="Q85" i="34"/>
  <c r="P85" i="34"/>
  <c r="O85" i="34"/>
  <c r="N85" i="34"/>
  <c r="M85" i="34"/>
  <c r="L85" i="34"/>
  <c r="K85" i="34"/>
  <c r="Q84" i="34"/>
  <c r="P84" i="34"/>
  <c r="O84" i="34"/>
  <c r="N84" i="34"/>
  <c r="M84" i="34"/>
  <c r="L84" i="34"/>
  <c r="K84" i="34"/>
  <c r="Q83" i="34"/>
  <c r="P83" i="34"/>
  <c r="O83" i="34"/>
  <c r="N83" i="34"/>
  <c r="M83" i="34"/>
  <c r="L83" i="34"/>
  <c r="K83" i="34"/>
  <c r="Q82" i="34"/>
  <c r="P82" i="34"/>
  <c r="O82" i="34"/>
  <c r="N82" i="34"/>
  <c r="M82" i="34"/>
  <c r="L82" i="34"/>
  <c r="K82" i="34"/>
  <c r="Q81" i="34"/>
  <c r="P81" i="34"/>
  <c r="O81" i="34"/>
  <c r="N81" i="34"/>
  <c r="M81" i="34"/>
  <c r="L81" i="34"/>
  <c r="K81" i="34"/>
  <c r="Q80" i="34"/>
  <c r="P80" i="34"/>
  <c r="O80" i="34"/>
  <c r="N80" i="34"/>
  <c r="M80" i="34"/>
  <c r="L80" i="34"/>
  <c r="K80" i="34"/>
  <c r="Q79" i="34"/>
  <c r="P79" i="34"/>
  <c r="O79" i="34"/>
  <c r="N79" i="34"/>
  <c r="M79" i="34"/>
  <c r="L79" i="34"/>
  <c r="K79" i="34"/>
  <c r="Q78" i="34"/>
  <c r="P78" i="34"/>
  <c r="O78" i="34"/>
  <c r="N78" i="34"/>
  <c r="M78" i="34"/>
  <c r="L78" i="34"/>
  <c r="K78" i="34"/>
  <c r="Q77" i="34"/>
  <c r="P77" i="34"/>
  <c r="O77" i="34"/>
  <c r="N77" i="34"/>
  <c r="M77" i="34"/>
  <c r="L77" i="34"/>
  <c r="K77" i="34"/>
  <c r="Q76" i="34"/>
  <c r="P76" i="34"/>
  <c r="O76" i="34"/>
  <c r="N76" i="34"/>
  <c r="M76" i="34"/>
  <c r="L76" i="34"/>
  <c r="K76" i="34"/>
  <c r="Q75" i="34"/>
  <c r="P75" i="34"/>
  <c r="O75" i="34"/>
  <c r="N75" i="34"/>
  <c r="M75" i="34"/>
  <c r="L75" i="34"/>
  <c r="K75" i="34"/>
  <c r="Q74" i="34"/>
  <c r="P74" i="34"/>
  <c r="O74" i="34"/>
  <c r="N74" i="34"/>
  <c r="M74" i="34"/>
  <c r="L74" i="34"/>
  <c r="K74" i="34"/>
  <c r="Q73" i="34"/>
  <c r="P73" i="34"/>
  <c r="O73" i="34"/>
  <c r="N73" i="34"/>
  <c r="M73" i="34"/>
  <c r="L73" i="34"/>
  <c r="K73" i="34"/>
  <c r="Q72" i="34"/>
  <c r="P72" i="34"/>
  <c r="O72" i="34"/>
  <c r="N72" i="34"/>
  <c r="M72" i="34"/>
  <c r="L72" i="34"/>
  <c r="K72" i="34"/>
  <c r="Q71" i="34"/>
  <c r="P71" i="34"/>
  <c r="O71" i="34"/>
  <c r="N71" i="34"/>
  <c r="M71" i="34"/>
  <c r="L71" i="34"/>
  <c r="K71" i="34"/>
  <c r="Q70" i="34"/>
  <c r="P70" i="34"/>
  <c r="O70" i="34"/>
  <c r="N70" i="34"/>
  <c r="M70" i="34"/>
  <c r="L70" i="34"/>
  <c r="K70" i="34"/>
  <c r="Q69" i="34"/>
  <c r="P69" i="34"/>
  <c r="O69" i="34"/>
  <c r="N69" i="34"/>
  <c r="M69" i="34"/>
  <c r="L69" i="34"/>
  <c r="K69" i="34"/>
  <c r="Q68" i="34"/>
  <c r="P68" i="34"/>
  <c r="O68" i="34"/>
  <c r="N68" i="34"/>
  <c r="M68" i="34"/>
  <c r="L68" i="34"/>
  <c r="K68" i="34"/>
  <c r="Q67" i="34"/>
  <c r="P67" i="34"/>
  <c r="O67" i="34"/>
  <c r="N67" i="34"/>
  <c r="M67" i="34"/>
  <c r="L67" i="34"/>
  <c r="K67" i="34"/>
  <c r="Q66" i="34"/>
  <c r="P66" i="34"/>
  <c r="O66" i="34"/>
  <c r="N66" i="34"/>
  <c r="M66" i="34"/>
  <c r="L66" i="34"/>
  <c r="K66" i="34"/>
  <c r="Q65" i="34"/>
  <c r="P65" i="34"/>
  <c r="O65" i="34"/>
  <c r="N65" i="34"/>
  <c r="M65" i="34"/>
  <c r="L65" i="34"/>
  <c r="K65" i="34"/>
  <c r="Q64" i="34"/>
  <c r="P64" i="34"/>
  <c r="O64" i="34"/>
  <c r="N64" i="34"/>
  <c r="M64" i="34"/>
  <c r="L64" i="34"/>
  <c r="K64" i="34"/>
  <c r="Q63" i="34"/>
  <c r="P63" i="34"/>
  <c r="O63" i="34"/>
  <c r="N63" i="34"/>
  <c r="M63" i="34"/>
  <c r="L63" i="34"/>
  <c r="K63" i="34"/>
  <c r="Q62" i="34"/>
  <c r="P62" i="34"/>
  <c r="O62" i="34"/>
  <c r="N62" i="34"/>
  <c r="M62" i="34"/>
  <c r="L62" i="34"/>
  <c r="K62" i="34"/>
  <c r="Q61" i="34"/>
  <c r="P61" i="34"/>
  <c r="O61" i="34"/>
  <c r="N61" i="34"/>
  <c r="M61" i="34"/>
  <c r="L61" i="34"/>
  <c r="K61" i="34"/>
  <c r="Q60" i="34"/>
  <c r="P60" i="34"/>
  <c r="O60" i="34"/>
  <c r="N60" i="34"/>
  <c r="M60" i="34"/>
  <c r="L60" i="34"/>
  <c r="K60" i="34"/>
  <c r="Q59" i="34"/>
  <c r="P59" i="34"/>
  <c r="O59" i="34"/>
  <c r="N59" i="34"/>
  <c r="M59" i="34"/>
  <c r="L59" i="34"/>
  <c r="K59" i="34"/>
  <c r="Q58" i="34"/>
  <c r="P58" i="34"/>
  <c r="O58" i="34"/>
  <c r="N58" i="34"/>
  <c r="M58" i="34"/>
  <c r="L58" i="34"/>
  <c r="K58" i="34"/>
  <c r="Q57" i="34"/>
  <c r="P57" i="34"/>
  <c r="O57" i="34"/>
  <c r="N57" i="34"/>
  <c r="M57" i="34"/>
  <c r="L57" i="34"/>
  <c r="K57" i="34"/>
  <c r="Q56" i="34"/>
  <c r="P56" i="34"/>
  <c r="O56" i="34"/>
  <c r="N56" i="34"/>
  <c r="M56" i="34"/>
  <c r="L56" i="34"/>
  <c r="K56" i="34"/>
  <c r="Q55" i="34"/>
  <c r="P55" i="34"/>
  <c r="O55" i="34"/>
  <c r="N55" i="34"/>
  <c r="M55" i="34"/>
  <c r="L55" i="34"/>
  <c r="K55" i="34"/>
  <c r="Q54" i="34"/>
  <c r="P54" i="34"/>
  <c r="O54" i="34"/>
  <c r="N54" i="34"/>
  <c r="M54" i="34"/>
  <c r="L54" i="34"/>
  <c r="K54" i="34"/>
  <c r="Q53" i="34"/>
  <c r="P53" i="34"/>
  <c r="O53" i="34"/>
  <c r="N53" i="34"/>
  <c r="M53" i="34"/>
  <c r="L53" i="34"/>
  <c r="K53" i="34"/>
  <c r="Q52" i="34"/>
  <c r="P52" i="34"/>
  <c r="O52" i="34"/>
  <c r="N52" i="34"/>
  <c r="M52" i="34"/>
  <c r="L52" i="34"/>
  <c r="K52" i="34"/>
  <c r="Q51" i="34"/>
  <c r="P51" i="34"/>
  <c r="O51" i="34"/>
  <c r="N51" i="34"/>
  <c r="M51" i="34"/>
  <c r="L51" i="34"/>
  <c r="K51" i="34"/>
  <c r="Q50" i="34"/>
  <c r="P50" i="34"/>
  <c r="O50" i="34"/>
  <c r="N50" i="34"/>
  <c r="M50" i="34"/>
  <c r="L50" i="34"/>
  <c r="K50" i="34"/>
  <c r="Q49" i="34"/>
  <c r="P49" i="34"/>
  <c r="O49" i="34"/>
  <c r="N49" i="34"/>
  <c r="M49" i="34"/>
  <c r="L49" i="34"/>
  <c r="K49" i="34"/>
  <c r="Q48" i="34"/>
  <c r="P48" i="34"/>
  <c r="O48" i="34"/>
  <c r="N48" i="34"/>
  <c r="M48" i="34"/>
  <c r="L48" i="34"/>
  <c r="K48" i="34"/>
  <c r="Q47" i="34"/>
  <c r="P47" i="34"/>
  <c r="O47" i="34"/>
  <c r="N47" i="34"/>
  <c r="M47" i="34"/>
  <c r="L47" i="34"/>
  <c r="K47" i="34"/>
  <c r="Q46" i="34"/>
  <c r="P46" i="34"/>
  <c r="O46" i="34"/>
  <c r="N46" i="34"/>
  <c r="M46" i="34"/>
  <c r="L46" i="34"/>
  <c r="K46" i="34"/>
  <c r="Q45" i="34"/>
  <c r="P45" i="34"/>
  <c r="O45" i="34"/>
  <c r="N45" i="34"/>
  <c r="M45" i="34"/>
  <c r="L45" i="34"/>
  <c r="K45" i="34"/>
  <c r="Q44" i="34"/>
  <c r="P44" i="34"/>
  <c r="O44" i="34"/>
  <c r="N44" i="34"/>
  <c r="M44" i="34"/>
  <c r="L44" i="34"/>
  <c r="K44" i="34"/>
  <c r="Q43" i="34"/>
  <c r="P43" i="34"/>
  <c r="O43" i="34"/>
  <c r="N43" i="34"/>
  <c r="M43" i="34"/>
  <c r="L43" i="34"/>
  <c r="K43" i="34"/>
  <c r="Q42" i="34"/>
  <c r="P42" i="34"/>
  <c r="O42" i="34"/>
  <c r="N42" i="34"/>
  <c r="M42" i="34"/>
  <c r="L42" i="34"/>
  <c r="K42" i="34"/>
  <c r="Q41" i="34"/>
  <c r="P41" i="34"/>
  <c r="O41" i="34"/>
  <c r="N41" i="34"/>
  <c r="M41" i="34"/>
  <c r="L41" i="34"/>
  <c r="K41" i="34"/>
  <c r="Q40" i="34"/>
  <c r="P40" i="34"/>
  <c r="O40" i="34"/>
  <c r="N40" i="34"/>
  <c r="M40" i="34"/>
  <c r="L40" i="34"/>
  <c r="K40" i="34"/>
  <c r="Q39" i="34"/>
  <c r="P39" i="34"/>
  <c r="O39" i="34"/>
  <c r="N39" i="34"/>
  <c r="M39" i="34"/>
  <c r="L39" i="34"/>
  <c r="K39" i="34"/>
  <c r="Q38" i="34"/>
  <c r="P38" i="34"/>
  <c r="O38" i="34"/>
  <c r="N38" i="34"/>
  <c r="M38" i="34"/>
  <c r="L38" i="34"/>
  <c r="K38" i="34"/>
  <c r="Q37" i="34"/>
  <c r="P37" i="34"/>
  <c r="O37" i="34"/>
  <c r="N37" i="34"/>
  <c r="M37" i="34"/>
  <c r="L37" i="34"/>
  <c r="K37" i="34"/>
  <c r="Q36" i="34"/>
  <c r="P36" i="34"/>
  <c r="O36" i="34"/>
  <c r="N36" i="34"/>
  <c r="M36" i="34"/>
  <c r="L36" i="34"/>
  <c r="K36" i="34"/>
  <c r="Q35" i="34"/>
  <c r="P35" i="34"/>
  <c r="O35" i="34"/>
  <c r="N35" i="34"/>
  <c r="M35" i="34"/>
  <c r="L35" i="34"/>
  <c r="K35" i="34"/>
  <c r="Q34" i="34"/>
  <c r="P34" i="34"/>
  <c r="O34" i="34"/>
  <c r="N34" i="34"/>
  <c r="M34" i="34"/>
  <c r="L34" i="34"/>
  <c r="K34" i="34"/>
  <c r="Q33" i="34"/>
  <c r="P33" i="34"/>
  <c r="O33" i="34"/>
  <c r="N33" i="34"/>
  <c r="M33" i="34"/>
  <c r="L33" i="34"/>
  <c r="K33" i="34"/>
  <c r="Q32" i="34"/>
  <c r="P32" i="34"/>
  <c r="O32" i="34"/>
  <c r="N32" i="34"/>
  <c r="M32" i="34"/>
  <c r="L32" i="34"/>
  <c r="K32" i="34"/>
  <c r="Q31" i="34"/>
  <c r="P31" i="34"/>
  <c r="O31" i="34"/>
  <c r="N31" i="34"/>
  <c r="M31" i="34"/>
  <c r="L31" i="34"/>
  <c r="K31" i="34"/>
  <c r="Q30" i="34"/>
  <c r="P30" i="34"/>
  <c r="O30" i="34"/>
  <c r="N30" i="34"/>
  <c r="M30" i="34"/>
  <c r="L30" i="34"/>
  <c r="K30" i="34"/>
  <c r="Q29" i="34"/>
  <c r="P29" i="34"/>
  <c r="O29" i="34"/>
  <c r="N29" i="34"/>
  <c r="M29" i="34"/>
  <c r="L29" i="34"/>
  <c r="K29" i="34"/>
  <c r="Q28" i="34"/>
  <c r="P28" i="34"/>
  <c r="O28" i="34"/>
  <c r="N28" i="34"/>
  <c r="M28" i="34"/>
  <c r="L28" i="34"/>
  <c r="K28" i="34"/>
  <c r="Q27" i="34"/>
  <c r="P27" i="34"/>
  <c r="O27" i="34"/>
  <c r="N27" i="34"/>
  <c r="M27" i="34"/>
  <c r="L27" i="34"/>
  <c r="K27" i="34"/>
  <c r="Q26" i="34"/>
  <c r="P26" i="34"/>
  <c r="O26" i="34"/>
  <c r="N26" i="34"/>
  <c r="M26" i="34"/>
  <c r="L26" i="34"/>
  <c r="K26" i="34"/>
  <c r="Q25" i="34"/>
  <c r="P25" i="34"/>
  <c r="O25" i="34"/>
  <c r="N25" i="34"/>
  <c r="M25" i="34"/>
  <c r="L25" i="34"/>
  <c r="K25" i="34"/>
  <c r="Q24" i="34"/>
  <c r="P24" i="34"/>
  <c r="O24" i="34"/>
  <c r="N24" i="34"/>
  <c r="M24" i="34"/>
  <c r="L24" i="34"/>
  <c r="K24" i="34"/>
  <c r="Q23" i="34"/>
  <c r="P23" i="34"/>
  <c r="O23" i="34"/>
  <c r="N23" i="34"/>
  <c r="M23" i="34"/>
  <c r="L23" i="34"/>
  <c r="K23" i="34"/>
  <c r="Q22" i="34"/>
  <c r="P22" i="34"/>
  <c r="O22" i="34"/>
  <c r="N22" i="34"/>
  <c r="M22" i="34"/>
  <c r="L22" i="34"/>
  <c r="K22" i="34"/>
  <c r="Q21" i="34"/>
  <c r="P21" i="34"/>
  <c r="O21" i="34"/>
  <c r="N21" i="34"/>
  <c r="M21" i="34"/>
  <c r="L21" i="34"/>
  <c r="K21" i="34"/>
  <c r="Q20" i="34"/>
  <c r="P20" i="34"/>
  <c r="O20" i="34"/>
  <c r="N20" i="34"/>
  <c r="M20" i="34"/>
  <c r="L20" i="34"/>
  <c r="K20" i="34"/>
  <c r="Q19" i="34"/>
  <c r="P19" i="34"/>
  <c r="O19" i="34"/>
  <c r="N19" i="34"/>
  <c r="M19" i="34"/>
  <c r="L19" i="34"/>
  <c r="K19" i="34"/>
  <c r="Q18" i="34"/>
  <c r="P18" i="34"/>
  <c r="O18" i="34"/>
  <c r="N18" i="34"/>
  <c r="M18" i="34"/>
  <c r="L18" i="34"/>
  <c r="K18" i="34"/>
  <c r="Q17" i="34"/>
  <c r="P17" i="34"/>
  <c r="O17" i="34"/>
  <c r="N17" i="34"/>
  <c r="M17" i="34"/>
  <c r="L17" i="34"/>
  <c r="K17" i="34"/>
  <c r="Q16" i="34"/>
  <c r="P16" i="34"/>
  <c r="O16" i="34"/>
  <c r="N16" i="34"/>
  <c r="M16" i="34"/>
  <c r="L16" i="34"/>
  <c r="K16" i="34"/>
  <c r="Q15" i="34"/>
  <c r="P15" i="34"/>
  <c r="O15" i="34"/>
  <c r="N15" i="34"/>
  <c r="M15" i="34"/>
  <c r="L15" i="34"/>
  <c r="K15" i="34"/>
  <c r="Q14" i="34"/>
  <c r="P14" i="34"/>
  <c r="O14" i="34"/>
  <c r="N14" i="34"/>
  <c r="M14" i="34"/>
  <c r="L14" i="34"/>
  <c r="K14" i="34"/>
  <c r="A2" i="35"/>
  <c r="Q203" i="35"/>
  <c r="P203" i="35"/>
  <c r="O203" i="35"/>
  <c r="N203" i="35"/>
  <c r="M203" i="35"/>
  <c r="L203" i="35"/>
  <c r="K203" i="35"/>
  <c r="Q202" i="35"/>
  <c r="P202" i="35"/>
  <c r="O202" i="35"/>
  <c r="N202" i="35"/>
  <c r="M202" i="35"/>
  <c r="L202" i="35"/>
  <c r="K202" i="35"/>
  <c r="Q201" i="35"/>
  <c r="P201" i="35"/>
  <c r="O201" i="35"/>
  <c r="N201" i="35"/>
  <c r="M201" i="35"/>
  <c r="L201" i="35"/>
  <c r="K201" i="35"/>
  <c r="Q200" i="35"/>
  <c r="P200" i="35"/>
  <c r="O200" i="35"/>
  <c r="N200" i="35"/>
  <c r="M200" i="35"/>
  <c r="L200" i="35"/>
  <c r="K200" i="35"/>
  <c r="Q199" i="35"/>
  <c r="P199" i="35"/>
  <c r="O199" i="35"/>
  <c r="N199" i="35"/>
  <c r="M199" i="35"/>
  <c r="L199" i="35"/>
  <c r="K199" i="35"/>
  <c r="Q198" i="35"/>
  <c r="P198" i="35"/>
  <c r="O198" i="35"/>
  <c r="N198" i="35"/>
  <c r="M198" i="35"/>
  <c r="L198" i="35"/>
  <c r="K198" i="35"/>
  <c r="Q197" i="35"/>
  <c r="P197" i="35"/>
  <c r="O197" i="35"/>
  <c r="N197" i="35"/>
  <c r="M197" i="35"/>
  <c r="L197" i="35"/>
  <c r="K197" i="35"/>
  <c r="Q196" i="35"/>
  <c r="P196" i="35"/>
  <c r="O196" i="35"/>
  <c r="N196" i="35"/>
  <c r="M196" i="35"/>
  <c r="L196" i="35"/>
  <c r="K196" i="35"/>
  <c r="Q195" i="35"/>
  <c r="P195" i="35"/>
  <c r="O195" i="35"/>
  <c r="N195" i="35"/>
  <c r="M195" i="35"/>
  <c r="L195" i="35"/>
  <c r="K195" i="35"/>
  <c r="Q194" i="35"/>
  <c r="P194" i="35"/>
  <c r="O194" i="35"/>
  <c r="N194" i="35"/>
  <c r="M194" i="35"/>
  <c r="L194" i="35"/>
  <c r="K194" i="35"/>
  <c r="Q193" i="35"/>
  <c r="P193" i="35"/>
  <c r="O193" i="35"/>
  <c r="N193" i="35"/>
  <c r="M193" i="35"/>
  <c r="L193" i="35"/>
  <c r="K193" i="35"/>
  <c r="Q192" i="35"/>
  <c r="P192" i="35"/>
  <c r="O192" i="35"/>
  <c r="N192" i="35"/>
  <c r="M192" i="35"/>
  <c r="L192" i="35"/>
  <c r="K192" i="35"/>
  <c r="Q191" i="35"/>
  <c r="P191" i="35"/>
  <c r="O191" i="35"/>
  <c r="N191" i="35"/>
  <c r="M191" i="35"/>
  <c r="L191" i="35"/>
  <c r="K191" i="35"/>
  <c r="Q190" i="35"/>
  <c r="P190" i="35"/>
  <c r="O190" i="35"/>
  <c r="N190" i="35"/>
  <c r="M190" i="35"/>
  <c r="L190" i="35"/>
  <c r="K190" i="35"/>
  <c r="Q189" i="35"/>
  <c r="P189" i="35"/>
  <c r="O189" i="35"/>
  <c r="N189" i="35"/>
  <c r="M189" i="35"/>
  <c r="L189" i="35"/>
  <c r="K189" i="35"/>
  <c r="Q188" i="35"/>
  <c r="P188" i="35"/>
  <c r="O188" i="35"/>
  <c r="N188" i="35"/>
  <c r="M188" i="35"/>
  <c r="L188" i="35"/>
  <c r="K188" i="35"/>
  <c r="Q187" i="35"/>
  <c r="P187" i="35"/>
  <c r="O187" i="35"/>
  <c r="N187" i="35"/>
  <c r="M187" i="35"/>
  <c r="L187" i="35"/>
  <c r="K187" i="35"/>
  <c r="Q186" i="35"/>
  <c r="P186" i="35"/>
  <c r="O186" i="35"/>
  <c r="N186" i="35"/>
  <c r="M186" i="35"/>
  <c r="L186" i="35"/>
  <c r="K186" i="35"/>
  <c r="Q185" i="35"/>
  <c r="P185" i="35"/>
  <c r="O185" i="35"/>
  <c r="N185" i="35"/>
  <c r="M185" i="35"/>
  <c r="L185" i="35"/>
  <c r="K185" i="35"/>
  <c r="Q184" i="35"/>
  <c r="P184" i="35"/>
  <c r="O184" i="35"/>
  <c r="N184" i="35"/>
  <c r="M184" i="35"/>
  <c r="L184" i="35"/>
  <c r="K184" i="35"/>
  <c r="Q183" i="35"/>
  <c r="P183" i="35"/>
  <c r="O183" i="35"/>
  <c r="N183" i="35"/>
  <c r="M183" i="35"/>
  <c r="L183" i="35"/>
  <c r="K183" i="35"/>
  <c r="Q182" i="35"/>
  <c r="P182" i="35"/>
  <c r="O182" i="35"/>
  <c r="N182" i="35"/>
  <c r="M182" i="35"/>
  <c r="L182" i="35"/>
  <c r="K182" i="35"/>
  <c r="Q181" i="35"/>
  <c r="P181" i="35"/>
  <c r="O181" i="35"/>
  <c r="N181" i="35"/>
  <c r="M181" i="35"/>
  <c r="L181" i="35"/>
  <c r="K181" i="35"/>
  <c r="Q180" i="35"/>
  <c r="P180" i="35"/>
  <c r="O180" i="35"/>
  <c r="N180" i="35"/>
  <c r="M180" i="35"/>
  <c r="L180" i="35"/>
  <c r="K180" i="35"/>
  <c r="Q179" i="35"/>
  <c r="P179" i="35"/>
  <c r="O179" i="35"/>
  <c r="N179" i="35"/>
  <c r="M179" i="35"/>
  <c r="L179" i="35"/>
  <c r="K179" i="35"/>
  <c r="Q178" i="35"/>
  <c r="P178" i="35"/>
  <c r="O178" i="35"/>
  <c r="N178" i="35"/>
  <c r="M178" i="35"/>
  <c r="L178" i="35"/>
  <c r="K178" i="35"/>
  <c r="Q177" i="35"/>
  <c r="P177" i="35"/>
  <c r="O177" i="35"/>
  <c r="N177" i="35"/>
  <c r="M177" i="35"/>
  <c r="L177" i="35"/>
  <c r="K177" i="35"/>
  <c r="Q176" i="35"/>
  <c r="P176" i="35"/>
  <c r="O176" i="35"/>
  <c r="N176" i="35"/>
  <c r="M176" i="35"/>
  <c r="L176" i="35"/>
  <c r="K176" i="35"/>
  <c r="Q175" i="35"/>
  <c r="P175" i="35"/>
  <c r="O175" i="35"/>
  <c r="N175" i="35"/>
  <c r="M175" i="35"/>
  <c r="L175" i="35"/>
  <c r="K175" i="35"/>
  <c r="Q174" i="35"/>
  <c r="P174" i="35"/>
  <c r="O174" i="35"/>
  <c r="N174" i="35"/>
  <c r="M174" i="35"/>
  <c r="L174" i="35"/>
  <c r="K174" i="35"/>
  <c r="Q173" i="35"/>
  <c r="P173" i="35"/>
  <c r="O173" i="35"/>
  <c r="N173" i="35"/>
  <c r="M173" i="35"/>
  <c r="L173" i="35"/>
  <c r="K173" i="35"/>
  <c r="Q172" i="35"/>
  <c r="P172" i="35"/>
  <c r="O172" i="35"/>
  <c r="N172" i="35"/>
  <c r="M172" i="35"/>
  <c r="L172" i="35"/>
  <c r="K172" i="35"/>
  <c r="Q171" i="35"/>
  <c r="P171" i="35"/>
  <c r="O171" i="35"/>
  <c r="N171" i="35"/>
  <c r="M171" i="35"/>
  <c r="L171" i="35"/>
  <c r="K171" i="35"/>
  <c r="Q170" i="35"/>
  <c r="P170" i="35"/>
  <c r="O170" i="35"/>
  <c r="N170" i="35"/>
  <c r="M170" i="35"/>
  <c r="L170" i="35"/>
  <c r="K170" i="35"/>
  <c r="Q169" i="35"/>
  <c r="P169" i="35"/>
  <c r="O169" i="35"/>
  <c r="N169" i="35"/>
  <c r="M169" i="35"/>
  <c r="L169" i="35"/>
  <c r="K169" i="35"/>
  <c r="Q168" i="35"/>
  <c r="P168" i="35"/>
  <c r="O168" i="35"/>
  <c r="N168" i="35"/>
  <c r="M168" i="35"/>
  <c r="L168" i="35"/>
  <c r="K168" i="35"/>
  <c r="Q167" i="35"/>
  <c r="P167" i="35"/>
  <c r="O167" i="35"/>
  <c r="N167" i="35"/>
  <c r="M167" i="35"/>
  <c r="L167" i="35"/>
  <c r="K167" i="35"/>
  <c r="Q166" i="35"/>
  <c r="P166" i="35"/>
  <c r="O166" i="35"/>
  <c r="N166" i="35"/>
  <c r="M166" i="35"/>
  <c r="L166" i="35"/>
  <c r="K166" i="35"/>
  <c r="Q165" i="35"/>
  <c r="P165" i="35"/>
  <c r="O165" i="35"/>
  <c r="N165" i="35"/>
  <c r="M165" i="35"/>
  <c r="L165" i="35"/>
  <c r="K165" i="35"/>
  <c r="Q164" i="35"/>
  <c r="P164" i="35"/>
  <c r="O164" i="35"/>
  <c r="N164" i="35"/>
  <c r="M164" i="35"/>
  <c r="L164" i="35"/>
  <c r="K164" i="35"/>
  <c r="Q163" i="35"/>
  <c r="P163" i="35"/>
  <c r="O163" i="35"/>
  <c r="N163" i="35"/>
  <c r="M163" i="35"/>
  <c r="L163" i="35"/>
  <c r="K163" i="35"/>
  <c r="Q162" i="35"/>
  <c r="P162" i="35"/>
  <c r="O162" i="35"/>
  <c r="N162" i="35"/>
  <c r="M162" i="35"/>
  <c r="L162" i="35"/>
  <c r="K162" i="35"/>
  <c r="Q161" i="35"/>
  <c r="P161" i="35"/>
  <c r="O161" i="35"/>
  <c r="N161" i="35"/>
  <c r="M161" i="35"/>
  <c r="L161" i="35"/>
  <c r="K161" i="35"/>
  <c r="Q160" i="35"/>
  <c r="P160" i="35"/>
  <c r="O160" i="35"/>
  <c r="N160" i="35"/>
  <c r="M160" i="35"/>
  <c r="L160" i="35"/>
  <c r="K160" i="35"/>
  <c r="Q159" i="35"/>
  <c r="P159" i="35"/>
  <c r="O159" i="35"/>
  <c r="N159" i="35"/>
  <c r="M159" i="35"/>
  <c r="L159" i="35"/>
  <c r="K159" i="35"/>
  <c r="Q158" i="35"/>
  <c r="P158" i="35"/>
  <c r="O158" i="35"/>
  <c r="N158" i="35"/>
  <c r="M158" i="35"/>
  <c r="L158" i="35"/>
  <c r="K158" i="35"/>
  <c r="Q157" i="35"/>
  <c r="P157" i="35"/>
  <c r="O157" i="35"/>
  <c r="N157" i="35"/>
  <c r="M157" i="35"/>
  <c r="L157" i="35"/>
  <c r="K157" i="35"/>
  <c r="Q156" i="35"/>
  <c r="P156" i="35"/>
  <c r="O156" i="35"/>
  <c r="N156" i="35"/>
  <c r="M156" i="35"/>
  <c r="L156" i="35"/>
  <c r="K156" i="35"/>
  <c r="Q155" i="35"/>
  <c r="P155" i="35"/>
  <c r="O155" i="35"/>
  <c r="N155" i="35"/>
  <c r="M155" i="35"/>
  <c r="L155" i="35"/>
  <c r="K155" i="35"/>
  <c r="Q154" i="35"/>
  <c r="P154" i="35"/>
  <c r="O154" i="35"/>
  <c r="N154" i="35"/>
  <c r="M154" i="35"/>
  <c r="L154" i="35"/>
  <c r="K154" i="35"/>
  <c r="Q153" i="35"/>
  <c r="P153" i="35"/>
  <c r="O153" i="35"/>
  <c r="N153" i="35"/>
  <c r="M153" i="35"/>
  <c r="L153" i="35"/>
  <c r="K153" i="35"/>
  <c r="Q152" i="35"/>
  <c r="P152" i="35"/>
  <c r="O152" i="35"/>
  <c r="N152" i="35"/>
  <c r="M152" i="35"/>
  <c r="L152" i="35"/>
  <c r="K152" i="35"/>
  <c r="Q151" i="35"/>
  <c r="P151" i="35"/>
  <c r="O151" i="35"/>
  <c r="N151" i="35"/>
  <c r="M151" i="35"/>
  <c r="L151" i="35"/>
  <c r="K151" i="35"/>
  <c r="Q150" i="35"/>
  <c r="P150" i="35"/>
  <c r="O150" i="35"/>
  <c r="N150" i="35"/>
  <c r="M150" i="35"/>
  <c r="L150" i="35"/>
  <c r="K150" i="35"/>
  <c r="Q149" i="35"/>
  <c r="P149" i="35"/>
  <c r="O149" i="35"/>
  <c r="N149" i="35"/>
  <c r="M149" i="35"/>
  <c r="L149" i="35"/>
  <c r="K149" i="35"/>
  <c r="Q148" i="35"/>
  <c r="P148" i="35"/>
  <c r="O148" i="35"/>
  <c r="N148" i="35"/>
  <c r="M148" i="35"/>
  <c r="L148" i="35"/>
  <c r="K148" i="35"/>
  <c r="Q147" i="35"/>
  <c r="P147" i="35"/>
  <c r="O147" i="35"/>
  <c r="N147" i="35"/>
  <c r="M147" i="35"/>
  <c r="L147" i="35"/>
  <c r="K147" i="35"/>
  <c r="Q146" i="35"/>
  <c r="P146" i="35"/>
  <c r="O146" i="35"/>
  <c r="N146" i="35"/>
  <c r="M146" i="35"/>
  <c r="L146" i="35"/>
  <c r="K146" i="35"/>
  <c r="Q145" i="35"/>
  <c r="P145" i="35"/>
  <c r="O145" i="35"/>
  <c r="N145" i="35"/>
  <c r="M145" i="35"/>
  <c r="L145" i="35"/>
  <c r="K145" i="35"/>
  <c r="Q144" i="35"/>
  <c r="P144" i="35"/>
  <c r="O144" i="35"/>
  <c r="N144" i="35"/>
  <c r="M144" i="35"/>
  <c r="L144" i="35"/>
  <c r="K144" i="35"/>
  <c r="Q143" i="35"/>
  <c r="P143" i="35"/>
  <c r="O143" i="35"/>
  <c r="N143" i="35"/>
  <c r="M143" i="35"/>
  <c r="L143" i="35"/>
  <c r="K143" i="35"/>
  <c r="Q142" i="35"/>
  <c r="P142" i="35"/>
  <c r="O142" i="35"/>
  <c r="N142" i="35"/>
  <c r="M142" i="35"/>
  <c r="L142" i="35"/>
  <c r="K142" i="35"/>
  <c r="Q141" i="35"/>
  <c r="P141" i="35"/>
  <c r="O141" i="35"/>
  <c r="N141" i="35"/>
  <c r="M141" i="35"/>
  <c r="L141" i="35"/>
  <c r="K141" i="35"/>
  <c r="Q140" i="35"/>
  <c r="P140" i="35"/>
  <c r="O140" i="35"/>
  <c r="N140" i="35"/>
  <c r="M140" i="35"/>
  <c r="L140" i="35"/>
  <c r="K140" i="35"/>
  <c r="Q139" i="35"/>
  <c r="P139" i="35"/>
  <c r="O139" i="35"/>
  <c r="N139" i="35"/>
  <c r="M139" i="35"/>
  <c r="L139" i="35"/>
  <c r="K139" i="35"/>
  <c r="Q138" i="35"/>
  <c r="P138" i="35"/>
  <c r="O138" i="35"/>
  <c r="N138" i="35"/>
  <c r="M138" i="35"/>
  <c r="L138" i="35"/>
  <c r="K138" i="35"/>
  <c r="Q137" i="35"/>
  <c r="P137" i="35"/>
  <c r="O137" i="35"/>
  <c r="N137" i="35"/>
  <c r="M137" i="35"/>
  <c r="L137" i="35"/>
  <c r="K137" i="35"/>
  <c r="Q136" i="35"/>
  <c r="P136" i="35"/>
  <c r="O136" i="35"/>
  <c r="N136" i="35"/>
  <c r="M136" i="35"/>
  <c r="L136" i="35"/>
  <c r="K136" i="35"/>
  <c r="Q135" i="35"/>
  <c r="P135" i="35"/>
  <c r="O135" i="35"/>
  <c r="N135" i="35"/>
  <c r="M135" i="35"/>
  <c r="L135" i="35"/>
  <c r="K135" i="35"/>
  <c r="Q134" i="35"/>
  <c r="P134" i="35"/>
  <c r="O134" i="35"/>
  <c r="N134" i="35"/>
  <c r="M134" i="35"/>
  <c r="L134" i="35"/>
  <c r="K134" i="35"/>
  <c r="Q133" i="35"/>
  <c r="P133" i="35"/>
  <c r="O133" i="35"/>
  <c r="N133" i="35"/>
  <c r="M133" i="35"/>
  <c r="L133" i="35"/>
  <c r="K133" i="35"/>
  <c r="Q132" i="35"/>
  <c r="P132" i="35"/>
  <c r="O132" i="35"/>
  <c r="N132" i="35"/>
  <c r="M132" i="35"/>
  <c r="L132" i="35"/>
  <c r="K132" i="35"/>
  <c r="Q131" i="35"/>
  <c r="P131" i="35"/>
  <c r="O131" i="35"/>
  <c r="N131" i="35"/>
  <c r="M131" i="35"/>
  <c r="L131" i="35"/>
  <c r="K131" i="35"/>
  <c r="Q130" i="35"/>
  <c r="P130" i="35"/>
  <c r="O130" i="35"/>
  <c r="N130" i="35"/>
  <c r="M130" i="35"/>
  <c r="L130" i="35"/>
  <c r="K130" i="35"/>
  <c r="Q129" i="35"/>
  <c r="P129" i="35"/>
  <c r="O129" i="35"/>
  <c r="N129" i="35"/>
  <c r="M129" i="35"/>
  <c r="L129" i="35"/>
  <c r="K129" i="35"/>
  <c r="Q128" i="35"/>
  <c r="P128" i="35"/>
  <c r="O128" i="35"/>
  <c r="N128" i="35"/>
  <c r="M128" i="35"/>
  <c r="L128" i="35"/>
  <c r="K128" i="35"/>
  <c r="Q127" i="35"/>
  <c r="P127" i="35"/>
  <c r="O127" i="35"/>
  <c r="N127" i="35"/>
  <c r="M127" i="35"/>
  <c r="L127" i="35"/>
  <c r="K127" i="35"/>
  <c r="Q126" i="35"/>
  <c r="P126" i="35"/>
  <c r="O126" i="35"/>
  <c r="N126" i="35"/>
  <c r="M126" i="35"/>
  <c r="L126" i="35"/>
  <c r="K126" i="35"/>
  <c r="Q125" i="35"/>
  <c r="P125" i="35"/>
  <c r="O125" i="35"/>
  <c r="N125" i="35"/>
  <c r="M125" i="35"/>
  <c r="L125" i="35"/>
  <c r="K125" i="35"/>
  <c r="Q124" i="35"/>
  <c r="P124" i="35"/>
  <c r="O124" i="35"/>
  <c r="N124" i="35"/>
  <c r="M124" i="35"/>
  <c r="L124" i="35"/>
  <c r="K124" i="35"/>
  <c r="Q123" i="35"/>
  <c r="P123" i="35"/>
  <c r="O123" i="35"/>
  <c r="N123" i="35"/>
  <c r="M123" i="35"/>
  <c r="L123" i="35"/>
  <c r="K123" i="35"/>
  <c r="Q122" i="35"/>
  <c r="P122" i="35"/>
  <c r="O122" i="35"/>
  <c r="N122" i="35"/>
  <c r="M122" i="35"/>
  <c r="L122" i="35"/>
  <c r="K122" i="35"/>
  <c r="Q121" i="35"/>
  <c r="P121" i="35"/>
  <c r="O121" i="35"/>
  <c r="N121" i="35"/>
  <c r="M121" i="35"/>
  <c r="L121" i="35"/>
  <c r="K121" i="35"/>
  <c r="Q120" i="35"/>
  <c r="P120" i="35"/>
  <c r="O120" i="35"/>
  <c r="N120" i="35"/>
  <c r="M120" i="35"/>
  <c r="L120" i="35"/>
  <c r="K120" i="35"/>
  <c r="Q119" i="35"/>
  <c r="P119" i="35"/>
  <c r="O119" i="35"/>
  <c r="N119" i="35"/>
  <c r="M119" i="35"/>
  <c r="L119" i="35"/>
  <c r="K119" i="35"/>
  <c r="Q118" i="35"/>
  <c r="P118" i="35"/>
  <c r="O118" i="35"/>
  <c r="N118" i="35"/>
  <c r="M118" i="35"/>
  <c r="L118" i="35"/>
  <c r="K118" i="35"/>
  <c r="Q117" i="35"/>
  <c r="P117" i="35"/>
  <c r="O117" i="35"/>
  <c r="N117" i="35"/>
  <c r="M117" i="35"/>
  <c r="L117" i="35"/>
  <c r="K117" i="35"/>
  <c r="Q116" i="35"/>
  <c r="P116" i="35"/>
  <c r="O116" i="35"/>
  <c r="N116" i="35"/>
  <c r="M116" i="35"/>
  <c r="L116" i="35"/>
  <c r="K116" i="35"/>
  <c r="Q115" i="35"/>
  <c r="P115" i="35"/>
  <c r="O115" i="35"/>
  <c r="N115" i="35"/>
  <c r="M115" i="35"/>
  <c r="L115" i="35"/>
  <c r="K115" i="35"/>
  <c r="Q114" i="35"/>
  <c r="P114" i="35"/>
  <c r="O114" i="35"/>
  <c r="N114" i="35"/>
  <c r="M114" i="35"/>
  <c r="L114" i="35"/>
  <c r="K114" i="35"/>
  <c r="Q113" i="35"/>
  <c r="P113" i="35"/>
  <c r="O113" i="35"/>
  <c r="N113" i="35"/>
  <c r="M113" i="35"/>
  <c r="L113" i="35"/>
  <c r="K113" i="35"/>
  <c r="Q112" i="35"/>
  <c r="P112" i="35"/>
  <c r="O112" i="35"/>
  <c r="N112" i="35"/>
  <c r="M112" i="35"/>
  <c r="L112" i="35"/>
  <c r="K112" i="35"/>
  <c r="Q111" i="35"/>
  <c r="P111" i="35"/>
  <c r="O111" i="35"/>
  <c r="N111" i="35"/>
  <c r="M111" i="35"/>
  <c r="L111" i="35"/>
  <c r="K111" i="35"/>
  <c r="Q110" i="35"/>
  <c r="P110" i="35"/>
  <c r="O110" i="35"/>
  <c r="N110" i="35"/>
  <c r="M110" i="35"/>
  <c r="L110" i="35"/>
  <c r="K110" i="35"/>
  <c r="Q109" i="35"/>
  <c r="P109" i="35"/>
  <c r="O109" i="35"/>
  <c r="N109" i="35"/>
  <c r="M109" i="35"/>
  <c r="L109" i="35"/>
  <c r="K109" i="35"/>
  <c r="Q108" i="35"/>
  <c r="P108" i="35"/>
  <c r="O108" i="35"/>
  <c r="N108" i="35"/>
  <c r="M108" i="35"/>
  <c r="L108" i="35"/>
  <c r="K108" i="35"/>
  <c r="Q107" i="35"/>
  <c r="P107" i="35"/>
  <c r="O107" i="35"/>
  <c r="N107" i="35"/>
  <c r="M107" i="35"/>
  <c r="L107" i="35"/>
  <c r="K107" i="35"/>
  <c r="Q106" i="35"/>
  <c r="P106" i="35"/>
  <c r="O106" i="35"/>
  <c r="N106" i="35"/>
  <c r="M106" i="35"/>
  <c r="L106" i="35"/>
  <c r="K106" i="35"/>
  <c r="Q105" i="35"/>
  <c r="P105" i="35"/>
  <c r="O105" i="35"/>
  <c r="N105" i="35"/>
  <c r="M105" i="35"/>
  <c r="L105" i="35"/>
  <c r="K105" i="35"/>
  <c r="Q104" i="35"/>
  <c r="P104" i="35"/>
  <c r="O104" i="35"/>
  <c r="N104" i="35"/>
  <c r="M104" i="35"/>
  <c r="L104" i="35"/>
  <c r="K104" i="35"/>
  <c r="Q103" i="35"/>
  <c r="P103" i="35"/>
  <c r="O103" i="35"/>
  <c r="N103" i="35"/>
  <c r="M103" i="35"/>
  <c r="L103" i="35"/>
  <c r="K103" i="35"/>
  <c r="Q102" i="35"/>
  <c r="P102" i="35"/>
  <c r="O102" i="35"/>
  <c r="N102" i="35"/>
  <c r="M102" i="35"/>
  <c r="L102" i="35"/>
  <c r="K102" i="35"/>
  <c r="Q101" i="35"/>
  <c r="P101" i="35"/>
  <c r="O101" i="35"/>
  <c r="N101" i="35"/>
  <c r="M101" i="35"/>
  <c r="L101" i="35"/>
  <c r="K101" i="35"/>
  <c r="Q100" i="35"/>
  <c r="P100" i="35"/>
  <c r="O100" i="35"/>
  <c r="N100" i="35"/>
  <c r="M100" i="35"/>
  <c r="L100" i="35"/>
  <c r="K100" i="35"/>
  <c r="Q99" i="35"/>
  <c r="P99" i="35"/>
  <c r="O99" i="35"/>
  <c r="N99" i="35"/>
  <c r="M99" i="35"/>
  <c r="L99" i="35"/>
  <c r="K99" i="35"/>
  <c r="Q98" i="35"/>
  <c r="P98" i="35"/>
  <c r="O98" i="35"/>
  <c r="N98" i="35"/>
  <c r="M98" i="35"/>
  <c r="L98" i="35"/>
  <c r="K98" i="35"/>
  <c r="Q97" i="35"/>
  <c r="P97" i="35"/>
  <c r="O97" i="35"/>
  <c r="N97" i="35"/>
  <c r="M97" i="35"/>
  <c r="L97" i="35"/>
  <c r="K97" i="35"/>
  <c r="Q96" i="35"/>
  <c r="P96" i="35"/>
  <c r="O96" i="35"/>
  <c r="N96" i="35"/>
  <c r="M96" i="35"/>
  <c r="L96" i="35"/>
  <c r="K96" i="35"/>
  <c r="Q95" i="35"/>
  <c r="P95" i="35"/>
  <c r="O95" i="35"/>
  <c r="N95" i="35"/>
  <c r="M95" i="35"/>
  <c r="L95" i="35"/>
  <c r="K95" i="35"/>
  <c r="Q94" i="35"/>
  <c r="P94" i="35"/>
  <c r="O94" i="35"/>
  <c r="N94" i="35"/>
  <c r="M94" i="35"/>
  <c r="L94" i="35"/>
  <c r="K94" i="35"/>
  <c r="Q93" i="35"/>
  <c r="P93" i="35"/>
  <c r="O93" i="35"/>
  <c r="N93" i="35"/>
  <c r="M93" i="35"/>
  <c r="L93" i="35"/>
  <c r="K93" i="35"/>
  <c r="Q92" i="35"/>
  <c r="P92" i="35"/>
  <c r="O92" i="35"/>
  <c r="N92" i="35"/>
  <c r="M92" i="35"/>
  <c r="L92" i="35"/>
  <c r="K92" i="35"/>
  <c r="Q91" i="35"/>
  <c r="P91" i="35"/>
  <c r="O91" i="35"/>
  <c r="N91" i="35"/>
  <c r="M91" i="35"/>
  <c r="L91" i="35"/>
  <c r="K91" i="35"/>
  <c r="Q90" i="35"/>
  <c r="P90" i="35"/>
  <c r="O90" i="35"/>
  <c r="N90" i="35"/>
  <c r="M90" i="35"/>
  <c r="L90" i="35"/>
  <c r="K90" i="35"/>
  <c r="Q89" i="35"/>
  <c r="P89" i="35"/>
  <c r="O89" i="35"/>
  <c r="N89" i="35"/>
  <c r="M89" i="35"/>
  <c r="L89" i="35"/>
  <c r="K89" i="35"/>
  <c r="Q88" i="35"/>
  <c r="P88" i="35"/>
  <c r="O88" i="35"/>
  <c r="N88" i="35"/>
  <c r="M88" i="35"/>
  <c r="L88" i="35"/>
  <c r="K88" i="35"/>
  <c r="Q87" i="35"/>
  <c r="P87" i="35"/>
  <c r="O87" i="35"/>
  <c r="N87" i="35"/>
  <c r="M87" i="35"/>
  <c r="L87" i="35"/>
  <c r="K87" i="35"/>
  <c r="Q86" i="35"/>
  <c r="P86" i="35"/>
  <c r="O86" i="35"/>
  <c r="N86" i="35"/>
  <c r="M86" i="35"/>
  <c r="L86" i="35"/>
  <c r="K86" i="35"/>
  <c r="Q85" i="35"/>
  <c r="P85" i="35"/>
  <c r="O85" i="35"/>
  <c r="N85" i="35"/>
  <c r="M85" i="35"/>
  <c r="L85" i="35"/>
  <c r="K85" i="35"/>
  <c r="Q84" i="35"/>
  <c r="P84" i="35"/>
  <c r="O84" i="35"/>
  <c r="N84" i="35"/>
  <c r="M84" i="35"/>
  <c r="L84" i="35"/>
  <c r="K84" i="35"/>
  <c r="Q83" i="35"/>
  <c r="P83" i="35"/>
  <c r="O83" i="35"/>
  <c r="N83" i="35"/>
  <c r="M83" i="35"/>
  <c r="L83" i="35"/>
  <c r="K83" i="35"/>
  <c r="Q82" i="35"/>
  <c r="P82" i="35"/>
  <c r="O82" i="35"/>
  <c r="N82" i="35"/>
  <c r="M82" i="35"/>
  <c r="L82" i="35"/>
  <c r="K82" i="35"/>
  <c r="Q81" i="35"/>
  <c r="P81" i="35"/>
  <c r="O81" i="35"/>
  <c r="N81" i="35"/>
  <c r="M81" i="35"/>
  <c r="L81" i="35"/>
  <c r="K81" i="35"/>
  <c r="Q80" i="35"/>
  <c r="P80" i="35"/>
  <c r="O80" i="35"/>
  <c r="N80" i="35"/>
  <c r="M80" i="35"/>
  <c r="L80" i="35"/>
  <c r="K80" i="35"/>
  <c r="Q79" i="35"/>
  <c r="P79" i="35"/>
  <c r="O79" i="35"/>
  <c r="N79" i="35"/>
  <c r="M79" i="35"/>
  <c r="L79" i="35"/>
  <c r="K79" i="35"/>
  <c r="Q78" i="35"/>
  <c r="P78" i="35"/>
  <c r="O78" i="35"/>
  <c r="N78" i="35"/>
  <c r="M78" i="35"/>
  <c r="L78" i="35"/>
  <c r="K78" i="35"/>
  <c r="Q77" i="35"/>
  <c r="P77" i="35"/>
  <c r="O77" i="35"/>
  <c r="N77" i="35"/>
  <c r="M77" i="35"/>
  <c r="L77" i="35"/>
  <c r="K77" i="35"/>
  <c r="Q76" i="35"/>
  <c r="P76" i="35"/>
  <c r="O76" i="35"/>
  <c r="N76" i="35"/>
  <c r="M76" i="35"/>
  <c r="L76" i="35"/>
  <c r="K76" i="35"/>
  <c r="Q75" i="35"/>
  <c r="P75" i="35"/>
  <c r="O75" i="35"/>
  <c r="N75" i="35"/>
  <c r="M75" i="35"/>
  <c r="L75" i="35"/>
  <c r="K75" i="35"/>
  <c r="Q74" i="35"/>
  <c r="P74" i="35"/>
  <c r="O74" i="35"/>
  <c r="N74" i="35"/>
  <c r="M74" i="35"/>
  <c r="L74" i="35"/>
  <c r="K74" i="35"/>
  <c r="Q73" i="35"/>
  <c r="P73" i="35"/>
  <c r="O73" i="35"/>
  <c r="N73" i="35"/>
  <c r="M73" i="35"/>
  <c r="L73" i="35"/>
  <c r="K73" i="35"/>
  <c r="Q72" i="35"/>
  <c r="P72" i="35"/>
  <c r="O72" i="35"/>
  <c r="N72" i="35"/>
  <c r="M72" i="35"/>
  <c r="L72" i="35"/>
  <c r="K72" i="35"/>
  <c r="Q71" i="35"/>
  <c r="P71" i="35"/>
  <c r="O71" i="35"/>
  <c r="N71" i="35"/>
  <c r="M71" i="35"/>
  <c r="L71" i="35"/>
  <c r="K71" i="35"/>
  <c r="Q70" i="35"/>
  <c r="P70" i="35"/>
  <c r="O70" i="35"/>
  <c r="N70" i="35"/>
  <c r="M70" i="35"/>
  <c r="L70" i="35"/>
  <c r="K70" i="35"/>
  <c r="Q69" i="35"/>
  <c r="P69" i="35"/>
  <c r="O69" i="35"/>
  <c r="N69" i="35"/>
  <c r="M69" i="35"/>
  <c r="L69" i="35"/>
  <c r="K69" i="35"/>
  <c r="Q68" i="35"/>
  <c r="P68" i="35"/>
  <c r="O68" i="35"/>
  <c r="N68" i="35"/>
  <c r="M68" i="35"/>
  <c r="L68" i="35"/>
  <c r="K68" i="35"/>
  <c r="Q67" i="35"/>
  <c r="P67" i="35"/>
  <c r="O67" i="35"/>
  <c r="N67" i="35"/>
  <c r="M67" i="35"/>
  <c r="L67" i="35"/>
  <c r="K67" i="35"/>
  <c r="Q66" i="35"/>
  <c r="P66" i="35"/>
  <c r="O66" i="35"/>
  <c r="N66" i="35"/>
  <c r="M66" i="35"/>
  <c r="L66" i="35"/>
  <c r="K66" i="35"/>
  <c r="Q65" i="35"/>
  <c r="P65" i="35"/>
  <c r="O65" i="35"/>
  <c r="N65" i="35"/>
  <c r="M65" i="35"/>
  <c r="L65" i="35"/>
  <c r="K65" i="35"/>
  <c r="Q64" i="35"/>
  <c r="P64" i="35"/>
  <c r="O64" i="35"/>
  <c r="N64" i="35"/>
  <c r="M64" i="35"/>
  <c r="L64" i="35"/>
  <c r="K64" i="35"/>
  <c r="Q63" i="35"/>
  <c r="P63" i="35"/>
  <c r="O63" i="35"/>
  <c r="N63" i="35"/>
  <c r="M63" i="35"/>
  <c r="L63" i="35"/>
  <c r="K63" i="35"/>
  <c r="Q62" i="35"/>
  <c r="P62" i="35"/>
  <c r="O62" i="35"/>
  <c r="N62" i="35"/>
  <c r="M62" i="35"/>
  <c r="L62" i="35"/>
  <c r="K62" i="35"/>
  <c r="Q61" i="35"/>
  <c r="P61" i="35"/>
  <c r="O61" i="35"/>
  <c r="N61" i="35"/>
  <c r="M61" i="35"/>
  <c r="L61" i="35"/>
  <c r="K61" i="35"/>
  <c r="Q60" i="35"/>
  <c r="P60" i="35"/>
  <c r="O60" i="35"/>
  <c r="N60" i="35"/>
  <c r="M60" i="35"/>
  <c r="L60" i="35"/>
  <c r="K60" i="35"/>
  <c r="Q59" i="35"/>
  <c r="P59" i="35"/>
  <c r="O59" i="35"/>
  <c r="N59" i="35"/>
  <c r="M59" i="35"/>
  <c r="L59" i="35"/>
  <c r="K59" i="35"/>
  <c r="Q58" i="35"/>
  <c r="P58" i="35"/>
  <c r="O58" i="35"/>
  <c r="N58" i="35"/>
  <c r="M58" i="35"/>
  <c r="L58" i="35"/>
  <c r="K58" i="35"/>
  <c r="Q57" i="35"/>
  <c r="P57" i="35"/>
  <c r="O57" i="35"/>
  <c r="N57" i="35"/>
  <c r="M57" i="35"/>
  <c r="L57" i="35"/>
  <c r="K57" i="35"/>
  <c r="Q56" i="35"/>
  <c r="P56" i="35"/>
  <c r="O56" i="35"/>
  <c r="N56" i="35"/>
  <c r="M56" i="35"/>
  <c r="L56" i="35"/>
  <c r="K56" i="35"/>
  <c r="Q55" i="35"/>
  <c r="P55" i="35"/>
  <c r="O55" i="35"/>
  <c r="N55" i="35"/>
  <c r="M55" i="35"/>
  <c r="L55" i="35"/>
  <c r="K55" i="35"/>
  <c r="Q54" i="35"/>
  <c r="P54" i="35"/>
  <c r="O54" i="35"/>
  <c r="N54" i="35"/>
  <c r="M54" i="35"/>
  <c r="L54" i="35"/>
  <c r="K54" i="35"/>
  <c r="Q53" i="35"/>
  <c r="P53" i="35"/>
  <c r="O53" i="35"/>
  <c r="N53" i="35"/>
  <c r="M53" i="35"/>
  <c r="L53" i="35"/>
  <c r="K53" i="35"/>
  <c r="Q52" i="35"/>
  <c r="P52" i="35"/>
  <c r="O52" i="35"/>
  <c r="N52" i="35"/>
  <c r="M52" i="35"/>
  <c r="L52" i="35"/>
  <c r="K52" i="35"/>
  <c r="Q51" i="35"/>
  <c r="P51" i="35"/>
  <c r="O51" i="35"/>
  <c r="N51" i="35"/>
  <c r="M51" i="35"/>
  <c r="L51" i="35"/>
  <c r="K51" i="35"/>
  <c r="Q50" i="35"/>
  <c r="P50" i="35"/>
  <c r="O50" i="35"/>
  <c r="N50" i="35"/>
  <c r="M50" i="35"/>
  <c r="L50" i="35"/>
  <c r="K50" i="35"/>
  <c r="Q49" i="35"/>
  <c r="P49" i="35"/>
  <c r="O49" i="35"/>
  <c r="N49" i="35"/>
  <c r="M49" i="35"/>
  <c r="L49" i="35"/>
  <c r="K49" i="35"/>
  <c r="Q48" i="35"/>
  <c r="P48" i="35"/>
  <c r="O48" i="35"/>
  <c r="N48" i="35"/>
  <c r="M48" i="35"/>
  <c r="L48" i="35"/>
  <c r="K48" i="35"/>
  <c r="Q47" i="35"/>
  <c r="P47" i="35"/>
  <c r="O47" i="35"/>
  <c r="N47" i="35"/>
  <c r="M47" i="35"/>
  <c r="L47" i="35"/>
  <c r="K47" i="35"/>
  <c r="Q46" i="35"/>
  <c r="P46" i="35"/>
  <c r="O46" i="35"/>
  <c r="N46" i="35"/>
  <c r="M46" i="35"/>
  <c r="L46" i="35"/>
  <c r="K46" i="35"/>
  <c r="Q45" i="35"/>
  <c r="P45" i="35"/>
  <c r="O45" i="35"/>
  <c r="N45" i="35"/>
  <c r="M45" i="35"/>
  <c r="L45" i="35"/>
  <c r="K45" i="35"/>
  <c r="Q44" i="35"/>
  <c r="P44" i="35"/>
  <c r="O44" i="35"/>
  <c r="N44" i="35"/>
  <c r="M44" i="35"/>
  <c r="L44" i="35"/>
  <c r="K44" i="35"/>
  <c r="Q43" i="35"/>
  <c r="P43" i="35"/>
  <c r="O43" i="35"/>
  <c r="N43" i="35"/>
  <c r="M43" i="35"/>
  <c r="L43" i="35"/>
  <c r="K43" i="35"/>
  <c r="Q42" i="35"/>
  <c r="P42" i="35"/>
  <c r="O42" i="35"/>
  <c r="N42" i="35"/>
  <c r="M42" i="35"/>
  <c r="L42" i="35"/>
  <c r="K42" i="35"/>
  <c r="Q41" i="35"/>
  <c r="P41" i="35"/>
  <c r="O41" i="35"/>
  <c r="N41" i="35"/>
  <c r="M41" i="35"/>
  <c r="L41" i="35"/>
  <c r="K41" i="35"/>
  <c r="Q40" i="35"/>
  <c r="P40" i="35"/>
  <c r="O40" i="35"/>
  <c r="N40" i="35"/>
  <c r="M40" i="35"/>
  <c r="L40" i="35"/>
  <c r="K40" i="35"/>
  <c r="Q39" i="35"/>
  <c r="P39" i="35"/>
  <c r="O39" i="35"/>
  <c r="N39" i="35"/>
  <c r="M39" i="35"/>
  <c r="L39" i="35"/>
  <c r="K39" i="35"/>
  <c r="Q38" i="35"/>
  <c r="P38" i="35"/>
  <c r="O38" i="35"/>
  <c r="N38" i="35"/>
  <c r="M38" i="35"/>
  <c r="L38" i="35"/>
  <c r="K38" i="35"/>
  <c r="Q37" i="35"/>
  <c r="P37" i="35"/>
  <c r="O37" i="35"/>
  <c r="N37" i="35"/>
  <c r="M37" i="35"/>
  <c r="L37" i="35"/>
  <c r="K37" i="35"/>
  <c r="Q36" i="35"/>
  <c r="P36" i="35"/>
  <c r="O36" i="35"/>
  <c r="N36" i="35"/>
  <c r="M36" i="35"/>
  <c r="L36" i="35"/>
  <c r="K36" i="35"/>
  <c r="Q35" i="35"/>
  <c r="P35" i="35"/>
  <c r="O35" i="35"/>
  <c r="N35" i="35"/>
  <c r="M35" i="35"/>
  <c r="L35" i="35"/>
  <c r="K35" i="35"/>
  <c r="Q34" i="35"/>
  <c r="P34" i="35"/>
  <c r="O34" i="35"/>
  <c r="N34" i="35"/>
  <c r="M34" i="35"/>
  <c r="L34" i="35"/>
  <c r="K34" i="35"/>
  <c r="Q33" i="35"/>
  <c r="P33" i="35"/>
  <c r="O33" i="35"/>
  <c r="N33" i="35"/>
  <c r="M33" i="35"/>
  <c r="L33" i="35"/>
  <c r="K33" i="35"/>
  <c r="Q32" i="35"/>
  <c r="P32" i="35"/>
  <c r="O32" i="35"/>
  <c r="N32" i="35"/>
  <c r="M32" i="35"/>
  <c r="L32" i="35"/>
  <c r="K32" i="35"/>
  <c r="Q31" i="35"/>
  <c r="P31" i="35"/>
  <c r="O31" i="35"/>
  <c r="N31" i="35"/>
  <c r="M31" i="35"/>
  <c r="L31" i="35"/>
  <c r="K31" i="35"/>
  <c r="Q30" i="35"/>
  <c r="P30" i="35"/>
  <c r="O30" i="35"/>
  <c r="N30" i="35"/>
  <c r="M30" i="35"/>
  <c r="L30" i="35"/>
  <c r="K30" i="35"/>
  <c r="Q29" i="35"/>
  <c r="P29" i="35"/>
  <c r="O29" i="35"/>
  <c r="N29" i="35"/>
  <c r="M29" i="35"/>
  <c r="L29" i="35"/>
  <c r="K29" i="35"/>
  <c r="Q28" i="35"/>
  <c r="P28" i="35"/>
  <c r="O28" i="35"/>
  <c r="N28" i="35"/>
  <c r="M28" i="35"/>
  <c r="L28" i="35"/>
  <c r="K28" i="35"/>
  <c r="Q27" i="35"/>
  <c r="P27" i="35"/>
  <c r="O27" i="35"/>
  <c r="N27" i="35"/>
  <c r="M27" i="35"/>
  <c r="L27" i="35"/>
  <c r="K27" i="35"/>
  <c r="Q26" i="35"/>
  <c r="P26" i="35"/>
  <c r="O26" i="35"/>
  <c r="N26" i="35"/>
  <c r="M26" i="35"/>
  <c r="L26" i="35"/>
  <c r="K26" i="35"/>
  <c r="Q25" i="35"/>
  <c r="P25" i="35"/>
  <c r="O25" i="35"/>
  <c r="N25" i="35"/>
  <c r="M25" i="35"/>
  <c r="L25" i="35"/>
  <c r="K25" i="35"/>
  <c r="Q24" i="35"/>
  <c r="P24" i="35"/>
  <c r="O24" i="35"/>
  <c r="N24" i="35"/>
  <c r="M24" i="35"/>
  <c r="L24" i="35"/>
  <c r="K24" i="35"/>
  <c r="Q23" i="35"/>
  <c r="P23" i="35"/>
  <c r="O23" i="35"/>
  <c r="N23" i="35"/>
  <c r="M23" i="35"/>
  <c r="L23" i="35"/>
  <c r="K23" i="35"/>
  <c r="Q22" i="35"/>
  <c r="P22" i="35"/>
  <c r="O22" i="35"/>
  <c r="N22" i="35"/>
  <c r="M22" i="35"/>
  <c r="L22" i="35"/>
  <c r="K22" i="35"/>
  <c r="Q21" i="35"/>
  <c r="P21" i="35"/>
  <c r="O21" i="35"/>
  <c r="N21" i="35"/>
  <c r="M21" i="35"/>
  <c r="L21" i="35"/>
  <c r="K21" i="35"/>
  <c r="Q20" i="35"/>
  <c r="P20" i="35"/>
  <c r="O20" i="35"/>
  <c r="N20" i="35"/>
  <c r="M20" i="35"/>
  <c r="L20" i="35"/>
  <c r="K20" i="35"/>
  <c r="Q19" i="35"/>
  <c r="P19" i="35"/>
  <c r="O19" i="35"/>
  <c r="N19" i="35"/>
  <c r="M19" i="35"/>
  <c r="L19" i="35"/>
  <c r="K19" i="35"/>
  <c r="Q18" i="35"/>
  <c r="P18" i="35"/>
  <c r="O18" i="35"/>
  <c r="N18" i="35"/>
  <c r="M18" i="35"/>
  <c r="L18" i="35"/>
  <c r="K18" i="35"/>
  <c r="Q17" i="35"/>
  <c r="P17" i="35"/>
  <c r="O17" i="35"/>
  <c r="N17" i="35"/>
  <c r="M17" i="35"/>
  <c r="L17" i="35"/>
  <c r="K17" i="35"/>
  <c r="Q16" i="35"/>
  <c r="P16" i="35"/>
  <c r="O16" i="35"/>
  <c r="N16" i="35"/>
  <c r="M16" i="35"/>
  <c r="L16" i="35"/>
  <c r="K16" i="35"/>
  <c r="Q15" i="35"/>
  <c r="P15" i="35"/>
  <c r="O15" i="35"/>
  <c r="N15" i="35"/>
  <c r="M15" i="35"/>
  <c r="L15" i="35"/>
  <c r="K15" i="35"/>
  <c r="Q14" i="35"/>
  <c r="P14" i="35"/>
  <c r="O14" i="35"/>
  <c r="N14" i="35"/>
  <c r="M14" i="35"/>
  <c r="L14" i="35"/>
  <c r="K14" i="35"/>
  <c r="A2" i="33"/>
  <c r="Q203" i="33"/>
  <c r="P203" i="33"/>
  <c r="O203" i="33"/>
  <c r="N203" i="33"/>
  <c r="M203" i="33"/>
  <c r="L203" i="33"/>
  <c r="K203" i="33"/>
  <c r="Q202" i="33"/>
  <c r="P202" i="33"/>
  <c r="O202" i="33"/>
  <c r="N202" i="33"/>
  <c r="M202" i="33"/>
  <c r="L202" i="33"/>
  <c r="K202" i="33"/>
  <c r="Q201" i="33"/>
  <c r="P201" i="33"/>
  <c r="O201" i="33"/>
  <c r="N201" i="33"/>
  <c r="M201" i="33"/>
  <c r="L201" i="33"/>
  <c r="K201" i="33"/>
  <c r="Q200" i="33"/>
  <c r="P200" i="33"/>
  <c r="O200" i="33"/>
  <c r="N200" i="33"/>
  <c r="M200" i="33"/>
  <c r="L200" i="33"/>
  <c r="K200" i="33"/>
  <c r="Q199" i="33"/>
  <c r="P199" i="33"/>
  <c r="O199" i="33"/>
  <c r="N199" i="33"/>
  <c r="M199" i="33"/>
  <c r="L199" i="33"/>
  <c r="K199" i="33"/>
  <c r="Q198" i="33"/>
  <c r="P198" i="33"/>
  <c r="O198" i="33"/>
  <c r="N198" i="33"/>
  <c r="M198" i="33"/>
  <c r="L198" i="33"/>
  <c r="K198" i="33"/>
  <c r="Q197" i="33"/>
  <c r="P197" i="33"/>
  <c r="O197" i="33"/>
  <c r="N197" i="33"/>
  <c r="M197" i="33"/>
  <c r="L197" i="33"/>
  <c r="K197" i="33"/>
  <c r="Q196" i="33"/>
  <c r="P196" i="33"/>
  <c r="O196" i="33"/>
  <c r="N196" i="33"/>
  <c r="M196" i="33"/>
  <c r="L196" i="33"/>
  <c r="K196" i="33"/>
  <c r="Q195" i="33"/>
  <c r="P195" i="33"/>
  <c r="O195" i="33"/>
  <c r="N195" i="33"/>
  <c r="M195" i="33"/>
  <c r="L195" i="33"/>
  <c r="K195" i="33"/>
  <c r="Q194" i="33"/>
  <c r="P194" i="33"/>
  <c r="O194" i="33"/>
  <c r="N194" i="33"/>
  <c r="M194" i="33"/>
  <c r="L194" i="33"/>
  <c r="K194" i="33"/>
  <c r="Q193" i="33"/>
  <c r="P193" i="33"/>
  <c r="O193" i="33"/>
  <c r="N193" i="33"/>
  <c r="M193" i="33"/>
  <c r="L193" i="33"/>
  <c r="K193" i="33"/>
  <c r="Q192" i="33"/>
  <c r="P192" i="33"/>
  <c r="O192" i="33"/>
  <c r="N192" i="33"/>
  <c r="M192" i="33"/>
  <c r="L192" i="33"/>
  <c r="K192" i="33"/>
  <c r="Q191" i="33"/>
  <c r="P191" i="33"/>
  <c r="O191" i="33"/>
  <c r="N191" i="33"/>
  <c r="M191" i="33"/>
  <c r="L191" i="33"/>
  <c r="K191" i="33"/>
  <c r="Q190" i="33"/>
  <c r="P190" i="33"/>
  <c r="O190" i="33"/>
  <c r="N190" i="33"/>
  <c r="M190" i="33"/>
  <c r="L190" i="33"/>
  <c r="K190" i="33"/>
  <c r="Q189" i="33"/>
  <c r="P189" i="33"/>
  <c r="O189" i="33"/>
  <c r="N189" i="33"/>
  <c r="M189" i="33"/>
  <c r="L189" i="33"/>
  <c r="K189" i="33"/>
  <c r="Q188" i="33"/>
  <c r="P188" i="33"/>
  <c r="O188" i="33"/>
  <c r="N188" i="33"/>
  <c r="M188" i="33"/>
  <c r="L188" i="33"/>
  <c r="K188" i="33"/>
  <c r="Q187" i="33"/>
  <c r="P187" i="33"/>
  <c r="O187" i="33"/>
  <c r="N187" i="33"/>
  <c r="M187" i="33"/>
  <c r="L187" i="33"/>
  <c r="K187" i="33"/>
  <c r="Q186" i="33"/>
  <c r="P186" i="33"/>
  <c r="O186" i="33"/>
  <c r="N186" i="33"/>
  <c r="M186" i="33"/>
  <c r="L186" i="33"/>
  <c r="K186" i="33"/>
  <c r="Q185" i="33"/>
  <c r="P185" i="33"/>
  <c r="O185" i="33"/>
  <c r="N185" i="33"/>
  <c r="M185" i="33"/>
  <c r="L185" i="33"/>
  <c r="K185" i="33"/>
  <c r="Q184" i="33"/>
  <c r="P184" i="33"/>
  <c r="O184" i="33"/>
  <c r="N184" i="33"/>
  <c r="M184" i="33"/>
  <c r="L184" i="33"/>
  <c r="K184" i="33"/>
  <c r="Q183" i="33"/>
  <c r="P183" i="33"/>
  <c r="O183" i="33"/>
  <c r="N183" i="33"/>
  <c r="M183" i="33"/>
  <c r="L183" i="33"/>
  <c r="K183" i="33"/>
  <c r="Q182" i="33"/>
  <c r="P182" i="33"/>
  <c r="O182" i="33"/>
  <c r="N182" i="33"/>
  <c r="M182" i="33"/>
  <c r="L182" i="33"/>
  <c r="K182" i="33"/>
  <c r="Q181" i="33"/>
  <c r="P181" i="33"/>
  <c r="O181" i="33"/>
  <c r="N181" i="33"/>
  <c r="M181" i="33"/>
  <c r="L181" i="33"/>
  <c r="K181" i="33"/>
  <c r="Q180" i="33"/>
  <c r="P180" i="33"/>
  <c r="O180" i="33"/>
  <c r="N180" i="33"/>
  <c r="M180" i="33"/>
  <c r="L180" i="33"/>
  <c r="K180" i="33"/>
  <c r="Q179" i="33"/>
  <c r="P179" i="33"/>
  <c r="O179" i="33"/>
  <c r="N179" i="33"/>
  <c r="M179" i="33"/>
  <c r="L179" i="33"/>
  <c r="K179" i="33"/>
  <c r="Q178" i="33"/>
  <c r="P178" i="33"/>
  <c r="O178" i="33"/>
  <c r="N178" i="33"/>
  <c r="M178" i="33"/>
  <c r="L178" i="33"/>
  <c r="K178" i="33"/>
  <c r="Q177" i="33"/>
  <c r="P177" i="33"/>
  <c r="O177" i="33"/>
  <c r="N177" i="33"/>
  <c r="M177" i="33"/>
  <c r="L177" i="33"/>
  <c r="K177" i="33"/>
  <c r="Q176" i="33"/>
  <c r="P176" i="33"/>
  <c r="O176" i="33"/>
  <c r="N176" i="33"/>
  <c r="M176" i="33"/>
  <c r="L176" i="33"/>
  <c r="K176" i="33"/>
  <c r="Q175" i="33"/>
  <c r="P175" i="33"/>
  <c r="O175" i="33"/>
  <c r="N175" i="33"/>
  <c r="M175" i="33"/>
  <c r="L175" i="33"/>
  <c r="K175" i="33"/>
  <c r="Q174" i="33"/>
  <c r="P174" i="33"/>
  <c r="O174" i="33"/>
  <c r="N174" i="33"/>
  <c r="M174" i="33"/>
  <c r="L174" i="33"/>
  <c r="K174" i="33"/>
  <c r="Q173" i="33"/>
  <c r="P173" i="33"/>
  <c r="O173" i="33"/>
  <c r="N173" i="33"/>
  <c r="M173" i="33"/>
  <c r="L173" i="33"/>
  <c r="K173" i="33"/>
  <c r="Q172" i="33"/>
  <c r="P172" i="33"/>
  <c r="O172" i="33"/>
  <c r="N172" i="33"/>
  <c r="M172" i="33"/>
  <c r="L172" i="33"/>
  <c r="K172" i="33"/>
  <c r="Q171" i="33"/>
  <c r="P171" i="33"/>
  <c r="O171" i="33"/>
  <c r="N171" i="33"/>
  <c r="M171" i="33"/>
  <c r="L171" i="33"/>
  <c r="K171" i="33"/>
  <c r="Q170" i="33"/>
  <c r="P170" i="33"/>
  <c r="O170" i="33"/>
  <c r="N170" i="33"/>
  <c r="M170" i="33"/>
  <c r="L170" i="33"/>
  <c r="K170" i="33"/>
  <c r="Q169" i="33"/>
  <c r="P169" i="33"/>
  <c r="O169" i="33"/>
  <c r="N169" i="33"/>
  <c r="M169" i="33"/>
  <c r="L169" i="33"/>
  <c r="K169" i="33"/>
  <c r="Q168" i="33"/>
  <c r="P168" i="33"/>
  <c r="O168" i="33"/>
  <c r="N168" i="33"/>
  <c r="M168" i="33"/>
  <c r="L168" i="33"/>
  <c r="K168" i="33"/>
  <c r="Q167" i="33"/>
  <c r="P167" i="33"/>
  <c r="O167" i="33"/>
  <c r="N167" i="33"/>
  <c r="M167" i="33"/>
  <c r="L167" i="33"/>
  <c r="K167" i="33"/>
  <c r="Q166" i="33"/>
  <c r="P166" i="33"/>
  <c r="O166" i="33"/>
  <c r="N166" i="33"/>
  <c r="M166" i="33"/>
  <c r="L166" i="33"/>
  <c r="K166" i="33"/>
  <c r="Q165" i="33"/>
  <c r="P165" i="33"/>
  <c r="O165" i="33"/>
  <c r="N165" i="33"/>
  <c r="M165" i="33"/>
  <c r="L165" i="33"/>
  <c r="K165" i="33"/>
  <c r="Q164" i="33"/>
  <c r="P164" i="33"/>
  <c r="O164" i="33"/>
  <c r="N164" i="33"/>
  <c r="M164" i="33"/>
  <c r="L164" i="33"/>
  <c r="K164" i="33"/>
  <c r="Q163" i="33"/>
  <c r="P163" i="33"/>
  <c r="O163" i="33"/>
  <c r="N163" i="33"/>
  <c r="M163" i="33"/>
  <c r="L163" i="33"/>
  <c r="K163" i="33"/>
  <c r="Q162" i="33"/>
  <c r="P162" i="33"/>
  <c r="O162" i="33"/>
  <c r="N162" i="33"/>
  <c r="M162" i="33"/>
  <c r="L162" i="33"/>
  <c r="K162" i="33"/>
  <c r="Q161" i="33"/>
  <c r="P161" i="33"/>
  <c r="O161" i="33"/>
  <c r="N161" i="33"/>
  <c r="M161" i="33"/>
  <c r="L161" i="33"/>
  <c r="K161" i="33"/>
  <c r="Q160" i="33"/>
  <c r="P160" i="33"/>
  <c r="O160" i="33"/>
  <c r="N160" i="33"/>
  <c r="M160" i="33"/>
  <c r="L160" i="33"/>
  <c r="K160" i="33"/>
  <c r="Q159" i="33"/>
  <c r="P159" i="33"/>
  <c r="O159" i="33"/>
  <c r="N159" i="33"/>
  <c r="M159" i="33"/>
  <c r="L159" i="33"/>
  <c r="K159" i="33"/>
  <c r="Q158" i="33"/>
  <c r="P158" i="33"/>
  <c r="O158" i="33"/>
  <c r="N158" i="33"/>
  <c r="M158" i="33"/>
  <c r="L158" i="33"/>
  <c r="K158" i="33"/>
  <c r="Q157" i="33"/>
  <c r="P157" i="33"/>
  <c r="O157" i="33"/>
  <c r="N157" i="33"/>
  <c r="M157" i="33"/>
  <c r="L157" i="33"/>
  <c r="K157" i="33"/>
  <c r="Q156" i="33"/>
  <c r="P156" i="33"/>
  <c r="O156" i="33"/>
  <c r="N156" i="33"/>
  <c r="M156" i="33"/>
  <c r="L156" i="33"/>
  <c r="K156" i="33"/>
  <c r="Q155" i="33"/>
  <c r="P155" i="33"/>
  <c r="O155" i="33"/>
  <c r="N155" i="33"/>
  <c r="M155" i="33"/>
  <c r="L155" i="33"/>
  <c r="K155" i="33"/>
  <c r="Q154" i="33"/>
  <c r="P154" i="33"/>
  <c r="O154" i="33"/>
  <c r="N154" i="33"/>
  <c r="M154" i="33"/>
  <c r="L154" i="33"/>
  <c r="K154" i="33"/>
  <c r="Q153" i="33"/>
  <c r="P153" i="33"/>
  <c r="O153" i="33"/>
  <c r="N153" i="33"/>
  <c r="M153" i="33"/>
  <c r="L153" i="33"/>
  <c r="K153" i="33"/>
  <c r="Q152" i="33"/>
  <c r="P152" i="33"/>
  <c r="O152" i="33"/>
  <c r="N152" i="33"/>
  <c r="M152" i="33"/>
  <c r="L152" i="33"/>
  <c r="K152" i="33"/>
  <c r="Q151" i="33"/>
  <c r="P151" i="33"/>
  <c r="O151" i="33"/>
  <c r="N151" i="33"/>
  <c r="M151" i="33"/>
  <c r="L151" i="33"/>
  <c r="K151" i="33"/>
  <c r="Q150" i="33"/>
  <c r="P150" i="33"/>
  <c r="O150" i="33"/>
  <c r="N150" i="33"/>
  <c r="M150" i="33"/>
  <c r="L150" i="33"/>
  <c r="K150" i="33"/>
  <c r="Q149" i="33"/>
  <c r="P149" i="33"/>
  <c r="O149" i="33"/>
  <c r="N149" i="33"/>
  <c r="M149" i="33"/>
  <c r="L149" i="33"/>
  <c r="K149" i="33"/>
  <c r="Q148" i="33"/>
  <c r="P148" i="33"/>
  <c r="O148" i="33"/>
  <c r="N148" i="33"/>
  <c r="M148" i="33"/>
  <c r="L148" i="33"/>
  <c r="K148" i="33"/>
  <c r="Q147" i="33"/>
  <c r="P147" i="33"/>
  <c r="O147" i="33"/>
  <c r="N147" i="33"/>
  <c r="M147" i="33"/>
  <c r="L147" i="33"/>
  <c r="K147" i="33"/>
  <c r="Q146" i="33"/>
  <c r="P146" i="33"/>
  <c r="O146" i="33"/>
  <c r="N146" i="33"/>
  <c r="M146" i="33"/>
  <c r="L146" i="33"/>
  <c r="K146" i="33"/>
  <c r="Q145" i="33"/>
  <c r="P145" i="33"/>
  <c r="O145" i="33"/>
  <c r="N145" i="33"/>
  <c r="M145" i="33"/>
  <c r="L145" i="33"/>
  <c r="K145" i="33"/>
  <c r="Q144" i="33"/>
  <c r="P144" i="33"/>
  <c r="O144" i="33"/>
  <c r="N144" i="33"/>
  <c r="M144" i="33"/>
  <c r="L144" i="33"/>
  <c r="K144" i="33"/>
  <c r="Q143" i="33"/>
  <c r="P143" i="33"/>
  <c r="O143" i="33"/>
  <c r="N143" i="33"/>
  <c r="M143" i="33"/>
  <c r="L143" i="33"/>
  <c r="K143" i="33"/>
  <c r="Q142" i="33"/>
  <c r="P142" i="33"/>
  <c r="O142" i="33"/>
  <c r="N142" i="33"/>
  <c r="M142" i="33"/>
  <c r="L142" i="33"/>
  <c r="K142" i="33"/>
  <c r="Q141" i="33"/>
  <c r="P141" i="33"/>
  <c r="O141" i="33"/>
  <c r="N141" i="33"/>
  <c r="M141" i="33"/>
  <c r="L141" i="33"/>
  <c r="K141" i="33"/>
  <c r="Q140" i="33"/>
  <c r="P140" i="33"/>
  <c r="O140" i="33"/>
  <c r="N140" i="33"/>
  <c r="M140" i="33"/>
  <c r="L140" i="33"/>
  <c r="K140" i="33"/>
  <c r="Q139" i="33"/>
  <c r="P139" i="33"/>
  <c r="O139" i="33"/>
  <c r="N139" i="33"/>
  <c r="M139" i="33"/>
  <c r="L139" i="33"/>
  <c r="K139" i="33"/>
  <c r="Q138" i="33"/>
  <c r="P138" i="33"/>
  <c r="O138" i="33"/>
  <c r="N138" i="33"/>
  <c r="M138" i="33"/>
  <c r="L138" i="33"/>
  <c r="K138" i="33"/>
  <c r="Q137" i="33"/>
  <c r="P137" i="33"/>
  <c r="O137" i="33"/>
  <c r="N137" i="33"/>
  <c r="M137" i="33"/>
  <c r="L137" i="33"/>
  <c r="K137" i="33"/>
  <c r="Q136" i="33"/>
  <c r="P136" i="33"/>
  <c r="O136" i="33"/>
  <c r="N136" i="33"/>
  <c r="M136" i="33"/>
  <c r="L136" i="33"/>
  <c r="K136" i="33"/>
  <c r="Q135" i="33"/>
  <c r="P135" i="33"/>
  <c r="O135" i="33"/>
  <c r="N135" i="33"/>
  <c r="M135" i="33"/>
  <c r="L135" i="33"/>
  <c r="K135" i="33"/>
  <c r="Q134" i="33"/>
  <c r="P134" i="33"/>
  <c r="O134" i="33"/>
  <c r="N134" i="33"/>
  <c r="M134" i="33"/>
  <c r="L134" i="33"/>
  <c r="K134" i="33"/>
  <c r="Q133" i="33"/>
  <c r="P133" i="33"/>
  <c r="O133" i="33"/>
  <c r="N133" i="33"/>
  <c r="M133" i="33"/>
  <c r="L133" i="33"/>
  <c r="K133" i="33"/>
  <c r="Q132" i="33"/>
  <c r="P132" i="33"/>
  <c r="O132" i="33"/>
  <c r="N132" i="33"/>
  <c r="M132" i="33"/>
  <c r="L132" i="33"/>
  <c r="K132" i="33"/>
  <c r="Q131" i="33"/>
  <c r="P131" i="33"/>
  <c r="O131" i="33"/>
  <c r="N131" i="33"/>
  <c r="M131" i="33"/>
  <c r="L131" i="33"/>
  <c r="K131" i="33"/>
  <c r="Q130" i="33"/>
  <c r="P130" i="33"/>
  <c r="O130" i="33"/>
  <c r="N130" i="33"/>
  <c r="M130" i="33"/>
  <c r="L130" i="33"/>
  <c r="K130" i="33"/>
  <c r="Q129" i="33"/>
  <c r="P129" i="33"/>
  <c r="O129" i="33"/>
  <c r="N129" i="33"/>
  <c r="M129" i="33"/>
  <c r="L129" i="33"/>
  <c r="K129" i="33"/>
  <c r="Q128" i="33"/>
  <c r="P128" i="33"/>
  <c r="O128" i="33"/>
  <c r="N128" i="33"/>
  <c r="M128" i="33"/>
  <c r="L128" i="33"/>
  <c r="K128" i="33"/>
  <c r="Q127" i="33"/>
  <c r="P127" i="33"/>
  <c r="O127" i="33"/>
  <c r="N127" i="33"/>
  <c r="M127" i="33"/>
  <c r="L127" i="33"/>
  <c r="K127" i="33"/>
  <c r="Q126" i="33"/>
  <c r="P126" i="33"/>
  <c r="O126" i="33"/>
  <c r="N126" i="33"/>
  <c r="M126" i="33"/>
  <c r="L126" i="33"/>
  <c r="K126" i="33"/>
  <c r="Q125" i="33"/>
  <c r="P125" i="33"/>
  <c r="O125" i="33"/>
  <c r="N125" i="33"/>
  <c r="M125" i="33"/>
  <c r="L125" i="33"/>
  <c r="K125" i="33"/>
  <c r="Q124" i="33"/>
  <c r="P124" i="33"/>
  <c r="O124" i="33"/>
  <c r="N124" i="33"/>
  <c r="M124" i="33"/>
  <c r="L124" i="33"/>
  <c r="K124" i="33"/>
  <c r="Q123" i="33"/>
  <c r="P123" i="33"/>
  <c r="O123" i="33"/>
  <c r="N123" i="33"/>
  <c r="M123" i="33"/>
  <c r="L123" i="33"/>
  <c r="K123" i="33"/>
  <c r="Q122" i="33"/>
  <c r="P122" i="33"/>
  <c r="O122" i="33"/>
  <c r="N122" i="33"/>
  <c r="M122" i="33"/>
  <c r="L122" i="33"/>
  <c r="K122" i="33"/>
  <c r="Q121" i="33"/>
  <c r="P121" i="33"/>
  <c r="O121" i="33"/>
  <c r="N121" i="33"/>
  <c r="M121" i="33"/>
  <c r="L121" i="33"/>
  <c r="K121" i="33"/>
  <c r="Q120" i="33"/>
  <c r="P120" i="33"/>
  <c r="O120" i="33"/>
  <c r="N120" i="33"/>
  <c r="M120" i="33"/>
  <c r="L120" i="33"/>
  <c r="K120" i="33"/>
  <c r="Q119" i="33"/>
  <c r="P119" i="33"/>
  <c r="O119" i="33"/>
  <c r="N119" i="33"/>
  <c r="M119" i="33"/>
  <c r="L119" i="33"/>
  <c r="K119" i="33"/>
  <c r="Q118" i="33"/>
  <c r="P118" i="33"/>
  <c r="O118" i="33"/>
  <c r="N118" i="33"/>
  <c r="M118" i="33"/>
  <c r="L118" i="33"/>
  <c r="K118" i="33"/>
  <c r="Q117" i="33"/>
  <c r="P117" i="33"/>
  <c r="O117" i="33"/>
  <c r="N117" i="33"/>
  <c r="M117" i="33"/>
  <c r="L117" i="33"/>
  <c r="K117" i="33"/>
  <c r="Q116" i="33"/>
  <c r="P116" i="33"/>
  <c r="O116" i="33"/>
  <c r="N116" i="33"/>
  <c r="M116" i="33"/>
  <c r="L116" i="33"/>
  <c r="K116" i="33"/>
  <c r="Q115" i="33"/>
  <c r="P115" i="33"/>
  <c r="O115" i="33"/>
  <c r="N115" i="33"/>
  <c r="M115" i="33"/>
  <c r="L115" i="33"/>
  <c r="K115" i="33"/>
  <c r="Q114" i="33"/>
  <c r="P114" i="33"/>
  <c r="O114" i="33"/>
  <c r="N114" i="33"/>
  <c r="M114" i="33"/>
  <c r="L114" i="33"/>
  <c r="K114" i="33"/>
  <c r="Q113" i="33"/>
  <c r="P113" i="33"/>
  <c r="O113" i="33"/>
  <c r="N113" i="33"/>
  <c r="M113" i="33"/>
  <c r="L113" i="33"/>
  <c r="K113" i="33"/>
  <c r="Q112" i="33"/>
  <c r="P112" i="33"/>
  <c r="O112" i="33"/>
  <c r="N112" i="33"/>
  <c r="M112" i="33"/>
  <c r="L112" i="33"/>
  <c r="K112" i="33"/>
  <c r="Q111" i="33"/>
  <c r="P111" i="33"/>
  <c r="O111" i="33"/>
  <c r="N111" i="33"/>
  <c r="M111" i="33"/>
  <c r="L111" i="33"/>
  <c r="K111" i="33"/>
  <c r="Q110" i="33"/>
  <c r="P110" i="33"/>
  <c r="O110" i="33"/>
  <c r="N110" i="33"/>
  <c r="M110" i="33"/>
  <c r="L110" i="33"/>
  <c r="K110" i="33"/>
  <c r="Q109" i="33"/>
  <c r="P109" i="33"/>
  <c r="O109" i="33"/>
  <c r="N109" i="33"/>
  <c r="M109" i="33"/>
  <c r="L109" i="33"/>
  <c r="K109" i="33"/>
  <c r="Q108" i="33"/>
  <c r="P108" i="33"/>
  <c r="O108" i="33"/>
  <c r="N108" i="33"/>
  <c r="M108" i="33"/>
  <c r="L108" i="33"/>
  <c r="K108" i="33"/>
  <c r="Q107" i="33"/>
  <c r="P107" i="33"/>
  <c r="O107" i="33"/>
  <c r="N107" i="33"/>
  <c r="M107" i="33"/>
  <c r="L107" i="33"/>
  <c r="K107" i="33"/>
  <c r="Q106" i="33"/>
  <c r="P106" i="33"/>
  <c r="O106" i="33"/>
  <c r="N106" i="33"/>
  <c r="M106" i="33"/>
  <c r="L106" i="33"/>
  <c r="K106" i="33"/>
  <c r="Q105" i="33"/>
  <c r="P105" i="33"/>
  <c r="O105" i="33"/>
  <c r="N105" i="33"/>
  <c r="M105" i="33"/>
  <c r="L105" i="33"/>
  <c r="K105" i="33"/>
  <c r="Q104" i="33"/>
  <c r="P104" i="33"/>
  <c r="O104" i="33"/>
  <c r="N104" i="33"/>
  <c r="M104" i="33"/>
  <c r="L104" i="33"/>
  <c r="K104" i="33"/>
  <c r="Q103" i="33"/>
  <c r="P103" i="33"/>
  <c r="O103" i="33"/>
  <c r="N103" i="33"/>
  <c r="M103" i="33"/>
  <c r="L103" i="33"/>
  <c r="K103" i="33"/>
  <c r="Q102" i="33"/>
  <c r="P102" i="33"/>
  <c r="O102" i="33"/>
  <c r="N102" i="33"/>
  <c r="M102" i="33"/>
  <c r="L102" i="33"/>
  <c r="K102" i="33"/>
  <c r="Q101" i="33"/>
  <c r="P101" i="33"/>
  <c r="O101" i="33"/>
  <c r="N101" i="33"/>
  <c r="M101" i="33"/>
  <c r="L101" i="33"/>
  <c r="K101" i="33"/>
  <c r="Q100" i="33"/>
  <c r="P100" i="33"/>
  <c r="O100" i="33"/>
  <c r="N100" i="33"/>
  <c r="M100" i="33"/>
  <c r="L100" i="33"/>
  <c r="K100" i="33"/>
  <c r="Q99" i="33"/>
  <c r="P99" i="33"/>
  <c r="O99" i="33"/>
  <c r="N99" i="33"/>
  <c r="M99" i="33"/>
  <c r="L99" i="33"/>
  <c r="K99" i="33"/>
  <c r="Q98" i="33"/>
  <c r="P98" i="33"/>
  <c r="O98" i="33"/>
  <c r="N98" i="33"/>
  <c r="M98" i="33"/>
  <c r="L98" i="33"/>
  <c r="K98" i="33"/>
  <c r="Q97" i="33"/>
  <c r="P97" i="33"/>
  <c r="O97" i="33"/>
  <c r="N97" i="33"/>
  <c r="M97" i="33"/>
  <c r="L97" i="33"/>
  <c r="K97" i="33"/>
  <c r="Q96" i="33"/>
  <c r="P96" i="33"/>
  <c r="O96" i="33"/>
  <c r="N96" i="33"/>
  <c r="M96" i="33"/>
  <c r="L96" i="33"/>
  <c r="K96" i="33"/>
  <c r="Q95" i="33"/>
  <c r="P95" i="33"/>
  <c r="O95" i="33"/>
  <c r="N95" i="33"/>
  <c r="M95" i="33"/>
  <c r="L95" i="33"/>
  <c r="K95" i="33"/>
  <c r="Q94" i="33"/>
  <c r="P94" i="33"/>
  <c r="O94" i="33"/>
  <c r="N94" i="33"/>
  <c r="M94" i="33"/>
  <c r="L94" i="33"/>
  <c r="K94" i="33"/>
  <c r="Q93" i="33"/>
  <c r="P93" i="33"/>
  <c r="O93" i="33"/>
  <c r="N93" i="33"/>
  <c r="M93" i="33"/>
  <c r="L93" i="33"/>
  <c r="K93" i="33"/>
  <c r="Q92" i="33"/>
  <c r="P92" i="33"/>
  <c r="O92" i="33"/>
  <c r="N92" i="33"/>
  <c r="M92" i="33"/>
  <c r="L92" i="33"/>
  <c r="K92" i="33"/>
  <c r="Q91" i="33"/>
  <c r="P91" i="33"/>
  <c r="O91" i="33"/>
  <c r="N91" i="33"/>
  <c r="M91" i="33"/>
  <c r="L91" i="33"/>
  <c r="K91" i="33"/>
  <c r="Q90" i="33"/>
  <c r="P90" i="33"/>
  <c r="O90" i="33"/>
  <c r="N90" i="33"/>
  <c r="M90" i="33"/>
  <c r="L90" i="33"/>
  <c r="K90" i="33"/>
  <c r="Q89" i="33"/>
  <c r="P89" i="33"/>
  <c r="O89" i="33"/>
  <c r="N89" i="33"/>
  <c r="M89" i="33"/>
  <c r="L89" i="33"/>
  <c r="K89" i="33"/>
  <c r="Q88" i="33"/>
  <c r="P88" i="33"/>
  <c r="O88" i="33"/>
  <c r="N88" i="33"/>
  <c r="M88" i="33"/>
  <c r="L88" i="33"/>
  <c r="K88" i="33"/>
  <c r="Q87" i="33"/>
  <c r="P87" i="33"/>
  <c r="O87" i="33"/>
  <c r="N87" i="33"/>
  <c r="M87" i="33"/>
  <c r="L87" i="33"/>
  <c r="K87" i="33"/>
  <c r="Q86" i="33"/>
  <c r="P86" i="33"/>
  <c r="O86" i="33"/>
  <c r="N86" i="33"/>
  <c r="M86" i="33"/>
  <c r="L86" i="33"/>
  <c r="K86" i="33"/>
  <c r="Q85" i="33"/>
  <c r="P85" i="33"/>
  <c r="O85" i="33"/>
  <c r="N85" i="33"/>
  <c r="M85" i="33"/>
  <c r="L85" i="33"/>
  <c r="K85" i="33"/>
  <c r="Q84" i="33"/>
  <c r="P84" i="33"/>
  <c r="O84" i="33"/>
  <c r="N84" i="33"/>
  <c r="M84" i="33"/>
  <c r="L84" i="33"/>
  <c r="K84" i="33"/>
  <c r="Q83" i="33"/>
  <c r="P83" i="33"/>
  <c r="O83" i="33"/>
  <c r="N83" i="33"/>
  <c r="M83" i="33"/>
  <c r="L83" i="33"/>
  <c r="K83" i="33"/>
  <c r="Q82" i="33"/>
  <c r="P82" i="33"/>
  <c r="O82" i="33"/>
  <c r="N82" i="33"/>
  <c r="M82" i="33"/>
  <c r="L82" i="33"/>
  <c r="K82" i="33"/>
  <c r="Q81" i="33"/>
  <c r="P81" i="33"/>
  <c r="O81" i="33"/>
  <c r="N81" i="33"/>
  <c r="M81" i="33"/>
  <c r="L81" i="33"/>
  <c r="K81" i="33"/>
  <c r="Q80" i="33"/>
  <c r="P80" i="33"/>
  <c r="O80" i="33"/>
  <c r="N80" i="33"/>
  <c r="M80" i="33"/>
  <c r="L80" i="33"/>
  <c r="K80" i="33"/>
  <c r="Q79" i="33"/>
  <c r="P79" i="33"/>
  <c r="O79" i="33"/>
  <c r="N79" i="33"/>
  <c r="M79" i="33"/>
  <c r="L79" i="33"/>
  <c r="K79" i="33"/>
  <c r="Q78" i="33"/>
  <c r="P78" i="33"/>
  <c r="O78" i="33"/>
  <c r="N78" i="33"/>
  <c r="M78" i="33"/>
  <c r="L78" i="33"/>
  <c r="K78" i="33"/>
  <c r="Q77" i="33"/>
  <c r="P77" i="33"/>
  <c r="O77" i="33"/>
  <c r="N77" i="33"/>
  <c r="M77" i="33"/>
  <c r="L77" i="33"/>
  <c r="K77" i="33"/>
  <c r="Q76" i="33"/>
  <c r="P76" i="33"/>
  <c r="O76" i="33"/>
  <c r="N76" i="33"/>
  <c r="M76" i="33"/>
  <c r="L76" i="33"/>
  <c r="K76" i="33"/>
  <c r="Q75" i="33"/>
  <c r="P75" i="33"/>
  <c r="O75" i="33"/>
  <c r="N75" i="33"/>
  <c r="M75" i="33"/>
  <c r="L75" i="33"/>
  <c r="K75" i="33"/>
  <c r="Q74" i="33"/>
  <c r="P74" i="33"/>
  <c r="O74" i="33"/>
  <c r="N74" i="33"/>
  <c r="M74" i="33"/>
  <c r="L74" i="33"/>
  <c r="K74" i="33"/>
  <c r="Q73" i="33"/>
  <c r="P73" i="33"/>
  <c r="O73" i="33"/>
  <c r="N73" i="33"/>
  <c r="M73" i="33"/>
  <c r="L73" i="33"/>
  <c r="K73" i="33"/>
  <c r="Q72" i="33"/>
  <c r="P72" i="33"/>
  <c r="O72" i="33"/>
  <c r="N72" i="33"/>
  <c r="M72" i="33"/>
  <c r="L72" i="33"/>
  <c r="K72" i="33"/>
  <c r="Q71" i="33"/>
  <c r="P71" i="33"/>
  <c r="O71" i="33"/>
  <c r="N71" i="33"/>
  <c r="M71" i="33"/>
  <c r="L71" i="33"/>
  <c r="K71" i="33"/>
  <c r="Q70" i="33"/>
  <c r="P70" i="33"/>
  <c r="O70" i="33"/>
  <c r="N70" i="33"/>
  <c r="M70" i="33"/>
  <c r="L70" i="33"/>
  <c r="K70" i="33"/>
  <c r="Q69" i="33"/>
  <c r="P69" i="33"/>
  <c r="O69" i="33"/>
  <c r="N69" i="33"/>
  <c r="M69" i="33"/>
  <c r="L69" i="33"/>
  <c r="K69" i="33"/>
  <c r="Q68" i="33"/>
  <c r="P68" i="33"/>
  <c r="O68" i="33"/>
  <c r="N68" i="33"/>
  <c r="M68" i="33"/>
  <c r="L68" i="33"/>
  <c r="K68" i="33"/>
  <c r="Q67" i="33"/>
  <c r="P67" i="33"/>
  <c r="O67" i="33"/>
  <c r="N67" i="33"/>
  <c r="M67" i="33"/>
  <c r="L67" i="33"/>
  <c r="K67" i="33"/>
  <c r="Q66" i="33"/>
  <c r="P66" i="33"/>
  <c r="O66" i="33"/>
  <c r="N66" i="33"/>
  <c r="M66" i="33"/>
  <c r="L66" i="33"/>
  <c r="K66" i="33"/>
  <c r="Q65" i="33"/>
  <c r="P65" i="33"/>
  <c r="O65" i="33"/>
  <c r="N65" i="33"/>
  <c r="M65" i="33"/>
  <c r="L65" i="33"/>
  <c r="K65" i="33"/>
  <c r="Q64" i="33"/>
  <c r="P64" i="33"/>
  <c r="O64" i="33"/>
  <c r="N64" i="33"/>
  <c r="M64" i="33"/>
  <c r="L64" i="33"/>
  <c r="K64" i="33"/>
  <c r="Q63" i="33"/>
  <c r="P63" i="33"/>
  <c r="O63" i="33"/>
  <c r="N63" i="33"/>
  <c r="M63" i="33"/>
  <c r="L63" i="33"/>
  <c r="K63" i="33"/>
  <c r="Q62" i="33"/>
  <c r="P62" i="33"/>
  <c r="O62" i="33"/>
  <c r="N62" i="33"/>
  <c r="M62" i="33"/>
  <c r="L62" i="33"/>
  <c r="K62" i="33"/>
  <c r="Q61" i="33"/>
  <c r="P61" i="33"/>
  <c r="O61" i="33"/>
  <c r="N61" i="33"/>
  <c r="M61" i="33"/>
  <c r="L61" i="33"/>
  <c r="K61" i="33"/>
  <c r="Q60" i="33"/>
  <c r="P60" i="33"/>
  <c r="O60" i="33"/>
  <c r="N60" i="33"/>
  <c r="M60" i="33"/>
  <c r="L60" i="33"/>
  <c r="K60" i="33"/>
  <c r="Q59" i="33"/>
  <c r="P59" i="33"/>
  <c r="O59" i="33"/>
  <c r="N59" i="33"/>
  <c r="M59" i="33"/>
  <c r="L59" i="33"/>
  <c r="K59" i="33"/>
  <c r="Q58" i="33"/>
  <c r="P58" i="33"/>
  <c r="O58" i="33"/>
  <c r="N58" i="33"/>
  <c r="M58" i="33"/>
  <c r="L58" i="33"/>
  <c r="K58" i="33"/>
  <c r="Q57" i="33"/>
  <c r="P57" i="33"/>
  <c r="O57" i="33"/>
  <c r="N57" i="33"/>
  <c r="M57" i="33"/>
  <c r="L57" i="33"/>
  <c r="K57" i="33"/>
  <c r="Q56" i="33"/>
  <c r="P56" i="33"/>
  <c r="O56" i="33"/>
  <c r="N56" i="33"/>
  <c r="M56" i="33"/>
  <c r="L56" i="33"/>
  <c r="K56" i="33"/>
  <c r="Q55" i="33"/>
  <c r="P55" i="33"/>
  <c r="O55" i="33"/>
  <c r="N55" i="33"/>
  <c r="M55" i="33"/>
  <c r="L55" i="33"/>
  <c r="K55" i="33"/>
  <c r="Q54" i="33"/>
  <c r="P54" i="33"/>
  <c r="O54" i="33"/>
  <c r="N54" i="33"/>
  <c r="M54" i="33"/>
  <c r="L54" i="33"/>
  <c r="K54" i="33"/>
  <c r="Q53" i="33"/>
  <c r="P53" i="33"/>
  <c r="O53" i="33"/>
  <c r="N53" i="33"/>
  <c r="M53" i="33"/>
  <c r="L53" i="33"/>
  <c r="K53" i="33"/>
  <c r="Q52" i="33"/>
  <c r="P52" i="33"/>
  <c r="O52" i="33"/>
  <c r="N52" i="33"/>
  <c r="M52" i="33"/>
  <c r="L52" i="33"/>
  <c r="K52" i="33"/>
  <c r="Q51" i="33"/>
  <c r="P51" i="33"/>
  <c r="O51" i="33"/>
  <c r="N51" i="33"/>
  <c r="M51" i="33"/>
  <c r="L51" i="33"/>
  <c r="K51" i="33"/>
  <c r="Q50" i="33"/>
  <c r="P50" i="33"/>
  <c r="O50" i="33"/>
  <c r="N50" i="33"/>
  <c r="M50" i="33"/>
  <c r="L50" i="33"/>
  <c r="K50" i="33"/>
  <c r="Q49" i="33"/>
  <c r="P49" i="33"/>
  <c r="O49" i="33"/>
  <c r="N49" i="33"/>
  <c r="M49" i="33"/>
  <c r="L49" i="33"/>
  <c r="K49" i="33"/>
  <c r="Q48" i="33"/>
  <c r="P48" i="33"/>
  <c r="O48" i="33"/>
  <c r="N48" i="33"/>
  <c r="M48" i="33"/>
  <c r="L48" i="33"/>
  <c r="K48" i="33"/>
  <c r="Q47" i="33"/>
  <c r="P47" i="33"/>
  <c r="O47" i="33"/>
  <c r="N47" i="33"/>
  <c r="M47" i="33"/>
  <c r="L47" i="33"/>
  <c r="K47" i="33"/>
  <c r="Q46" i="33"/>
  <c r="P46" i="33"/>
  <c r="O46" i="33"/>
  <c r="N46" i="33"/>
  <c r="M46" i="33"/>
  <c r="L46" i="33"/>
  <c r="K46" i="33"/>
  <c r="Q45" i="33"/>
  <c r="P45" i="33"/>
  <c r="O45" i="33"/>
  <c r="N45" i="33"/>
  <c r="M45" i="33"/>
  <c r="L45" i="33"/>
  <c r="K45" i="33"/>
  <c r="Q44" i="33"/>
  <c r="P44" i="33"/>
  <c r="O44" i="33"/>
  <c r="N44" i="33"/>
  <c r="M44" i="33"/>
  <c r="L44" i="33"/>
  <c r="K44" i="33"/>
  <c r="Q43" i="33"/>
  <c r="P43" i="33"/>
  <c r="O43" i="33"/>
  <c r="N43" i="33"/>
  <c r="M43" i="33"/>
  <c r="L43" i="33"/>
  <c r="K43" i="33"/>
  <c r="Q42" i="33"/>
  <c r="P42" i="33"/>
  <c r="O42" i="33"/>
  <c r="N42" i="33"/>
  <c r="M42" i="33"/>
  <c r="L42" i="33"/>
  <c r="K42" i="33"/>
  <c r="Q41" i="33"/>
  <c r="P41" i="33"/>
  <c r="O41" i="33"/>
  <c r="N41" i="33"/>
  <c r="M41" i="33"/>
  <c r="L41" i="33"/>
  <c r="K41" i="33"/>
  <c r="Q40" i="33"/>
  <c r="P40" i="33"/>
  <c r="O40" i="33"/>
  <c r="N40" i="33"/>
  <c r="M40" i="33"/>
  <c r="L40" i="33"/>
  <c r="K40" i="33"/>
  <c r="Q39" i="33"/>
  <c r="P39" i="33"/>
  <c r="O39" i="33"/>
  <c r="N39" i="33"/>
  <c r="M39" i="33"/>
  <c r="L39" i="33"/>
  <c r="K39" i="33"/>
  <c r="Q38" i="33"/>
  <c r="P38" i="33"/>
  <c r="O38" i="33"/>
  <c r="N38" i="33"/>
  <c r="M38" i="33"/>
  <c r="L38" i="33"/>
  <c r="K38" i="33"/>
  <c r="Q37" i="33"/>
  <c r="P37" i="33"/>
  <c r="O37" i="33"/>
  <c r="N37" i="33"/>
  <c r="M37" i="33"/>
  <c r="L37" i="33"/>
  <c r="K37" i="33"/>
  <c r="Q36" i="33"/>
  <c r="P36" i="33"/>
  <c r="O36" i="33"/>
  <c r="N36" i="33"/>
  <c r="M36" i="33"/>
  <c r="L36" i="33"/>
  <c r="K36" i="33"/>
  <c r="Q35" i="33"/>
  <c r="P35" i="33"/>
  <c r="O35" i="33"/>
  <c r="N35" i="33"/>
  <c r="M35" i="33"/>
  <c r="L35" i="33"/>
  <c r="K35" i="33"/>
  <c r="Q34" i="33"/>
  <c r="P34" i="33"/>
  <c r="O34" i="33"/>
  <c r="N34" i="33"/>
  <c r="M34" i="33"/>
  <c r="L34" i="33"/>
  <c r="K34" i="33"/>
  <c r="Q33" i="33"/>
  <c r="P33" i="33"/>
  <c r="O33" i="33"/>
  <c r="N33" i="33"/>
  <c r="M33" i="33"/>
  <c r="L33" i="33"/>
  <c r="K33" i="33"/>
  <c r="Q32" i="33"/>
  <c r="P32" i="33"/>
  <c r="O32" i="33"/>
  <c r="N32" i="33"/>
  <c r="M32" i="33"/>
  <c r="L32" i="33"/>
  <c r="K32" i="33"/>
  <c r="Q31" i="33"/>
  <c r="P31" i="33"/>
  <c r="O31" i="33"/>
  <c r="N31" i="33"/>
  <c r="M31" i="33"/>
  <c r="L31" i="33"/>
  <c r="K31" i="33"/>
  <c r="Q30" i="33"/>
  <c r="P30" i="33"/>
  <c r="O30" i="33"/>
  <c r="N30" i="33"/>
  <c r="M30" i="33"/>
  <c r="L30" i="33"/>
  <c r="K30" i="33"/>
  <c r="Q29" i="33"/>
  <c r="P29" i="33"/>
  <c r="O29" i="33"/>
  <c r="N29" i="33"/>
  <c r="M29" i="33"/>
  <c r="L29" i="33"/>
  <c r="K29" i="33"/>
  <c r="Q28" i="33"/>
  <c r="P28" i="33"/>
  <c r="O28" i="33"/>
  <c r="N28" i="33"/>
  <c r="M28" i="33"/>
  <c r="L28" i="33"/>
  <c r="K28" i="33"/>
  <c r="Q27" i="33"/>
  <c r="P27" i="33"/>
  <c r="O27" i="33"/>
  <c r="N27" i="33"/>
  <c r="M27" i="33"/>
  <c r="L27" i="33"/>
  <c r="K27" i="33"/>
  <c r="Q26" i="33"/>
  <c r="P26" i="33"/>
  <c r="O26" i="33"/>
  <c r="N26" i="33"/>
  <c r="M26" i="33"/>
  <c r="L26" i="33"/>
  <c r="K26" i="33"/>
  <c r="Q25" i="33"/>
  <c r="P25" i="33"/>
  <c r="O25" i="33"/>
  <c r="N25" i="33"/>
  <c r="M25" i="33"/>
  <c r="L25" i="33"/>
  <c r="K25" i="33"/>
  <c r="Q24" i="33"/>
  <c r="P24" i="33"/>
  <c r="O24" i="33"/>
  <c r="N24" i="33"/>
  <c r="M24" i="33"/>
  <c r="L24" i="33"/>
  <c r="K24" i="33"/>
  <c r="Q23" i="33"/>
  <c r="P23" i="33"/>
  <c r="O23" i="33"/>
  <c r="N23" i="33"/>
  <c r="M23" i="33"/>
  <c r="L23" i="33"/>
  <c r="K23" i="33"/>
  <c r="Q22" i="33"/>
  <c r="P22" i="33"/>
  <c r="O22" i="33"/>
  <c r="N22" i="33"/>
  <c r="M22" i="33"/>
  <c r="L22" i="33"/>
  <c r="K22" i="33"/>
  <c r="Q21" i="33"/>
  <c r="P21" i="33"/>
  <c r="O21" i="33"/>
  <c r="N21" i="33"/>
  <c r="M21" i="33"/>
  <c r="L21" i="33"/>
  <c r="K21" i="33"/>
  <c r="Q20" i="33"/>
  <c r="P20" i="33"/>
  <c r="O20" i="33"/>
  <c r="N20" i="33"/>
  <c r="M20" i="33"/>
  <c r="L20" i="33"/>
  <c r="K20" i="33"/>
  <c r="Q19" i="33"/>
  <c r="P19" i="33"/>
  <c r="O19" i="33"/>
  <c r="N19" i="33"/>
  <c r="M19" i="33"/>
  <c r="L19" i="33"/>
  <c r="K19" i="33"/>
  <c r="Q18" i="33"/>
  <c r="P18" i="33"/>
  <c r="O18" i="33"/>
  <c r="N18" i="33"/>
  <c r="M18" i="33"/>
  <c r="L18" i="33"/>
  <c r="K18" i="33"/>
  <c r="Q17" i="33"/>
  <c r="P17" i="33"/>
  <c r="O17" i="33"/>
  <c r="N17" i="33"/>
  <c r="M17" i="33"/>
  <c r="L17" i="33"/>
  <c r="K17" i="33"/>
  <c r="Q16" i="33"/>
  <c r="P16" i="33"/>
  <c r="O16" i="33"/>
  <c r="N16" i="33"/>
  <c r="M16" i="33"/>
  <c r="L16" i="33"/>
  <c r="K16" i="33"/>
  <c r="Q15" i="33"/>
  <c r="P15" i="33"/>
  <c r="O15" i="33"/>
  <c r="N15" i="33"/>
  <c r="M15" i="33"/>
  <c r="L15" i="33"/>
  <c r="K15" i="33"/>
  <c r="Q14" i="33"/>
  <c r="P14" i="33"/>
  <c r="O14" i="33"/>
  <c r="N14" i="33"/>
  <c r="M14" i="33"/>
  <c r="L14" i="33"/>
  <c r="K14" i="33"/>
  <c r="A2" i="32"/>
  <c r="Q203" i="32"/>
  <c r="P203" i="32"/>
  <c r="O203" i="32"/>
  <c r="N203" i="32"/>
  <c r="M203" i="32"/>
  <c r="L203" i="32"/>
  <c r="K203" i="32"/>
  <c r="Q202" i="32"/>
  <c r="P202" i="32"/>
  <c r="O202" i="32"/>
  <c r="N202" i="32"/>
  <c r="M202" i="32"/>
  <c r="L202" i="32"/>
  <c r="K202" i="32"/>
  <c r="Q201" i="32"/>
  <c r="P201" i="32"/>
  <c r="O201" i="32"/>
  <c r="N201" i="32"/>
  <c r="M201" i="32"/>
  <c r="L201" i="32"/>
  <c r="K201" i="32"/>
  <c r="Q200" i="32"/>
  <c r="P200" i="32"/>
  <c r="O200" i="32"/>
  <c r="N200" i="32"/>
  <c r="M200" i="32"/>
  <c r="L200" i="32"/>
  <c r="K200" i="32"/>
  <c r="Q199" i="32"/>
  <c r="P199" i="32"/>
  <c r="O199" i="32"/>
  <c r="N199" i="32"/>
  <c r="M199" i="32"/>
  <c r="L199" i="32"/>
  <c r="K199" i="32"/>
  <c r="Q198" i="32"/>
  <c r="P198" i="32"/>
  <c r="O198" i="32"/>
  <c r="N198" i="32"/>
  <c r="M198" i="32"/>
  <c r="L198" i="32"/>
  <c r="K198" i="32"/>
  <c r="Q197" i="32"/>
  <c r="P197" i="32"/>
  <c r="O197" i="32"/>
  <c r="N197" i="32"/>
  <c r="M197" i="32"/>
  <c r="L197" i="32"/>
  <c r="K197" i="32"/>
  <c r="Q196" i="32"/>
  <c r="P196" i="32"/>
  <c r="O196" i="32"/>
  <c r="N196" i="32"/>
  <c r="M196" i="32"/>
  <c r="L196" i="32"/>
  <c r="K196" i="32"/>
  <c r="Q195" i="32"/>
  <c r="P195" i="32"/>
  <c r="O195" i="32"/>
  <c r="N195" i="32"/>
  <c r="M195" i="32"/>
  <c r="L195" i="32"/>
  <c r="K195" i="32"/>
  <c r="Q194" i="32"/>
  <c r="P194" i="32"/>
  <c r="O194" i="32"/>
  <c r="N194" i="32"/>
  <c r="M194" i="32"/>
  <c r="L194" i="32"/>
  <c r="K194" i="32"/>
  <c r="Q193" i="32"/>
  <c r="P193" i="32"/>
  <c r="O193" i="32"/>
  <c r="N193" i="32"/>
  <c r="M193" i="32"/>
  <c r="L193" i="32"/>
  <c r="K193" i="32"/>
  <c r="Q192" i="32"/>
  <c r="P192" i="32"/>
  <c r="O192" i="32"/>
  <c r="N192" i="32"/>
  <c r="M192" i="32"/>
  <c r="L192" i="32"/>
  <c r="K192" i="32"/>
  <c r="Q191" i="32"/>
  <c r="P191" i="32"/>
  <c r="O191" i="32"/>
  <c r="N191" i="32"/>
  <c r="M191" i="32"/>
  <c r="L191" i="32"/>
  <c r="K191" i="32"/>
  <c r="Q190" i="32"/>
  <c r="P190" i="32"/>
  <c r="O190" i="32"/>
  <c r="N190" i="32"/>
  <c r="M190" i="32"/>
  <c r="L190" i="32"/>
  <c r="K190" i="32"/>
  <c r="Q189" i="32"/>
  <c r="P189" i="32"/>
  <c r="O189" i="32"/>
  <c r="N189" i="32"/>
  <c r="M189" i="32"/>
  <c r="L189" i="32"/>
  <c r="K189" i="32"/>
  <c r="Q188" i="32"/>
  <c r="P188" i="32"/>
  <c r="O188" i="32"/>
  <c r="N188" i="32"/>
  <c r="M188" i="32"/>
  <c r="L188" i="32"/>
  <c r="K188" i="32"/>
  <c r="Q187" i="32"/>
  <c r="P187" i="32"/>
  <c r="O187" i="32"/>
  <c r="N187" i="32"/>
  <c r="M187" i="32"/>
  <c r="L187" i="32"/>
  <c r="K187" i="32"/>
  <c r="Q186" i="32"/>
  <c r="P186" i="32"/>
  <c r="O186" i="32"/>
  <c r="N186" i="32"/>
  <c r="M186" i="32"/>
  <c r="L186" i="32"/>
  <c r="K186" i="32"/>
  <c r="Q185" i="32"/>
  <c r="P185" i="32"/>
  <c r="O185" i="32"/>
  <c r="N185" i="32"/>
  <c r="M185" i="32"/>
  <c r="L185" i="32"/>
  <c r="K185" i="32"/>
  <c r="Q184" i="32"/>
  <c r="P184" i="32"/>
  <c r="O184" i="32"/>
  <c r="N184" i="32"/>
  <c r="M184" i="32"/>
  <c r="L184" i="32"/>
  <c r="K184" i="32"/>
  <c r="Q183" i="32"/>
  <c r="P183" i="32"/>
  <c r="O183" i="32"/>
  <c r="N183" i="32"/>
  <c r="M183" i="32"/>
  <c r="L183" i="32"/>
  <c r="K183" i="32"/>
  <c r="Q182" i="32"/>
  <c r="P182" i="32"/>
  <c r="O182" i="32"/>
  <c r="N182" i="32"/>
  <c r="M182" i="32"/>
  <c r="L182" i="32"/>
  <c r="K182" i="32"/>
  <c r="Q181" i="32"/>
  <c r="P181" i="32"/>
  <c r="O181" i="32"/>
  <c r="N181" i="32"/>
  <c r="M181" i="32"/>
  <c r="L181" i="32"/>
  <c r="K181" i="32"/>
  <c r="Q180" i="32"/>
  <c r="P180" i="32"/>
  <c r="O180" i="32"/>
  <c r="N180" i="32"/>
  <c r="M180" i="32"/>
  <c r="L180" i="32"/>
  <c r="K180" i="32"/>
  <c r="Q179" i="32"/>
  <c r="P179" i="32"/>
  <c r="O179" i="32"/>
  <c r="N179" i="32"/>
  <c r="M179" i="32"/>
  <c r="L179" i="32"/>
  <c r="K179" i="32"/>
  <c r="Q178" i="32"/>
  <c r="P178" i="32"/>
  <c r="O178" i="32"/>
  <c r="N178" i="32"/>
  <c r="M178" i="32"/>
  <c r="L178" i="32"/>
  <c r="K178" i="32"/>
  <c r="Q177" i="32"/>
  <c r="P177" i="32"/>
  <c r="O177" i="32"/>
  <c r="N177" i="32"/>
  <c r="M177" i="32"/>
  <c r="L177" i="32"/>
  <c r="K177" i="32"/>
  <c r="Q176" i="32"/>
  <c r="P176" i="32"/>
  <c r="O176" i="32"/>
  <c r="N176" i="32"/>
  <c r="M176" i="32"/>
  <c r="L176" i="32"/>
  <c r="K176" i="32"/>
  <c r="Q175" i="32"/>
  <c r="P175" i="32"/>
  <c r="O175" i="32"/>
  <c r="N175" i="32"/>
  <c r="M175" i="32"/>
  <c r="L175" i="32"/>
  <c r="K175" i="32"/>
  <c r="Q174" i="32"/>
  <c r="P174" i="32"/>
  <c r="O174" i="32"/>
  <c r="N174" i="32"/>
  <c r="M174" i="32"/>
  <c r="L174" i="32"/>
  <c r="K174" i="32"/>
  <c r="Q173" i="32"/>
  <c r="P173" i="32"/>
  <c r="O173" i="32"/>
  <c r="N173" i="32"/>
  <c r="M173" i="32"/>
  <c r="L173" i="32"/>
  <c r="K173" i="32"/>
  <c r="Q172" i="32"/>
  <c r="P172" i="32"/>
  <c r="O172" i="32"/>
  <c r="N172" i="32"/>
  <c r="M172" i="32"/>
  <c r="L172" i="32"/>
  <c r="K172" i="32"/>
  <c r="Q171" i="32"/>
  <c r="P171" i="32"/>
  <c r="O171" i="32"/>
  <c r="N171" i="32"/>
  <c r="M171" i="32"/>
  <c r="L171" i="32"/>
  <c r="K171" i="32"/>
  <c r="Q170" i="32"/>
  <c r="P170" i="32"/>
  <c r="O170" i="32"/>
  <c r="N170" i="32"/>
  <c r="M170" i="32"/>
  <c r="L170" i="32"/>
  <c r="K170" i="32"/>
  <c r="Q169" i="32"/>
  <c r="P169" i="32"/>
  <c r="O169" i="32"/>
  <c r="N169" i="32"/>
  <c r="M169" i="32"/>
  <c r="L169" i="32"/>
  <c r="K169" i="32"/>
  <c r="Q168" i="32"/>
  <c r="P168" i="32"/>
  <c r="O168" i="32"/>
  <c r="N168" i="32"/>
  <c r="M168" i="32"/>
  <c r="L168" i="32"/>
  <c r="K168" i="32"/>
  <c r="Q167" i="32"/>
  <c r="P167" i="32"/>
  <c r="O167" i="32"/>
  <c r="N167" i="32"/>
  <c r="M167" i="32"/>
  <c r="L167" i="32"/>
  <c r="K167" i="32"/>
  <c r="Q166" i="32"/>
  <c r="P166" i="32"/>
  <c r="O166" i="32"/>
  <c r="N166" i="32"/>
  <c r="M166" i="32"/>
  <c r="L166" i="32"/>
  <c r="K166" i="32"/>
  <c r="Q165" i="32"/>
  <c r="P165" i="32"/>
  <c r="O165" i="32"/>
  <c r="N165" i="32"/>
  <c r="M165" i="32"/>
  <c r="L165" i="32"/>
  <c r="K165" i="32"/>
  <c r="Q164" i="32"/>
  <c r="P164" i="32"/>
  <c r="O164" i="32"/>
  <c r="N164" i="32"/>
  <c r="M164" i="32"/>
  <c r="L164" i="32"/>
  <c r="K164" i="32"/>
  <c r="Q163" i="32"/>
  <c r="P163" i="32"/>
  <c r="O163" i="32"/>
  <c r="N163" i="32"/>
  <c r="M163" i="32"/>
  <c r="L163" i="32"/>
  <c r="K163" i="32"/>
  <c r="Q162" i="32"/>
  <c r="P162" i="32"/>
  <c r="O162" i="32"/>
  <c r="N162" i="32"/>
  <c r="M162" i="32"/>
  <c r="L162" i="32"/>
  <c r="K162" i="32"/>
  <c r="Q161" i="32"/>
  <c r="P161" i="32"/>
  <c r="O161" i="32"/>
  <c r="N161" i="32"/>
  <c r="M161" i="32"/>
  <c r="L161" i="32"/>
  <c r="K161" i="32"/>
  <c r="Q160" i="32"/>
  <c r="P160" i="32"/>
  <c r="O160" i="32"/>
  <c r="N160" i="32"/>
  <c r="M160" i="32"/>
  <c r="L160" i="32"/>
  <c r="K160" i="32"/>
  <c r="Q159" i="32"/>
  <c r="P159" i="32"/>
  <c r="O159" i="32"/>
  <c r="N159" i="32"/>
  <c r="M159" i="32"/>
  <c r="L159" i="32"/>
  <c r="K159" i="32"/>
  <c r="Q158" i="32"/>
  <c r="P158" i="32"/>
  <c r="O158" i="32"/>
  <c r="N158" i="32"/>
  <c r="M158" i="32"/>
  <c r="L158" i="32"/>
  <c r="K158" i="32"/>
  <c r="Q157" i="32"/>
  <c r="P157" i="32"/>
  <c r="O157" i="32"/>
  <c r="N157" i="32"/>
  <c r="M157" i="32"/>
  <c r="L157" i="32"/>
  <c r="K157" i="32"/>
  <c r="Q156" i="32"/>
  <c r="P156" i="32"/>
  <c r="O156" i="32"/>
  <c r="N156" i="32"/>
  <c r="M156" i="32"/>
  <c r="L156" i="32"/>
  <c r="K156" i="32"/>
  <c r="Q155" i="32"/>
  <c r="P155" i="32"/>
  <c r="O155" i="32"/>
  <c r="N155" i="32"/>
  <c r="M155" i="32"/>
  <c r="L155" i="32"/>
  <c r="K155" i="32"/>
  <c r="Q154" i="32"/>
  <c r="P154" i="32"/>
  <c r="O154" i="32"/>
  <c r="N154" i="32"/>
  <c r="M154" i="32"/>
  <c r="L154" i="32"/>
  <c r="K154" i="32"/>
  <c r="Q153" i="32"/>
  <c r="P153" i="32"/>
  <c r="O153" i="32"/>
  <c r="N153" i="32"/>
  <c r="M153" i="32"/>
  <c r="L153" i="32"/>
  <c r="K153" i="32"/>
  <c r="Q152" i="32"/>
  <c r="P152" i="32"/>
  <c r="O152" i="32"/>
  <c r="N152" i="32"/>
  <c r="M152" i="32"/>
  <c r="L152" i="32"/>
  <c r="K152" i="32"/>
  <c r="Q151" i="32"/>
  <c r="P151" i="32"/>
  <c r="O151" i="32"/>
  <c r="N151" i="32"/>
  <c r="M151" i="32"/>
  <c r="L151" i="32"/>
  <c r="K151" i="32"/>
  <c r="Q150" i="32"/>
  <c r="P150" i="32"/>
  <c r="O150" i="32"/>
  <c r="N150" i="32"/>
  <c r="M150" i="32"/>
  <c r="L150" i="32"/>
  <c r="K150" i="32"/>
  <c r="Q149" i="32"/>
  <c r="P149" i="32"/>
  <c r="O149" i="32"/>
  <c r="N149" i="32"/>
  <c r="M149" i="32"/>
  <c r="L149" i="32"/>
  <c r="K149" i="32"/>
  <c r="Q148" i="32"/>
  <c r="P148" i="32"/>
  <c r="O148" i="32"/>
  <c r="N148" i="32"/>
  <c r="M148" i="32"/>
  <c r="L148" i="32"/>
  <c r="K148" i="32"/>
  <c r="Q147" i="32"/>
  <c r="P147" i="32"/>
  <c r="O147" i="32"/>
  <c r="N147" i="32"/>
  <c r="M147" i="32"/>
  <c r="L147" i="32"/>
  <c r="K147" i="32"/>
  <c r="Q146" i="32"/>
  <c r="P146" i="32"/>
  <c r="O146" i="32"/>
  <c r="N146" i="32"/>
  <c r="M146" i="32"/>
  <c r="L146" i="32"/>
  <c r="K146" i="32"/>
  <c r="Q145" i="32"/>
  <c r="P145" i="32"/>
  <c r="O145" i="32"/>
  <c r="N145" i="32"/>
  <c r="M145" i="32"/>
  <c r="L145" i="32"/>
  <c r="K145" i="32"/>
  <c r="Q144" i="32"/>
  <c r="P144" i="32"/>
  <c r="O144" i="32"/>
  <c r="N144" i="32"/>
  <c r="M144" i="32"/>
  <c r="L144" i="32"/>
  <c r="K144" i="32"/>
  <c r="Q143" i="32"/>
  <c r="P143" i="32"/>
  <c r="O143" i="32"/>
  <c r="N143" i="32"/>
  <c r="M143" i="32"/>
  <c r="L143" i="32"/>
  <c r="K143" i="32"/>
  <c r="Q142" i="32"/>
  <c r="P142" i="32"/>
  <c r="O142" i="32"/>
  <c r="N142" i="32"/>
  <c r="M142" i="32"/>
  <c r="L142" i="32"/>
  <c r="K142" i="32"/>
  <c r="Q141" i="32"/>
  <c r="P141" i="32"/>
  <c r="O141" i="32"/>
  <c r="N141" i="32"/>
  <c r="M141" i="32"/>
  <c r="L141" i="32"/>
  <c r="K141" i="32"/>
  <c r="Q140" i="32"/>
  <c r="P140" i="32"/>
  <c r="O140" i="32"/>
  <c r="N140" i="32"/>
  <c r="M140" i="32"/>
  <c r="L140" i="32"/>
  <c r="K140" i="32"/>
  <c r="Q139" i="32"/>
  <c r="P139" i="32"/>
  <c r="O139" i="32"/>
  <c r="N139" i="32"/>
  <c r="M139" i="32"/>
  <c r="L139" i="32"/>
  <c r="K139" i="32"/>
  <c r="Q138" i="32"/>
  <c r="P138" i="32"/>
  <c r="O138" i="32"/>
  <c r="N138" i="32"/>
  <c r="M138" i="32"/>
  <c r="L138" i="32"/>
  <c r="K138" i="32"/>
  <c r="Q137" i="32"/>
  <c r="P137" i="32"/>
  <c r="O137" i="32"/>
  <c r="N137" i="32"/>
  <c r="M137" i="32"/>
  <c r="L137" i="32"/>
  <c r="K137" i="32"/>
  <c r="Q136" i="32"/>
  <c r="P136" i="32"/>
  <c r="O136" i="32"/>
  <c r="N136" i="32"/>
  <c r="M136" i="32"/>
  <c r="L136" i="32"/>
  <c r="K136" i="32"/>
  <c r="Q135" i="32"/>
  <c r="P135" i="32"/>
  <c r="O135" i="32"/>
  <c r="N135" i="32"/>
  <c r="M135" i="32"/>
  <c r="L135" i="32"/>
  <c r="K135" i="32"/>
  <c r="Q134" i="32"/>
  <c r="P134" i="32"/>
  <c r="O134" i="32"/>
  <c r="N134" i="32"/>
  <c r="M134" i="32"/>
  <c r="L134" i="32"/>
  <c r="K134" i="32"/>
  <c r="Q133" i="32"/>
  <c r="P133" i="32"/>
  <c r="O133" i="32"/>
  <c r="N133" i="32"/>
  <c r="M133" i="32"/>
  <c r="L133" i="32"/>
  <c r="K133" i="32"/>
  <c r="Q132" i="32"/>
  <c r="P132" i="32"/>
  <c r="O132" i="32"/>
  <c r="N132" i="32"/>
  <c r="M132" i="32"/>
  <c r="L132" i="32"/>
  <c r="K132" i="32"/>
  <c r="Q131" i="32"/>
  <c r="P131" i="32"/>
  <c r="O131" i="32"/>
  <c r="N131" i="32"/>
  <c r="M131" i="32"/>
  <c r="L131" i="32"/>
  <c r="K131" i="32"/>
  <c r="Q130" i="32"/>
  <c r="P130" i="32"/>
  <c r="O130" i="32"/>
  <c r="N130" i="32"/>
  <c r="M130" i="32"/>
  <c r="L130" i="32"/>
  <c r="K130" i="32"/>
  <c r="Q129" i="32"/>
  <c r="P129" i="32"/>
  <c r="O129" i="32"/>
  <c r="N129" i="32"/>
  <c r="M129" i="32"/>
  <c r="L129" i="32"/>
  <c r="K129" i="32"/>
  <c r="Q128" i="32"/>
  <c r="P128" i="32"/>
  <c r="O128" i="32"/>
  <c r="N128" i="32"/>
  <c r="M128" i="32"/>
  <c r="L128" i="32"/>
  <c r="K128" i="32"/>
  <c r="Q127" i="32"/>
  <c r="P127" i="32"/>
  <c r="O127" i="32"/>
  <c r="N127" i="32"/>
  <c r="M127" i="32"/>
  <c r="L127" i="32"/>
  <c r="K127" i="32"/>
  <c r="Q126" i="32"/>
  <c r="P126" i="32"/>
  <c r="O126" i="32"/>
  <c r="N126" i="32"/>
  <c r="M126" i="32"/>
  <c r="L126" i="32"/>
  <c r="K126" i="32"/>
  <c r="Q125" i="32"/>
  <c r="P125" i="32"/>
  <c r="O125" i="32"/>
  <c r="N125" i="32"/>
  <c r="M125" i="32"/>
  <c r="L125" i="32"/>
  <c r="K125" i="32"/>
  <c r="Q124" i="32"/>
  <c r="P124" i="32"/>
  <c r="O124" i="32"/>
  <c r="N124" i="32"/>
  <c r="M124" i="32"/>
  <c r="L124" i="32"/>
  <c r="K124" i="32"/>
  <c r="Q123" i="32"/>
  <c r="P123" i="32"/>
  <c r="O123" i="32"/>
  <c r="N123" i="32"/>
  <c r="M123" i="32"/>
  <c r="L123" i="32"/>
  <c r="K123" i="32"/>
  <c r="Q122" i="32"/>
  <c r="P122" i="32"/>
  <c r="O122" i="32"/>
  <c r="N122" i="32"/>
  <c r="M122" i="32"/>
  <c r="L122" i="32"/>
  <c r="K122" i="32"/>
  <c r="Q121" i="32"/>
  <c r="P121" i="32"/>
  <c r="O121" i="32"/>
  <c r="N121" i="32"/>
  <c r="M121" i="32"/>
  <c r="L121" i="32"/>
  <c r="K121" i="32"/>
  <c r="Q120" i="32"/>
  <c r="P120" i="32"/>
  <c r="O120" i="32"/>
  <c r="N120" i="32"/>
  <c r="M120" i="32"/>
  <c r="L120" i="32"/>
  <c r="K120" i="32"/>
  <c r="Q119" i="32"/>
  <c r="P119" i="32"/>
  <c r="O119" i="32"/>
  <c r="N119" i="32"/>
  <c r="M119" i="32"/>
  <c r="L119" i="32"/>
  <c r="K119" i="32"/>
  <c r="Q118" i="32"/>
  <c r="P118" i="32"/>
  <c r="O118" i="32"/>
  <c r="N118" i="32"/>
  <c r="M118" i="32"/>
  <c r="L118" i="32"/>
  <c r="K118" i="32"/>
  <c r="Q117" i="32"/>
  <c r="P117" i="32"/>
  <c r="O117" i="32"/>
  <c r="N117" i="32"/>
  <c r="M117" i="32"/>
  <c r="L117" i="32"/>
  <c r="K117" i="32"/>
  <c r="Q116" i="32"/>
  <c r="P116" i="32"/>
  <c r="O116" i="32"/>
  <c r="N116" i="32"/>
  <c r="M116" i="32"/>
  <c r="L116" i="32"/>
  <c r="K116" i="32"/>
  <c r="Q115" i="32"/>
  <c r="P115" i="32"/>
  <c r="O115" i="32"/>
  <c r="N115" i="32"/>
  <c r="M115" i="32"/>
  <c r="L115" i="32"/>
  <c r="K115" i="32"/>
  <c r="Q114" i="32"/>
  <c r="P114" i="32"/>
  <c r="O114" i="32"/>
  <c r="N114" i="32"/>
  <c r="M114" i="32"/>
  <c r="L114" i="32"/>
  <c r="K114" i="32"/>
  <c r="Q113" i="32"/>
  <c r="P113" i="32"/>
  <c r="O113" i="32"/>
  <c r="N113" i="32"/>
  <c r="M113" i="32"/>
  <c r="L113" i="32"/>
  <c r="K113" i="32"/>
  <c r="Q112" i="32"/>
  <c r="P112" i="32"/>
  <c r="O112" i="32"/>
  <c r="N112" i="32"/>
  <c r="M112" i="32"/>
  <c r="L112" i="32"/>
  <c r="K112" i="32"/>
  <c r="Q111" i="32"/>
  <c r="P111" i="32"/>
  <c r="O111" i="32"/>
  <c r="N111" i="32"/>
  <c r="M111" i="32"/>
  <c r="L111" i="32"/>
  <c r="K111" i="32"/>
  <c r="Q110" i="32"/>
  <c r="P110" i="32"/>
  <c r="O110" i="32"/>
  <c r="N110" i="32"/>
  <c r="M110" i="32"/>
  <c r="L110" i="32"/>
  <c r="K110" i="32"/>
  <c r="Q109" i="32"/>
  <c r="P109" i="32"/>
  <c r="O109" i="32"/>
  <c r="N109" i="32"/>
  <c r="M109" i="32"/>
  <c r="L109" i="32"/>
  <c r="K109" i="32"/>
  <c r="Q108" i="32"/>
  <c r="P108" i="32"/>
  <c r="O108" i="32"/>
  <c r="N108" i="32"/>
  <c r="M108" i="32"/>
  <c r="L108" i="32"/>
  <c r="K108" i="32"/>
  <c r="Q107" i="32"/>
  <c r="P107" i="32"/>
  <c r="O107" i="32"/>
  <c r="N107" i="32"/>
  <c r="M107" i="32"/>
  <c r="L107" i="32"/>
  <c r="K107" i="32"/>
  <c r="Q106" i="32"/>
  <c r="P106" i="32"/>
  <c r="O106" i="32"/>
  <c r="N106" i="32"/>
  <c r="M106" i="32"/>
  <c r="L106" i="32"/>
  <c r="K106" i="32"/>
  <c r="Q105" i="32"/>
  <c r="P105" i="32"/>
  <c r="O105" i="32"/>
  <c r="N105" i="32"/>
  <c r="M105" i="32"/>
  <c r="L105" i="32"/>
  <c r="K105" i="32"/>
  <c r="Q104" i="32"/>
  <c r="P104" i="32"/>
  <c r="O104" i="32"/>
  <c r="N104" i="32"/>
  <c r="M104" i="32"/>
  <c r="L104" i="32"/>
  <c r="K104" i="32"/>
  <c r="Q103" i="32"/>
  <c r="P103" i="32"/>
  <c r="O103" i="32"/>
  <c r="N103" i="32"/>
  <c r="M103" i="32"/>
  <c r="L103" i="32"/>
  <c r="K103" i="32"/>
  <c r="Q102" i="32"/>
  <c r="P102" i="32"/>
  <c r="O102" i="32"/>
  <c r="N102" i="32"/>
  <c r="M102" i="32"/>
  <c r="L102" i="32"/>
  <c r="K102" i="32"/>
  <c r="Q101" i="32"/>
  <c r="P101" i="32"/>
  <c r="O101" i="32"/>
  <c r="N101" i="32"/>
  <c r="M101" i="32"/>
  <c r="L101" i="32"/>
  <c r="K101" i="32"/>
  <c r="Q100" i="32"/>
  <c r="P100" i="32"/>
  <c r="O100" i="32"/>
  <c r="N100" i="32"/>
  <c r="M100" i="32"/>
  <c r="L100" i="32"/>
  <c r="K100" i="32"/>
  <c r="Q99" i="32"/>
  <c r="P99" i="32"/>
  <c r="O99" i="32"/>
  <c r="N99" i="32"/>
  <c r="M99" i="32"/>
  <c r="L99" i="32"/>
  <c r="K99" i="32"/>
  <c r="Q98" i="32"/>
  <c r="P98" i="32"/>
  <c r="O98" i="32"/>
  <c r="N98" i="32"/>
  <c r="M98" i="32"/>
  <c r="L98" i="32"/>
  <c r="K98" i="32"/>
  <c r="Q97" i="32"/>
  <c r="P97" i="32"/>
  <c r="O97" i="32"/>
  <c r="N97" i="32"/>
  <c r="M97" i="32"/>
  <c r="L97" i="32"/>
  <c r="K97" i="32"/>
  <c r="Q96" i="32"/>
  <c r="P96" i="32"/>
  <c r="O96" i="32"/>
  <c r="N96" i="32"/>
  <c r="M96" i="32"/>
  <c r="L96" i="32"/>
  <c r="K96" i="32"/>
  <c r="Q95" i="32"/>
  <c r="P95" i="32"/>
  <c r="O95" i="32"/>
  <c r="N95" i="32"/>
  <c r="M95" i="32"/>
  <c r="L95" i="32"/>
  <c r="K95" i="32"/>
  <c r="Q94" i="32"/>
  <c r="P94" i="32"/>
  <c r="O94" i="32"/>
  <c r="N94" i="32"/>
  <c r="M94" i="32"/>
  <c r="L94" i="32"/>
  <c r="K94" i="32"/>
  <c r="Q93" i="32"/>
  <c r="P93" i="32"/>
  <c r="O93" i="32"/>
  <c r="N93" i="32"/>
  <c r="M93" i="32"/>
  <c r="L93" i="32"/>
  <c r="K93" i="32"/>
  <c r="Q92" i="32"/>
  <c r="P92" i="32"/>
  <c r="O92" i="32"/>
  <c r="N92" i="32"/>
  <c r="M92" i="32"/>
  <c r="L92" i="32"/>
  <c r="K92" i="32"/>
  <c r="Q91" i="32"/>
  <c r="P91" i="32"/>
  <c r="O91" i="32"/>
  <c r="N91" i="32"/>
  <c r="M91" i="32"/>
  <c r="L91" i="32"/>
  <c r="K91" i="32"/>
  <c r="Q90" i="32"/>
  <c r="P90" i="32"/>
  <c r="O90" i="32"/>
  <c r="N90" i="32"/>
  <c r="M90" i="32"/>
  <c r="L90" i="32"/>
  <c r="K90" i="32"/>
  <c r="Q89" i="32"/>
  <c r="P89" i="32"/>
  <c r="O89" i="32"/>
  <c r="N89" i="32"/>
  <c r="M89" i="32"/>
  <c r="L89" i="32"/>
  <c r="K89" i="32"/>
  <c r="Q88" i="32"/>
  <c r="P88" i="32"/>
  <c r="O88" i="32"/>
  <c r="N88" i="32"/>
  <c r="M88" i="32"/>
  <c r="L88" i="32"/>
  <c r="K88" i="32"/>
  <c r="Q87" i="32"/>
  <c r="P87" i="32"/>
  <c r="O87" i="32"/>
  <c r="N87" i="32"/>
  <c r="M87" i="32"/>
  <c r="L87" i="32"/>
  <c r="K87" i="32"/>
  <c r="Q86" i="32"/>
  <c r="P86" i="32"/>
  <c r="O86" i="32"/>
  <c r="N86" i="32"/>
  <c r="M86" i="32"/>
  <c r="L86" i="32"/>
  <c r="K86" i="32"/>
  <c r="Q85" i="32"/>
  <c r="P85" i="32"/>
  <c r="O85" i="32"/>
  <c r="N85" i="32"/>
  <c r="M85" i="32"/>
  <c r="L85" i="32"/>
  <c r="K85" i="32"/>
  <c r="Q84" i="32"/>
  <c r="P84" i="32"/>
  <c r="O84" i="32"/>
  <c r="N84" i="32"/>
  <c r="M84" i="32"/>
  <c r="L84" i="32"/>
  <c r="K84" i="32"/>
  <c r="Q83" i="32"/>
  <c r="P83" i="32"/>
  <c r="O83" i="32"/>
  <c r="N83" i="32"/>
  <c r="M83" i="32"/>
  <c r="L83" i="32"/>
  <c r="K83" i="32"/>
  <c r="Q82" i="32"/>
  <c r="P82" i="32"/>
  <c r="O82" i="32"/>
  <c r="N82" i="32"/>
  <c r="M82" i="32"/>
  <c r="L82" i="32"/>
  <c r="K82" i="32"/>
  <c r="Q81" i="32"/>
  <c r="P81" i="32"/>
  <c r="O81" i="32"/>
  <c r="N81" i="32"/>
  <c r="M81" i="32"/>
  <c r="L81" i="32"/>
  <c r="K81" i="32"/>
  <c r="Q80" i="32"/>
  <c r="P80" i="32"/>
  <c r="O80" i="32"/>
  <c r="N80" i="32"/>
  <c r="M80" i="32"/>
  <c r="L80" i="32"/>
  <c r="K80" i="32"/>
  <c r="Q79" i="32"/>
  <c r="P79" i="32"/>
  <c r="O79" i="32"/>
  <c r="N79" i="32"/>
  <c r="M79" i="32"/>
  <c r="L79" i="32"/>
  <c r="K79" i="32"/>
  <c r="Q78" i="32"/>
  <c r="P78" i="32"/>
  <c r="O78" i="32"/>
  <c r="N78" i="32"/>
  <c r="M78" i="32"/>
  <c r="L78" i="32"/>
  <c r="K78" i="32"/>
  <c r="Q77" i="32"/>
  <c r="P77" i="32"/>
  <c r="O77" i="32"/>
  <c r="N77" i="32"/>
  <c r="M77" i="32"/>
  <c r="L77" i="32"/>
  <c r="K77" i="32"/>
  <c r="Q76" i="32"/>
  <c r="P76" i="32"/>
  <c r="O76" i="32"/>
  <c r="N76" i="32"/>
  <c r="M76" i="32"/>
  <c r="L76" i="32"/>
  <c r="K76" i="32"/>
  <c r="Q75" i="32"/>
  <c r="P75" i="32"/>
  <c r="O75" i="32"/>
  <c r="N75" i="32"/>
  <c r="M75" i="32"/>
  <c r="L75" i="32"/>
  <c r="K75" i="32"/>
  <c r="Q74" i="32"/>
  <c r="P74" i="32"/>
  <c r="O74" i="32"/>
  <c r="N74" i="32"/>
  <c r="M74" i="32"/>
  <c r="L74" i="32"/>
  <c r="K74" i="32"/>
  <c r="Q73" i="32"/>
  <c r="P73" i="32"/>
  <c r="O73" i="32"/>
  <c r="N73" i="32"/>
  <c r="M73" i="32"/>
  <c r="L73" i="32"/>
  <c r="K73" i="32"/>
  <c r="Q72" i="32"/>
  <c r="P72" i="32"/>
  <c r="O72" i="32"/>
  <c r="N72" i="32"/>
  <c r="M72" i="32"/>
  <c r="L72" i="32"/>
  <c r="K72" i="32"/>
  <c r="Q71" i="32"/>
  <c r="P71" i="32"/>
  <c r="O71" i="32"/>
  <c r="N71" i="32"/>
  <c r="M71" i="32"/>
  <c r="L71" i="32"/>
  <c r="K71" i="32"/>
  <c r="Q70" i="32"/>
  <c r="P70" i="32"/>
  <c r="O70" i="32"/>
  <c r="N70" i="32"/>
  <c r="M70" i="32"/>
  <c r="L70" i="32"/>
  <c r="K70" i="32"/>
  <c r="Q69" i="32"/>
  <c r="P69" i="32"/>
  <c r="O69" i="32"/>
  <c r="N69" i="32"/>
  <c r="M69" i="32"/>
  <c r="L69" i="32"/>
  <c r="K69" i="32"/>
  <c r="Q68" i="32"/>
  <c r="P68" i="32"/>
  <c r="O68" i="32"/>
  <c r="N68" i="32"/>
  <c r="M68" i="32"/>
  <c r="L68" i="32"/>
  <c r="K68" i="32"/>
  <c r="Q67" i="32"/>
  <c r="P67" i="32"/>
  <c r="O67" i="32"/>
  <c r="N67" i="32"/>
  <c r="M67" i="32"/>
  <c r="L67" i="32"/>
  <c r="K67" i="32"/>
  <c r="Q66" i="32"/>
  <c r="P66" i="32"/>
  <c r="O66" i="32"/>
  <c r="N66" i="32"/>
  <c r="M66" i="32"/>
  <c r="L66" i="32"/>
  <c r="K66" i="32"/>
  <c r="Q65" i="32"/>
  <c r="P65" i="32"/>
  <c r="O65" i="32"/>
  <c r="N65" i="32"/>
  <c r="M65" i="32"/>
  <c r="L65" i="32"/>
  <c r="K65" i="32"/>
  <c r="Q64" i="32"/>
  <c r="P64" i="32"/>
  <c r="O64" i="32"/>
  <c r="N64" i="32"/>
  <c r="M64" i="32"/>
  <c r="L64" i="32"/>
  <c r="K64" i="32"/>
  <c r="Q63" i="32"/>
  <c r="P63" i="32"/>
  <c r="O63" i="32"/>
  <c r="N63" i="32"/>
  <c r="M63" i="32"/>
  <c r="L63" i="32"/>
  <c r="K63" i="32"/>
  <c r="Q62" i="32"/>
  <c r="P62" i="32"/>
  <c r="O62" i="32"/>
  <c r="N62" i="32"/>
  <c r="M62" i="32"/>
  <c r="L62" i="32"/>
  <c r="K62" i="32"/>
  <c r="Q61" i="32"/>
  <c r="P61" i="32"/>
  <c r="O61" i="32"/>
  <c r="N61" i="32"/>
  <c r="M61" i="32"/>
  <c r="L61" i="32"/>
  <c r="K61" i="32"/>
  <c r="Q60" i="32"/>
  <c r="P60" i="32"/>
  <c r="O60" i="32"/>
  <c r="N60" i="32"/>
  <c r="M60" i="32"/>
  <c r="L60" i="32"/>
  <c r="K60" i="32"/>
  <c r="Q59" i="32"/>
  <c r="P59" i="32"/>
  <c r="O59" i="32"/>
  <c r="N59" i="32"/>
  <c r="M59" i="32"/>
  <c r="L59" i="32"/>
  <c r="K59" i="32"/>
  <c r="Q58" i="32"/>
  <c r="P58" i="32"/>
  <c r="O58" i="32"/>
  <c r="N58" i="32"/>
  <c r="M58" i="32"/>
  <c r="L58" i="32"/>
  <c r="K58" i="32"/>
  <c r="Q57" i="32"/>
  <c r="P57" i="32"/>
  <c r="O57" i="32"/>
  <c r="N57" i="32"/>
  <c r="M57" i="32"/>
  <c r="L57" i="32"/>
  <c r="K57" i="32"/>
  <c r="Q56" i="32"/>
  <c r="P56" i="32"/>
  <c r="O56" i="32"/>
  <c r="N56" i="32"/>
  <c r="M56" i="32"/>
  <c r="L56" i="32"/>
  <c r="K56" i="32"/>
  <c r="Q55" i="32"/>
  <c r="P55" i="32"/>
  <c r="O55" i="32"/>
  <c r="N55" i="32"/>
  <c r="M55" i="32"/>
  <c r="L55" i="32"/>
  <c r="K55" i="32"/>
  <c r="Q54" i="32"/>
  <c r="P54" i="32"/>
  <c r="O54" i="32"/>
  <c r="N54" i="32"/>
  <c r="M54" i="32"/>
  <c r="L54" i="32"/>
  <c r="K54" i="32"/>
  <c r="Q53" i="32"/>
  <c r="P53" i="32"/>
  <c r="O53" i="32"/>
  <c r="N53" i="32"/>
  <c r="M53" i="32"/>
  <c r="L53" i="32"/>
  <c r="K53" i="32"/>
  <c r="Q52" i="32"/>
  <c r="P52" i="32"/>
  <c r="O52" i="32"/>
  <c r="N52" i="32"/>
  <c r="M52" i="32"/>
  <c r="L52" i="32"/>
  <c r="K52" i="32"/>
  <c r="Q51" i="32"/>
  <c r="P51" i="32"/>
  <c r="O51" i="32"/>
  <c r="N51" i="32"/>
  <c r="M51" i="32"/>
  <c r="L51" i="32"/>
  <c r="K51" i="32"/>
  <c r="Q50" i="32"/>
  <c r="P50" i="32"/>
  <c r="O50" i="32"/>
  <c r="N50" i="32"/>
  <c r="M50" i="32"/>
  <c r="L50" i="32"/>
  <c r="K50" i="32"/>
  <c r="Q49" i="32"/>
  <c r="P49" i="32"/>
  <c r="O49" i="32"/>
  <c r="N49" i="32"/>
  <c r="M49" i="32"/>
  <c r="L49" i="32"/>
  <c r="K49" i="32"/>
  <c r="Q48" i="32"/>
  <c r="P48" i="32"/>
  <c r="O48" i="32"/>
  <c r="N48" i="32"/>
  <c r="M48" i="32"/>
  <c r="L48" i="32"/>
  <c r="K48" i="32"/>
  <c r="Q47" i="32"/>
  <c r="P47" i="32"/>
  <c r="O47" i="32"/>
  <c r="N47" i="32"/>
  <c r="M47" i="32"/>
  <c r="L47" i="32"/>
  <c r="K47" i="32"/>
  <c r="Q46" i="32"/>
  <c r="P46" i="32"/>
  <c r="O46" i="32"/>
  <c r="N46" i="32"/>
  <c r="M46" i="32"/>
  <c r="L46" i="32"/>
  <c r="K46" i="32"/>
  <c r="Q45" i="32"/>
  <c r="P45" i="32"/>
  <c r="O45" i="32"/>
  <c r="N45" i="32"/>
  <c r="M45" i="32"/>
  <c r="L45" i="32"/>
  <c r="K45" i="32"/>
  <c r="Q44" i="32"/>
  <c r="P44" i="32"/>
  <c r="O44" i="32"/>
  <c r="N44" i="32"/>
  <c r="M44" i="32"/>
  <c r="L44" i="32"/>
  <c r="K44" i="32"/>
  <c r="Q43" i="32"/>
  <c r="P43" i="32"/>
  <c r="O43" i="32"/>
  <c r="N43" i="32"/>
  <c r="M43" i="32"/>
  <c r="L43" i="32"/>
  <c r="K43" i="32"/>
  <c r="Q42" i="32"/>
  <c r="P42" i="32"/>
  <c r="O42" i="32"/>
  <c r="N42" i="32"/>
  <c r="M42" i="32"/>
  <c r="L42" i="32"/>
  <c r="K42" i="32"/>
  <c r="Q41" i="32"/>
  <c r="P41" i="32"/>
  <c r="O41" i="32"/>
  <c r="N41" i="32"/>
  <c r="M41" i="32"/>
  <c r="L41" i="32"/>
  <c r="K41" i="32"/>
  <c r="Q40" i="32"/>
  <c r="P40" i="32"/>
  <c r="O40" i="32"/>
  <c r="N40" i="32"/>
  <c r="M40" i="32"/>
  <c r="L40" i="32"/>
  <c r="K40" i="32"/>
  <c r="Q39" i="32"/>
  <c r="P39" i="32"/>
  <c r="O39" i="32"/>
  <c r="N39" i="32"/>
  <c r="M39" i="32"/>
  <c r="L39" i="32"/>
  <c r="K39" i="32"/>
  <c r="Q38" i="32"/>
  <c r="P38" i="32"/>
  <c r="O38" i="32"/>
  <c r="N38" i="32"/>
  <c r="M38" i="32"/>
  <c r="L38" i="32"/>
  <c r="K38" i="32"/>
  <c r="Q37" i="32"/>
  <c r="P37" i="32"/>
  <c r="O37" i="32"/>
  <c r="N37" i="32"/>
  <c r="M37" i="32"/>
  <c r="L37" i="32"/>
  <c r="K37" i="32"/>
  <c r="Q36" i="32"/>
  <c r="P36" i="32"/>
  <c r="O36" i="32"/>
  <c r="N36" i="32"/>
  <c r="M36" i="32"/>
  <c r="L36" i="32"/>
  <c r="K36" i="32"/>
  <c r="Q35" i="32"/>
  <c r="P35" i="32"/>
  <c r="O35" i="32"/>
  <c r="N35" i="32"/>
  <c r="M35" i="32"/>
  <c r="L35" i="32"/>
  <c r="K35" i="32"/>
  <c r="Q34" i="32"/>
  <c r="P34" i="32"/>
  <c r="O34" i="32"/>
  <c r="N34" i="32"/>
  <c r="M34" i="32"/>
  <c r="L34" i="32"/>
  <c r="K34" i="32"/>
  <c r="Q33" i="32"/>
  <c r="P33" i="32"/>
  <c r="O33" i="32"/>
  <c r="N33" i="32"/>
  <c r="M33" i="32"/>
  <c r="L33" i="32"/>
  <c r="K33" i="32"/>
  <c r="Q32" i="32"/>
  <c r="P32" i="32"/>
  <c r="O32" i="32"/>
  <c r="N32" i="32"/>
  <c r="M32" i="32"/>
  <c r="L32" i="32"/>
  <c r="K32" i="32"/>
  <c r="Q31" i="32"/>
  <c r="P31" i="32"/>
  <c r="O31" i="32"/>
  <c r="N31" i="32"/>
  <c r="M31" i="32"/>
  <c r="L31" i="32"/>
  <c r="K31" i="32"/>
  <c r="Q30" i="32"/>
  <c r="P30" i="32"/>
  <c r="O30" i="32"/>
  <c r="N30" i="32"/>
  <c r="M30" i="32"/>
  <c r="L30" i="32"/>
  <c r="K30" i="32"/>
  <c r="Q29" i="32"/>
  <c r="P29" i="32"/>
  <c r="O29" i="32"/>
  <c r="N29" i="32"/>
  <c r="M29" i="32"/>
  <c r="L29" i="32"/>
  <c r="K29" i="32"/>
  <c r="Q28" i="32"/>
  <c r="P28" i="32"/>
  <c r="O28" i="32"/>
  <c r="N28" i="32"/>
  <c r="M28" i="32"/>
  <c r="L28" i="32"/>
  <c r="K28" i="32"/>
  <c r="Q27" i="32"/>
  <c r="P27" i="32"/>
  <c r="O27" i="32"/>
  <c r="N27" i="32"/>
  <c r="M27" i="32"/>
  <c r="L27" i="32"/>
  <c r="K27" i="32"/>
  <c r="Q26" i="32"/>
  <c r="P26" i="32"/>
  <c r="O26" i="32"/>
  <c r="N26" i="32"/>
  <c r="M26" i="32"/>
  <c r="L26" i="32"/>
  <c r="K26" i="32"/>
  <c r="Q25" i="32"/>
  <c r="P25" i="32"/>
  <c r="O25" i="32"/>
  <c r="N25" i="32"/>
  <c r="M25" i="32"/>
  <c r="L25" i="32"/>
  <c r="K25" i="32"/>
  <c r="Q24" i="32"/>
  <c r="P24" i="32"/>
  <c r="O24" i="32"/>
  <c r="N24" i="32"/>
  <c r="M24" i="32"/>
  <c r="L24" i="32"/>
  <c r="K24" i="32"/>
  <c r="Q23" i="32"/>
  <c r="P23" i="32"/>
  <c r="O23" i="32"/>
  <c r="N23" i="32"/>
  <c r="M23" i="32"/>
  <c r="L23" i="32"/>
  <c r="K23" i="32"/>
  <c r="Q22" i="32"/>
  <c r="P22" i="32"/>
  <c r="O22" i="32"/>
  <c r="N22" i="32"/>
  <c r="M22" i="32"/>
  <c r="L22" i="32"/>
  <c r="K22" i="32"/>
  <c r="Q21" i="32"/>
  <c r="P21" i="32"/>
  <c r="O21" i="32"/>
  <c r="N21" i="32"/>
  <c r="M21" i="32"/>
  <c r="L21" i="32"/>
  <c r="K21" i="32"/>
  <c r="Q20" i="32"/>
  <c r="P20" i="32"/>
  <c r="O20" i="32"/>
  <c r="N20" i="32"/>
  <c r="M20" i="32"/>
  <c r="L20" i="32"/>
  <c r="K20" i="32"/>
  <c r="Q19" i="32"/>
  <c r="P19" i="32"/>
  <c r="O19" i="32"/>
  <c r="N19" i="32"/>
  <c r="M19" i="32"/>
  <c r="L19" i="32"/>
  <c r="K19" i="32"/>
  <c r="Q18" i="32"/>
  <c r="P18" i="32"/>
  <c r="O18" i="32"/>
  <c r="N18" i="32"/>
  <c r="M18" i="32"/>
  <c r="L18" i="32"/>
  <c r="K18" i="32"/>
  <c r="Q17" i="32"/>
  <c r="P17" i="32"/>
  <c r="O17" i="32"/>
  <c r="N17" i="32"/>
  <c r="M17" i="32"/>
  <c r="L17" i="32"/>
  <c r="K17" i="32"/>
  <c r="Q16" i="32"/>
  <c r="P16" i="32"/>
  <c r="O16" i="32"/>
  <c r="N16" i="32"/>
  <c r="M16" i="32"/>
  <c r="L16" i="32"/>
  <c r="K16" i="32"/>
  <c r="Q15" i="32"/>
  <c r="P15" i="32"/>
  <c r="O15" i="32"/>
  <c r="N15" i="32"/>
  <c r="M15" i="32"/>
  <c r="L15" i="32"/>
  <c r="K15" i="32"/>
  <c r="Q14" i="32"/>
  <c r="P14" i="32"/>
  <c r="O14" i="32"/>
  <c r="N14" i="32"/>
  <c r="M14" i="32"/>
  <c r="L14" i="32"/>
  <c r="K14" i="32"/>
  <c r="A2" i="31"/>
  <c r="B27" i="1" s="1"/>
  <c r="Q203" i="31"/>
  <c r="P203" i="31"/>
  <c r="O203" i="31"/>
  <c r="N203" i="31"/>
  <c r="M203" i="31"/>
  <c r="L203" i="31"/>
  <c r="K203" i="31"/>
  <c r="Q202" i="31"/>
  <c r="P202" i="31"/>
  <c r="O202" i="31"/>
  <c r="N202" i="31"/>
  <c r="M202" i="31"/>
  <c r="L202" i="31"/>
  <c r="K202" i="31"/>
  <c r="Q201" i="31"/>
  <c r="P201" i="31"/>
  <c r="O201" i="31"/>
  <c r="N201" i="31"/>
  <c r="M201" i="31"/>
  <c r="L201" i="31"/>
  <c r="K201" i="31"/>
  <c r="Q200" i="31"/>
  <c r="P200" i="31"/>
  <c r="O200" i="31"/>
  <c r="N200" i="31"/>
  <c r="M200" i="31"/>
  <c r="L200" i="31"/>
  <c r="K200" i="31"/>
  <c r="Q199" i="31"/>
  <c r="P199" i="31"/>
  <c r="O199" i="31"/>
  <c r="N199" i="31"/>
  <c r="M199" i="31"/>
  <c r="L199" i="31"/>
  <c r="K199" i="31"/>
  <c r="Q198" i="31"/>
  <c r="P198" i="31"/>
  <c r="O198" i="31"/>
  <c r="N198" i="31"/>
  <c r="M198" i="31"/>
  <c r="L198" i="31"/>
  <c r="K198" i="31"/>
  <c r="Q197" i="31"/>
  <c r="P197" i="31"/>
  <c r="O197" i="31"/>
  <c r="N197" i="31"/>
  <c r="M197" i="31"/>
  <c r="L197" i="31"/>
  <c r="K197" i="31"/>
  <c r="Q196" i="31"/>
  <c r="P196" i="31"/>
  <c r="O196" i="31"/>
  <c r="N196" i="31"/>
  <c r="M196" i="31"/>
  <c r="L196" i="31"/>
  <c r="K196" i="31"/>
  <c r="Q195" i="31"/>
  <c r="P195" i="31"/>
  <c r="O195" i="31"/>
  <c r="N195" i="31"/>
  <c r="M195" i="31"/>
  <c r="L195" i="31"/>
  <c r="K195" i="31"/>
  <c r="Q194" i="31"/>
  <c r="P194" i="31"/>
  <c r="O194" i="31"/>
  <c r="N194" i="31"/>
  <c r="M194" i="31"/>
  <c r="L194" i="31"/>
  <c r="K194" i="31"/>
  <c r="Q193" i="31"/>
  <c r="P193" i="31"/>
  <c r="O193" i="31"/>
  <c r="N193" i="31"/>
  <c r="M193" i="31"/>
  <c r="L193" i="31"/>
  <c r="K193" i="31"/>
  <c r="Q192" i="31"/>
  <c r="P192" i="31"/>
  <c r="O192" i="31"/>
  <c r="N192" i="31"/>
  <c r="M192" i="31"/>
  <c r="L192" i="31"/>
  <c r="K192" i="31"/>
  <c r="Q191" i="31"/>
  <c r="P191" i="31"/>
  <c r="O191" i="31"/>
  <c r="N191" i="31"/>
  <c r="M191" i="31"/>
  <c r="L191" i="31"/>
  <c r="K191" i="31"/>
  <c r="Q190" i="31"/>
  <c r="P190" i="31"/>
  <c r="O190" i="31"/>
  <c r="N190" i="31"/>
  <c r="M190" i="31"/>
  <c r="L190" i="31"/>
  <c r="K190" i="31"/>
  <c r="Q189" i="31"/>
  <c r="P189" i="31"/>
  <c r="O189" i="31"/>
  <c r="N189" i="31"/>
  <c r="M189" i="31"/>
  <c r="L189" i="31"/>
  <c r="K189" i="31"/>
  <c r="Q188" i="31"/>
  <c r="P188" i="31"/>
  <c r="O188" i="31"/>
  <c r="N188" i="31"/>
  <c r="M188" i="31"/>
  <c r="L188" i="31"/>
  <c r="K188" i="31"/>
  <c r="Q187" i="31"/>
  <c r="P187" i="31"/>
  <c r="O187" i="31"/>
  <c r="N187" i="31"/>
  <c r="M187" i="31"/>
  <c r="L187" i="31"/>
  <c r="K187" i="31"/>
  <c r="Q186" i="31"/>
  <c r="P186" i="31"/>
  <c r="O186" i="31"/>
  <c r="N186" i="31"/>
  <c r="M186" i="31"/>
  <c r="L186" i="31"/>
  <c r="K186" i="31"/>
  <c r="Q185" i="31"/>
  <c r="P185" i="31"/>
  <c r="O185" i="31"/>
  <c r="N185" i="31"/>
  <c r="M185" i="31"/>
  <c r="L185" i="31"/>
  <c r="K185" i="31"/>
  <c r="Q184" i="31"/>
  <c r="P184" i="31"/>
  <c r="O184" i="31"/>
  <c r="N184" i="31"/>
  <c r="M184" i="31"/>
  <c r="L184" i="31"/>
  <c r="K184" i="31"/>
  <c r="Q183" i="31"/>
  <c r="P183" i="31"/>
  <c r="O183" i="31"/>
  <c r="N183" i="31"/>
  <c r="M183" i="31"/>
  <c r="L183" i="31"/>
  <c r="K183" i="31"/>
  <c r="Q182" i="31"/>
  <c r="P182" i="31"/>
  <c r="O182" i="31"/>
  <c r="N182" i="31"/>
  <c r="M182" i="31"/>
  <c r="L182" i="31"/>
  <c r="K182" i="31"/>
  <c r="Q181" i="31"/>
  <c r="P181" i="31"/>
  <c r="O181" i="31"/>
  <c r="N181" i="31"/>
  <c r="M181" i="31"/>
  <c r="L181" i="31"/>
  <c r="K181" i="31"/>
  <c r="Q180" i="31"/>
  <c r="P180" i="31"/>
  <c r="O180" i="31"/>
  <c r="N180" i="31"/>
  <c r="M180" i="31"/>
  <c r="L180" i="31"/>
  <c r="K180" i="31"/>
  <c r="Q179" i="31"/>
  <c r="P179" i="31"/>
  <c r="O179" i="31"/>
  <c r="N179" i="31"/>
  <c r="M179" i="31"/>
  <c r="L179" i="31"/>
  <c r="K179" i="31"/>
  <c r="Q178" i="31"/>
  <c r="P178" i="31"/>
  <c r="O178" i="31"/>
  <c r="N178" i="31"/>
  <c r="M178" i="31"/>
  <c r="L178" i="31"/>
  <c r="K178" i="31"/>
  <c r="Q177" i="31"/>
  <c r="P177" i="31"/>
  <c r="O177" i="31"/>
  <c r="N177" i="31"/>
  <c r="M177" i="31"/>
  <c r="L177" i="31"/>
  <c r="K177" i="31"/>
  <c r="Q176" i="31"/>
  <c r="P176" i="31"/>
  <c r="O176" i="31"/>
  <c r="N176" i="31"/>
  <c r="M176" i="31"/>
  <c r="L176" i="31"/>
  <c r="K176" i="31"/>
  <c r="Q175" i="31"/>
  <c r="P175" i="31"/>
  <c r="O175" i="31"/>
  <c r="N175" i="31"/>
  <c r="M175" i="31"/>
  <c r="L175" i="31"/>
  <c r="K175" i="31"/>
  <c r="Q174" i="31"/>
  <c r="P174" i="31"/>
  <c r="O174" i="31"/>
  <c r="N174" i="31"/>
  <c r="M174" i="31"/>
  <c r="L174" i="31"/>
  <c r="K174" i="31"/>
  <c r="Q173" i="31"/>
  <c r="P173" i="31"/>
  <c r="O173" i="31"/>
  <c r="N173" i="31"/>
  <c r="M173" i="31"/>
  <c r="L173" i="31"/>
  <c r="K173" i="31"/>
  <c r="Q172" i="31"/>
  <c r="P172" i="31"/>
  <c r="O172" i="31"/>
  <c r="N172" i="31"/>
  <c r="M172" i="31"/>
  <c r="L172" i="31"/>
  <c r="K172" i="31"/>
  <c r="Q171" i="31"/>
  <c r="P171" i="31"/>
  <c r="O171" i="31"/>
  <c r="N171" i="31"/>
  <c r="M171" i="31"/>
  <c r="L171" i="31"/>
  <c r="K171" i="31"/>
  <c r="Q170" i="31"/>
  <c r="P170" i="31"/>
  <c r="O170" i="31"/>
  <c r="N170" i="31"/>
  <c r="M170" i="31"/>
  <c r="L170" i="31"/>
  <c r="K170" i="31"/>
  <c r="Q169" i="31"/>
  <c r="P169" i="31"/>
  <c r="O169" i="31"/>
  <c r="N169" i="31"/>
  <c r="M169" i="31"/>
  <c r="L169" i="31"/>
  <c r="K169" i="31"/>
  <c r="Q168" i="31"/>
  <c r="P168" i="31"/>
  <c r="O168" i="31"/>
  <c r="N168" i="31"/>
  <c r="M168" i="31"/>
  <c r="L168" i="31"/>
  <c r="K168" i="31"/>
  <c r="Q167" i="31"/>
  <c r="P167" i="31"/>
  <c r="O167" i="31"/>
  <c r="N167" i="31"/>
  <c r="M167" i="31"/>
  <c r="L167" i="31"/>
  <c r="K167" i="31"/>
  <c r="Q166" i="31"/>
  <c r="P166" i="31"/>
  <c r="O166" i="31"/>
  <c r="N166" i="31"/>
  <c r="M166" i="31"/>
  <c r="L166" i="31"/>
  <c r="K166" i="31"/>
  <c r="Q165" i="31"/>
  <c r="P165" i="31"/>
  <c r="O165" i="31"/>
  <c r="N165" i="31"/>
  <c r="M165" i="31"/>
  <c r="L165" i="31"/>
  <c r="K165" i="31"/>
  <c r="Q164" i="31"/>
  <c r="P164" i="31"/>
  <c r="O164" i="31"/>
  <c r="N164" i="31"/>
  <c r="M164" i="31"/>
  <c r="L164" i="31"/>
  <c r="K164" i="31"/>
  <c r="Q163" i="31"/>
  <c r="P163" i="31"/>
  <c r="O163" i="31"/>
  <c r="N163" i="31"/>
  <c r="M163" i="31"/>
  <c r="L163" i="31"/>
  <c r="K163" i="31"/>
  <c r="Q162" i="31"/>
  <c r="P162" i="31"/>
  <c r="O162" i="31"/>
  <c r="N162" i="31"/>
  <c r="M162" i="31"/>
  <c r="L162" i="31"/>
  <c r="K162" i="31"/>
  <c r="Q161" i="31"/>
  <c r="P161" i="31"/>
  <c r="O161" i="31"/>
  <c r="N161" i="31"/>
  <c r="M161" i="31"/>
  <c r="L161" i="31"/>
  <c r="K161" i="31"/>
  <c r="Q160" i="31"/>
  <c r="P160" i="31"/>
  <c r="O160" i="31"/>
  <c r="N160" i="31"/>
  <c r="M160" i="31"/>
  <c r="L160" i="31"/>
  <c r="K160" i="31"/>
  <c r="Q159" i="31"/>
  <c r="P159" i="31"/>
  <c r="O159" i="31"/>
  <c r="N159" i="31"/>
  <c r="M159" i="31"/>
  <c r="L159" i="31"/>
  <c r="K159" i="31"/>
  <c r="Q158" i="31"/>
  <c r="P158" i="31"/>
  <c r="O158" i="31"/>
  <c r="N158" i="31"/>
  <c r="M158" i="31"/>
  <c r="L158" i="31"/>
  <c r="K158" i="31"/>
  <c r="Q157" i="31"/>
  <c r="P157" i="31"/>
  <c r="O157" i="31"/>
  <c r="N157" i="31"/>
  <c r="M157" i="31"/>
  <c r="L157" i="31"/>
  <c r="K157" i="31"/>
  <c r="Q156" i="31"/>
  <c r="P156" i="31"/>
  <c r="O156" i="31"/>
  <c r="N156" i="31"/>
  <c r="M156" i="31"/>
  <c r="L156" i="31"/>
  <c r="K156" i="31"/>
  <c r="Q155" i="31"/>
  <c r="P155" i="31"/>
  <c r="O155" i="31"/>
  <c r="N155" i="31"/>
  <c r="M155" i="31"/>
  <c r="L155" i="31"/>
  <c r="K155" i="31"/>
  <c r="Q154" i="31"/>
  <c r="P154" i="31"/>
  <c r="O154" i="31"/>
  <c r="N154" i="31"/>
  <c r="M154" i="31"/>
  <c r="L154" i="31"/>
  <c r="K154" i="31"/>
  <c r="Q153" i="31"/>
  <c r="P153" i="31"/>
  <c r="O153" i="31"/>
  <c r="N153" i="31"/>
  <c r="M153" i="31"/>
  <c r="L153" i="31"/>
  <c r="K153" i="31"/>
  <c r="Q152" i="31"/>
  <c r="P152" i="31"/>
  <c r="O152" i="31"/>
  <c r="N152" i="31"/>
  <c r="M152" i="31"/>
  <c r="L152" i="31"/>
  <c r="K152" i="31"/>
  <c r="Q151" i="31"/>
  <c r="P151" i="31"/>
  <c r="O151" i="31"/>
  <c r="N151" i="31"/>
  <c r="M151" i="31"/>
  <c r="L151" i="31"/>
  <c r="K151" i="31"/>
  <c r="Q150" i="31"/>
  <c r="P150" i="31"/>
  <c r="O150" i="31"/>
  <c r="N150" i="31"/>
  <c r="M150" i="31"/>
  <c r="L150" i="31"/>
  <c r="K150" i="31"/>
  <c r="Q149" i="31"/>
  <c r="P149" i="31"/>
  <c r="O149" i="31"/>
  <c r="N149" i="31"/>
  <c r="M149" i="31"/>
  <c r="L149" i="31"/>
  <c r="K149" i="31"/>
  <c r="Q148" i="31"/>
  <c r="P148" i="31"/>
  <c r="O148" i="31"/>
  <c r="N148" i="31"/>
  <c r="M148" i="31"/>
  <c r="L148" i="31"/>
  <c r="K148" i="31"/>
  <c r="Q147" i="31"/>
  <c r="P147" i="31"/>
  <c r="O147" i="31"/>
  <c r="N147" i="31"/>
  <c r="M147" i="31"/>
  <c r="L147" i="31"/>
  <c r="K147" i="31"/>
  <c r="Q146" i="31"/>
  <c r="P146" i="31"/>
  <c r="O146" i="31"/>
  <c r="N146" i="31"/>
  <c r="M146" i="31"/>
  <c r="L146" i="31"/>
  <c r="K146" i="31"/>
  <c r="Q145" i="31"/>
  <c r="P145" i="31"/>
  <c r="O145" i="31"/>
  <c r="N145" i="31"/>
  <c r="M145" i="31"/>
  <c r="L145" i="31"/>
  <c r="K145" i="31"/>
  <c r="Q144" i="31"/>
  <c r="P144" i="31"/>
  <c r="O144" i="31"/>
  <c r="N144" i="31"/>
  <c r="M144" i="31"/>
  <c r="L144" i="31"/>
  <c r="K144" i="31"/>
  <c r="Q143" i="31"/>
  <c r="P143" i="31"/>
  <c r="O143" i="31"/>
  <c r="N143" i="31"/>
  <c r="M143" i="31"/>
  <c r="L143" i="31"/>
  <c r="K143" i="31"/>
  <c r="Q142" i="31"/>
  <c r="P142" i="31"/>
  <c r="O142" i="31"/>
  <c r="N142" i="31"/>
  <c r="M142" i="31"/>
  <c r="L142" i="31"/>
  <c r="K142" i="31"/>
  <c r="Q141" i="31"/>
  <c r="P141" i="31"/>
  <c r="O141" i="31"/>
  <c r="N141" i="31"/>
  <c r="M141" i="31"/>
  <c r="L141" i="31"/>
  <c r="K141" i="31"/>
  <c r="Q140" i="31"/>
  <c r="P140" i="31"/>
  <c r="O140" i="31"/>
  <c r="N140" i="31"/>
  <c r="M140" i="31"/>
  <c r="L140" i="31"/>
  <c r="K140" i="31"/>
  <c r="Q139" i="31"/>
  <c r="P139" i="31"/>
  <c r="O139" i="31"/>
  <c r="N139" i="31"/>
  <c r="M139" i="31"/>
  <c r="L139" i="31"/>
  <c r="K139" i="31"/>
  <c r="Q138" i="31"/>
  <c r="P138" i="31"/>
  <c r="O138" i="31"/>
  <c r="N138" i="31"/>
  <c r="M138" i="31"/>
  <c r="L138" i="31"/>
  <c r="K138" i="31"/>
  <c r="Q137" i="31"/>
  <c r="P137" i="31"/>
  <c r="O137" i="31"/>
  <c r="N137" i="31"/>
  <c r="M137" i="31"/>
  <c r="L137" i="31"/>
  <c r="K137" i="31"/>
  <c r="Q136" i="31"/>
  <c r="P136" i="31"/>
  <c r="O136" i="31"/>
  <c r="N136" i="31"/>
  <c r="M136" i="31"/>
  <c r="L136" i="31"/>
  <c r="K136" i="31"/>
  <c r="Q135" i="31"/>
  <c r="P135" i="31"/>
  <c r="O135" i="31"/>
  <c r="N135" i="31"/>
  <c r="M135" i="31"/>
  <c r="L135" i="31"/>
  <c r="K135" i="31"/>
  <c r="Q134" i="31"/>
  <c r="P134" i="31"/>
  <c r="O134" i="31"/>
  <c r="N134" i="31"/>
  <c r="M134" i="31"/>
  <c r="L134" i="31"/>
  <c r="K134" i="31"/>
  <c r="Q133" i="31"/>
  <c r="P133" i="31"/>
  <c r="O133" i="31"/>
  <c r="N133" i="31"/>
  <c r="M133" i="31"/>
  <c r="L133" i="31"/>
  <c r="K133" i="31"/>
  <c r="Q132" i="31"/>
  <c r="P132" i="31"/>
  <c r="O132" i="31"/>
  <c r="N132" i="31"/>
  <c r="M132" i="31"/>
  <c r="L132" i="31"/>
  <c r="K132" i="31"/>
  <c r="Q131" i="31"/>
  <c r="P131" i="31"/>
  <c r="O131" i="31"/>
  <c r="N131" i="31"/>
  <c r="M131" i="31"/>
  <c r="L131" i="31"/>
  <c r="K131" i="31"/>
  <c r="Q130" i="31"/>
  <c r="P130" i="31"/>
  <c r="O130" i="31"/>
  <c r="N130" i="31"/>
  <c r="M130" i="31"/>
  <c r="L130" i="31"/>
  <c r="K130" i="31"/>
  <c r="Q129" i="31"/>
  <c r="P129" i="31"/>
  <c r="O129" i="31"/>
  <c r="N129" i="31"/>
  <c r="M129" i="31"/>
  <c r="L129" i="31"/>
  <c r="K129" i="31"/>
  <c r="Q128" i="31"/>
  <c r="P128" i="31"/>
  <c r="O128" i="31"/>
  <c r="N128" i="31"/>
  <c r="M128" i="31"/>
  <c r="L128" i="31"/>
  <c r="K128" i="31"/>
  <c r="Q127" i="31"/>
  <c r="P127" i="31"/>
  <c r="O127" i="31"/>
  <c r="N127" i="31"/>
  <c r="M127" i="31"/>
  <c r="L127" i="31"/>
  <c r="K127" i="31"/>
  <c r="Q126" i="31"/>
  <c r="P126" i="31"/>
  <c r="O126" i="31"/>
  <c r="N126" i="31"/>
  <c r="M126" i="31"/>
  <c r="L126" i="31"/>
  <c r="K126" i="31"/>
  <c r="Q125" i="31"/>
  <c r="P125" i="31"/>
  <c r="O125" i="31"/>
  <c r="N125" i="31"/>
  <c r="M125" i="31"/>
  <c r="L125" i="31"/>
  <c r="K125" i="31"/>
  <c r="Q124" i="31"/>
  <c r="P124" i="31"/>
  <c r="O124" i="31"/>
  <c r="N124" i="31"/>
  <c r="M124" i="31"/>
  <c r="L124" i="31"/>
  <c r="K124" i="31"/>
  <c r="Q123" i="31"/>
  <c r="P123" i="31"/>
  <c r="O123" i="31"/>
  <c r="N123" i="31"/>
  <c r="M123" i="31"/>
  <c r="L123" i="31"/>
  <c r="K123" i="31"/>
  <c r="Q122" i="31"/>
  <c r="P122" i="31"/>
  <c r="O122" i="31"/>
  <c r="N122" i="31"/>
  <c r="M122" i="31"/>
  <c r="L122" i="31"/>
  <c r="K122" i="31"/>
  <c r="Q121" i="31"/>
  <c r="P121" i="31"/>
  <c r="O121" i="31"/>
  <c r="N121" i="31"/>
  <c r="M121" i="31"/>
  <c r="L121" i="31"/>
  <c r="K121" i="31"/>
  <c r="Q120" i="31"/>
  <c r="P120" i="31"/>
  <c r="O120" i="31"/>
  <c r="N120" i="31"/>
  <c r="M120" i="31"/>
  <c r="L120" i="31"/>
  <c r="K120" i="31"/>
  <c r="Q119" i="31"/>
  <c r="P119" i="31"/>
  <c r="O119" i="31"/>
  <c r="N119" i="31"/>
  <c r="M119" i="31"/>
  <c r="L119" i="31"/>
  <c r="K119" i="31"/>
  <c r="Q118" i="31"/>
  <c r="P118" i="31"/>
  <c r="O118" i="31"/>
  <c r="N118" i="31"/>
  <c r="M118" i="31"/>
  <c r="L118" i="31"/>
  <c r="K118" i="31"/>
  <c r="Q117" i="31"/>
  <c r="P117" i="31"/>
  <c r="O117" i="31"/>
  <c r="N117" i="31"/>
  <c r="M117" i="31"/>
  <c r="L117" i="31"/>
  <c r="K117" i="31"/>
  <c r="Q116" i="31"/>
  <c r="P116" i="31"/>
  <c r="O116" i="31"/>
  <c r="N116" i="31"/>
  <c r="M116" i="31"/>
  <c r="L116" i="31"/>
  <c r="K116" i="31"/>
  <c r="Q115" i="31"/>
  <c r="P115" i="31"/>
  <c r="O115" i="31"/>
  <c r="N115" i="31"/>
  <c r="M115" i="31"/>
  <c r="L115" i="31"/>
  <c r="K115" i="31"/>
  <c r="Q114" i="31"/>
  <c r="P114" i="31"/>
  <c r="O114" i="31"/>
  <c r="N114" i="31"/>
  <c r="M114" i="31"/>
  <c r="L114" i="31"/>
  <c r="K114" i="31"/>
  <c r="Q113" i="31"/>
  <c r="P113" i="31"/>
  <c r="O113" i="31"/>
  <c r="N113" i="31"/>
  <c r="M113" i="31"/>
  <c r="L113" i="31"/>
  <c r="K113" i="31"/>
  <c r="Q112" i="31"/>
  <c r="P112" i="31"/>
  <c r="O112" i="31"/>
  <c r="N112" i="31"/>
  <c r="M112" i="31"/>
  <c r="L112" i="31"/>
  <c r="K112" i="31"/>
  <c r="Q111" i="31"/>
  <c r="P111" i="31"/>
  <c r="O111" i="31"/>
  <c r="N111" i="31"/>
  <c r="M111" i="31"/>
  <c r="L111" i="31"/>
  <c r="K111" i="31"/>
  <c r="Q110" i="31"/>
  <c r="P110" i="31"/>
  <c r="O110" i="31"/>
  <c r="N110" i="31"/>
  <c r="M110" i="31"/>
  <c r="L110" i="31"/>
  <c r="K110" i="31"/>
  <c r="Q109" i="31"/>
  <c r="P109" i="31"/>
  <c r="O109" i="31"/>
  <c r="N109" i="31"/>
  <c r="M109" i="31"/>
  <c r="L109" i="31"/>
  <c r="K109" i="31"/>
  <c r="Q108" i="31"/>
  <c r="P108" i="31"/>
  <c r="O108" i="31"/>
  <c r="N108" i="31"/>
  <c r="M108" i="31"/>
  <c r="L108" i="31"/>
  <c r="K108" i="31"/>
  <c r="Q107" i="31"/>
  <c r="P107" i="31"/>
  <c r="O107" i="31"/>
  <c r="N107" i="31"/>
  <c r="M107" i="31"/>
  <c r="L107" i="31"/>
  <c r="K107" i="31"/>
  <c r="Q106" i="31"/>
  <c r="P106" i="31"/>
  <c r="O106" i="31"/>
  <c r="N106" i="31"/>
  <c r="M106" i="31"/>
  <c r="L106" i="31"/>
  <c r="K106" i="31"/>
  <c r="Q105" i="31"/>
  <c r="P105" i="31"/>
  <c r="O105" i="31"/>
  <c r="N105" i="31"/>
  <c r="M105" i="31"/>
  <c r="L105" i="31"/>
  <c r="K105" i="31"/>
  <c r="Q104" i="31"/>
  <c r="P104" i="31"/>
  <c r="O104" i="31"/>
  <c r="N104" i="31"/>
  <c r="M104" i="31"/>
  <c r="L104" i="31"/>
  <c r="K104" i="31"/>
  <c r="Q103" i="31"/>
  <c r="P103" i="31"/>
  <c r="O103" i="31"/>
  <c r="N103" i="31"/>
  <c r="M103" i="31"/>
  <c r="L103" i="31"/>
  <c r="K103" i="31"/>
  <c r="Q102" i="31"/>
  <c r="P102" i="31"/>
  <c r="O102" i="31"/>
  <c r="N102" i="31"/>
  <c r="M102" i="31"/>
  <c r="L102" i="31"/>
  <c r="K102" i="31"/>
  <c r="Q101" i="31"/>
  <c r="P101" i="31"/>
  <c r="O101" i="31"/>
  <c r="N101" i="31"/>
  <c r="M101" i="31"/>
  <c r="L101" i="31"/>
  <c r="K101" i="31"/>
  <c r="Q100" i="31"/>
  <c r="P100" i="31"/>
  <c r="O100" i="31"/>
  <c r="N100" i="31"/>
  <c r="M100" i="31"/>
  <c r="L100" i="31"/>
  <c r="K100" i="31"/>
  <c r="Q99" i="31"/>
  <c r="P99" i="31"/>
  <c r="O99" i="31"/>
  <c r="N99" i="31"/>
  <c r="M99" i="31"/>
  <c r="L99" i="31"/>
  <c r="K99" i="31"/>
  <c r="Q98" i="31"/>
  <c r="P98" i="31"/>
  <c r="O98" i="31"/>
  <c r="N98" i="31"/>
  <c r="M98" i="31"/>
  <c r="L98" i="31"/>
  <c r="K98" i="31"/>
  <c r="Q97" i="31"/>
  <c r="P97" i="31"/>
  <c r="O97" i="31"/>
  <c r="N97" i="31"/>
  <c r="M97" i="31"/>
  <c r="L97" i="31"/>
  <c r="K97" i="31"/>
  <c r="Q96" i="31"/>
  <c r="P96" i="31"/>
  <c r="O96" i="31"/>
  <c r="N96" i="31"/>
  <c r="M96" i="31"/>
  <c r="L96" i="31"/>
  <c r="K96" i="31"/>
  <c r="Q95" i="31"/>
  <c r="P95" i="31"/>
  <c r="O95" i="31"/>
  <c r="N95" i="31"/>
  <c r="M95" i="31"/>
  <c r="L95" i="31"/>
  <c r="K95" i="31"/>
  <c r="Q94" i="31"/>
  <c r="P94" i="31"/>
  <c r="O94" i="31"/>
  <c r="N94" i="31"/>
  <c r="M94" i="31"/>
  <c r="L94" i="31"/>
  <c r="K94" i="31"/>
  <c r="Q93" i="31"/>
  <c r="P93" i="31"/>
  <c r="O93" i="31"/>
  <c r="N93" i="31"/>
  <c r="M93" i="31"/>
  <c r="L93" i="31"/>
  <c r="K93" i="31"/>
  <c r="Q92" i="31"/>
  <c r="P92" i="31"/>
  <c r="O92" i="31"/>
  <c r="N92" i="31"/>
  <c r="M92" i="31"/>
  <c r="L92" i="31"/>
  <c r="K92" i="31"/>
  <c r="Q91" i="31"/>
  <c r="P91" i="31"/>
  <c r="O91" i="31"/>
  <c r="N91" i="31"/>
  <c r="M91" i="31"/>
  <c r="L91" i="31"/>
  <c r="K91" i="31"/>
  <c r="Q90" i="31"/>
  <c r="P90" i="31"/>
  <c r="O90" i="31"/>
  <c r="N90" i="31"/>
  <c r="M90" i="31"/>
  <c r="L90" i="31"/>
  <c r="K90" i="31"/>
  <c r="Q89" i="31"/>
  <c r="P89" i="31"/>
  <c r="O89" i="31"/>
  <c r="N89" i="31"/>
  <c r="M89" i="31"/>
  <c r="L89" i="31"/>
  <c r="K89" i="31"/>
  <c r="Q88" i="31"/>
  <c r="P88" i="31"/>
  <c r="O88" i="31"/>
  <c r="N88" i="31"/>
  <c r="M88" i="31"/>
  <c r="L88" i="31"/>
  <c r="K88" i="31"/>
  <c r="Q87" i="31"/>
  <c r="P87" i="31"/>
  <c r="O87" i="31"/>
  <c r="N87" i="31"/>
  <c r="M87" i="31"/>
  <c r="L87" i="31"/>
  <c r="K87" i="31"/>
  <c r="Q86" i="31"/>
  <c r="P86" i="31"/>
  <c r="O86" i="31"/>
  <c r="N86" i="31"/>
  <c r="M86" i="31"/>
  <c r="L86" i="31"/>
  <c r="K86" i="31"/>
  <c r="Q85" i="31"/>
  <c r="P85" i="31"/>
  <c r="O85" i="31"/>
  <c r="N85" i="31"/>
  <c r="M85" i="31"/>
  <c r="L85" i="31"/>
  <c r="K85" i="31"/>
  <c r="Q84" i="31"/>
  <c r="P84" i="31"/>
  <c r="O84" i="31"/>
  <c r="N84" i="31"/>
  <c r="M84" i="31"/>
  <c r="L84" i="31"/>
  <c r="K84" i="31"/>
  <c r="Q83" i="31"/>
  <c r="P83" i="31"/>
  <c r="O83" i="31"/>
  <c r="N83" i="31"/>
  <c r="M83" i="31"/>
  <c r="L83" i="31"/>
  <c r="K83" i="31"/>
  <c r="Q82" i="31"/>
  <c r="P82" i="31"/>
  <c r="O82" i="31"/>
  <c r="N82" i="31"/>
  <c r="M82" i="31"/>
  <c r="L82" i="31"/>
  <c r="K82" i="31"/>
  <c r="Q81" i="31"/>
  <c r="P81" i="31"/>
  <c r="O81" i="31"/>
  <c r="N81" i="31"/>
  <c r="M81" i="31"/>
  <c r="L81" i="31"/>
  <c r="K81" i="31"/>
  <c r="Q80" i="31"/>
  <c r="P80" i="31"/>
  <c r="O80" i="31"/>
  <c r="N80" i="31"/>
  <c r="M80" i="31"/>
  <c r="L80" i="31"/>
  <c r="K80" i="31"/>
  <c r="Q79" i="31"/>
  <c r="P79" i="31"/>
  <c r="O79" i="31"/>
  <c r="N79" i="31"/>
  <c r="M79" i="31"/>
  <c r="L79" i="31"/>
  <c r="K79" i="31"/>
  <c r="Q78" i="31"/>
  <c r="P78" i="31"/>
  <c r="O78" i="31"/>
  <c r="N78" i="31"/>
  <c r="M78" i="31"/>
  <c r="L78" i="31"/>
  <c r="K78" i="31"/>
  <c r="Q77" i="31"/>
  <c r="P77" i="31"/>
  <c r="O77" i="31"/>
  <c r="N77" i="31"/>
  <c r="M77" i="31"/>
  <c r="L77" i="31"/>
  <c r="K77" i="31"/>
  <c r="Q76" i="31"/>
  <c r="P76" i="31"/>
  <c r="O76" i="31"/>
  <c r="N76" i="31"/>
  <c r="M76" i="31"/>
  <c r="L76" i="31"/>
  <c r="K76" i="31"/>
  <c r="Q75" i="31"/>
  <c r="P75" i="31"/>
  <c r="O75" i="31"/>
  <c r="N75" i="31"/>
  <c r="M75" i="31"/>
  <c r="L75" i="31"/>
  <c r="K75" i="31"/>
  <c r="Q74" i="31"/>
  <c r="P74" i="31"/>
  <c r="O74" i="31"/>
  <c r="N74" i="31"/>
  <c r="M74" i="31"/>
  <c r="L74" i="31"/>
  <c r="K74" i="31"/>
  <c r="Q73" i="31"/>
  <c r="P73" i="31"/>
  <c r="O73" i="31"/>
  <c r="N73" i="31"/>
  <c r="M73" i="31"/>
  <c r="L73" i="31"/>
  <c r="K73" i="31"/>
  <c r="Q72" i="31"/>
  <c r="P72" i="31"/>
  <c r="O72" i="31"/>
  <c r="N72" i="31"/>
  <c r="M72" i="31"/>
  <c r="L72" i="31"/>
  <c r="K72" i="31"/>
  <c r="Q71" i="31"/>
  <c r="P71" i="31"/>
  <c r="O71" i="31"/>
  <c r="N71" i="31"/>
  <c r="M71" i="31"/>
  <c r="L71" i="31"/>
  <c r="K71" i="31"/>
  <c r="Q70" i="31"/>
  <c r="P70" i="31"/>
  <c r="O70" i="31"/>
  <c r="N70" i="31"/>
  <c r="M70" i="31"/>
  <c r="L70" i="31"/>
  <c r="K70" i="31"/>
  <c r="Q69" i="31"/>
  <c r="P69" i="31"/>
  <c r="O69" i="31"/>
  <c r="N69" i="31"/>
  <c r="M69" i="31"/>
  <c r="L69" i="31"/>
  <c r="K69" i="31"/>
  <c r="Q68" i="31"/>
  <c r="P68" i="31"/>
  <c r="O68" i="31"/>
  <c r="N68" i="31"/>
  <c r="M68" i="31"/>
  <c r="L68" i="31"/>
  <c r="K68" i="31"/>
  <c r="Q67" i="31"/>
  <c r="P67" i="31"/>
  <c r="O67" i="31"/>
  <c r="N67" i="31"/>
  <c r="M67" i="31"/>
  <c r="L67" i="31"/>
  <c r="K67" i="31"/>
  <c r="Q66" i="31"/>
  <c r="P66" i="31"/>
  <c r="O66" i="31"/>
  <c r="N66" i="31"/>
  <c r="M66" i="31"/>
  <c r="L66" i="31"/>
  <c r="K66" i="31"/>
  <c r="Q65" i="31"/>
  <c r="P65" i="31"/>
  <c r="O65" i="31"/>
  <c r="N65" i="31"/>
  <c r="M65" i="31"/>
  <c r="L65" i="31"/>
  <c r="K65" i="31"/>
  <c r="Q64" i="31"/>
  <c r="P64" i="31"/>
  <c r="O64" i="31"/>
  <c r="N64" i="31"/>
  <c r="M64" i="31"/>
  <c r="L64" i="31"/>
  <c r="K64" i="31"/>
  <c r="Q63" i="31"/>
  <c r="P63" i="31"/>
  <c r="O63" i="31"/>
  <c r="N63" i="31"/>
  <c r="M63" i="31"/>
  <c r="L63" i="31"/>
  <c r="K63" i="31"/>
  <c r="Q62" i="31"/>
  <c r="P62" i="31"/>
  <c r="O62" i="31"/>
  <c r="N62" i="31"/>
  <c r="M62" i="31"/>
  <c r="L62" i="31"/>
  <c r="K62" i="31"/>
  <c r="Q61" i="31"/>
  <c r="P61" i="31"/>
  <c r="O61" i="31"/>
  <c r="N61" i="31"/>
  <c r="M61" i="31"/>
  <c r="L61" i="31"/>
  <c r="K61" i="31"/>
  <c r="Q60" i="31"/>
  <c r="P60" i="31"/>
  <c r="O60" i="31"/>
  <c r="N60" i="31"/>
  <c r="M60" i="31"/>
  <c r="L60" i="31"/>
  <c r="K60" i="31"/>
  <c r="Q59" i="31"/>
  <c r="P59" i="31"/>
  <c r="O59" i="31"/>
  <c r="N59" i="31"/>
  <c r="M59" i="31"/>
  <c r="L59" i="31"/>
  <c r="K59" i="31"/>
  <c r="Q58" i="31"/>
  <c r="P58" i="31"/>
  <c r="O58" i="31"/>
  <c r="N58" i="31"/>
  <c r="M58" i="31"/>
  <c r="L58" i="31"/>
  <c r="K58" i="31"/>
  <c r="Q57" i="31"/>
  <c r="P57" i="31"/>
  <c r="O57" i="31"/>
  <c r="N57" i="31"/>
  <c r="M57" i="31"/>
  <c r="L57" i="31"/>
  <c r="K57" i="31"/>
  <c r="Q56" i="31"/>
  <c r="P56" i="31"/>
  <c r="O56" i="31"/>
  <c r="N56" i="31"/>
  <c r="M56" i="31"/>
  <c r="L56" i="31"/>
  <c r="K56" i="31"/>
  <c r="Q55" i="31"/>
  <c r="P55" i="31"/>
  <c r="O55" i="31"/>
  <c r="N55" i="31"/>
  <c r="M55" i="31"/>
  <c r="L55" i="31"/>
  <c r="K55" i="31"/>
  <c r="Q54" i="31"/>
  <c r="P54" i="31"/>
  <c r="O54" i="31"/>
  <c r="N54" i="31"/>
  <c r="M54" i="31"/>
  <c r="L54" i="31"/>
  <c r="K54" i="31"/>
  <c r="Q53" i="31"/>
  <c r="P53" i="31"/>
  <c r="O53" i="31"/>
  <c r="N53" i="31"/>
  <c r="M53" i="31"/>
  <c r="L53" i="31"/>
  <c r="K53" i="31"/>
  <c r="Q52" i="31"/>
  <c r="P52" i="31"/>
  <c r="O52" i="31"/>
  <c r="N52" i="31"/>
  <c r="M52" i="31"/>
  <c r="L52" i="31"/>
  <c r="K52" i="31"/>
  <c r="Q51" i="31"/>
  <c r="P51" i="31"/>
  <c r="O51" i="31"/>
  <c r="N51" i="31"/>
  <c r="M51" i="31"/>
  <c r="L51" i="31"/>
  <c r="K51" i="31"/>
  <c r="Q50" i="31"/>
  <c r="P50" i="31"/>
  <c r="O50" i="31"/>
  <c r="N50" i="31"/>
  <c r="M50" i="31"/>
  <c r="L50" i="31"/>
  <c r="K50" i="31"/>
  <c r="Q49" i="31"/>
  <c r="P49" i="31"/>
  <c r="O49" i="31"/>
  <c r="N49" i="31"/>
  <c r="M49" i="31"/>
  <c r="L49" i="31"/>
  <c r="K49" i="31"/>
  <c r="Q48" i="31"/>
  <c r="P48" i="31"/>
  <c r="O48" i="31"/>
  <c r="N48" i="31"/>
  <c r="M48" i="31"/>
  <c r="L48" i="31"/>
  <c r="K48" i="31"/>
  <c r="Q47" i="31"/>
  <c r="P47" i="31"/>
  <c r="O47" i="31"/>
  <c r="N47" i="31"/>
  <c r="M47" i="31"/>
  <c r="L47" i="31"/>
  <c r="K47" i="31"/>
  <c r="Q46" i="31"/>
  <c r="P46" i="31"/>
  <c r="O46" i="31"/>
  <c r="N46" i="31"/>
  <c r="M46" i="31"/>
  <c r="L46" i="31"/>
  <c r="K46" i="31"/>
  <c r="Q45" i="31"/>
  <c r="P45" i="31"/>
  <c r="O45" i="31"/>
  <c r="N45" i="31"/>
  <c r="M45" i="31"/>
  <c r="L45" i="31"/>
  <c r="K45" i="31"/>
  <c r="Q44" i="31"/>
  <c r="P44" i="31"/>
  <c r="O44" i="31"/>
  <c r="N44" i="31"/>
  <c r="M44" i="31"/>
  <c r="L44" i="31"/>
  <c r="K44" i="31"/>
  <c r="Q43" i="31"/>
  <c r="P43" i="31"/>
  <c r="O43" i="31"/>
  <c r="N43" i="31"/>
  <c r="M43" i="31"/>
  <c r="L43" i="31"/>
  <c r="K43" i="31"/>
  <c r="Q42" i="31"/>
  <c r="P42" i="31"/>
  <c r="O42" i="31"/>
  <c r="N42" i="31"/>
  <c r="M42" i="31"/>
  <c r="L42" i="31"/>
  <c r="K42" i="31"/>
  <c r="Q41" i="31"/>
  <c r="P41" i="31"/>
  <c r="O41" i="31"/>
  <c r="N41" i="31"/>
  <c r="M41" i="31"/>
  <c r="L41" i="31"/>
  <c r="K41" i="31"/>
  <c r="Q40" i="31"/>
  <c r="P40" i="31"/>
  <c r="O40" i="31"/>
  <c r="N40" i="31"/>
  <c r="M40" i="31"/>
  <c r="L40" i="31"/>
  <c r="K40" i="31"/>
  <c r="Q39" i="31"/>
  <c r="P39" i="31"/>
  <c r="O39" i="31"/>
  <c r="N39" i="31"/>
  <c r="M39" i="31"/>
  <c r="L39" i="31"/>
  <c r="K39" i="31"/>
  <c r="Q38" i="31"/>
  <c r="P38" i="31"/>
  <c r="O38" i="31"/>
  <c r="N38" i="31"/>
  <c r="M38" i="31"/>
  <c r="L38" i="31"/>
  <c r="K38" i="31"/>
  <c r="Q37" i="31"/>
  <c r="P37" i="31"/>
  <c r="O37" i="31"/>
  <c r="N37" i="31"/>
  <c r="M37" i="31"/>
  <c r="L37" i="31"/>
  <c r="K37" i="31"/>
  <c r="Q36" i="31"/>
  <c r="P36" i="31"/>
  <c r="O36" i="31"/>
  <c r="N36" i="31"/>
  <c r="M36" i="31"/>
  <c r="L36" i="31"/>
  <c r="K36" i="31"/>
  <c r="Q35" i="31"/>
  <c r="P35" i="31"/>
  <c r="O35" i="31"/>
  <c r="N35" i="31"/>
  <c r="M35" i="31"/>
  <c r="L35" i="31"/>
  <c r="K35" i="31"/>
  <c r="Q34" i="31"/>
  <c r="P34" i="31"/>
  <c r="O34" i="31"/>
  <c r="N34" i="31"/>
  <c r="M34" i="31"/>
  <c r="L34" i="31"/>
  <c r="K34" i="31"/>
  <c r="Q33" i="31"/>
  <c r="P33" i="31"/>
  <c r="O33" i="31"/>
  <c r="N33" i="31"/>
  <c r="M33" i="31"/>
  <c r="L33" i="31"/>
  <c r="K33" i="31"/>
  <c r="Q32" i="31"/>
  <c r="P32" i="31"/>
  <c r="O32" i="31"/>
  <c r="N32" i="31"/>
  <c r="M32" i="31"/>
  <c r="L32" i="31"/>
  <c r="K32" i="31"/>
  <c r="Q31" i="31"/>
  <c r="P31" i="31"/>
  <c r="O31" i="31"/>
  <c r="N31" i="31"/>
  <c r="M31" i="31"/>
  <c r="L31" i="31"/>
  <c r="K31" i="31"/>
  <c r="Q30" i="31"/>
  <c r="P30" i="31"/>
  <c r="O30" i="31"/>
  <c r="N30" i="31"/>
  <c r="M30" i="31"/>
  <c r="L30" i="31"/>
  <c r="K30" i="31"/>
  <c r="Q29" i="31"/>
  <c r="P29" i="31"/>
  <c r="O29" i="31"/>
  <c r="N29" i="31"/>
  <c r="M29" i="31"/>
  <c r="L29" i="31"/>
  <c r="K29" i="31"/>
  <c r="Q28" i="31"/>
  <c r="P28" i="31"/>
  <c r="O28" i="31"/>
  <c r="N28" i="31"/>
  <c r="M28" i="31"/>
  <c r="L28" i="31"/>
  <c r="K28" i="31"/>
  <c r="Q27" i="31"/>
  <c r="P27" i="31"/>
  <c r="O27" i="31"/>
  <c r="N27" i="31"/>
  <c r="M27" i="31"/>
  <c r="L27" i="31"/>
  <c r="K27" i="31"/>
  <c r="Q26" i="31"/>
  <c r="P26" i="31"/>
  <c r="O26" i="31"/>
  <c r="N26" i="31"/>
  <c r="M26" i="31"/>
  <c r="L26" i="31"/>
  <c r="K26" i="31"/>
  <c r="Q25" i="31"/>
  <c r="P25" i="31"/>
  <c r="O25" i="31"/>
  <c r="N25" i="31"/>
  <c r="M25" i="31"/>
  <c r="L25" i="31"/>
  <c r="K25" i="31"/>
  <c r="Q24" i="31"/>
  <c r="P24" i="31"/>
  <c r="O24" i="31"/>
  <c r="N24" i="31"/>
  <c r="M24" i="31"/>
  <c r="L24" i="31"/>
  <c r="K24" i="31"/>
  <c r="Q23" i="31"/>
  <c r="P23" i="31"/>
  <c r="O23" i="31"/>
  <c r="N23" i="31"/>
  <c r="M23" i="31"/>
  <c r="L23" i="31"/>
  <c r="K23" i="31"/>
  <c r="Q22" i="31"/>
  <c r="P22" i="31"/>
  <c r="O22" i="31"/>
  <c r="N22" i="31"/>
  <c r="M22" i="31"/>
  <c r="L22" i="31"/>
  <c r="K22" i="31"/>
  <c r="Q21" i="31"/>
  <c r="P21" i="31"/>
  <c r="O21" i="31"/>
  <c r="N21" i="31"/>
  <c r="M21" i="31"/>
  <c r="L21" i="31"/>
  <c r="K21" i="31"/>
  <c r="Q20" i="31"/>
  <c r="P20" i="31"/>
  <c r="O20" i="31"/>
  <c r="N20" i="31"/>
  <c r="M20" i="31"/>
  <c r="L20" i="31"/>
  <c r="K20" i="31"/>
  <c r="Q19" i="31"/>
  <c r="P19" i="31"/>
  <c r="O19" i="31"/>
  <c r="N19" i="31"/>
  <c r="M19" i="31"/>
  <c r="L19" i="31"/>
  <c r="K19" i="31"/>
  <c r="Q18" i="31"/>
  <c r="P18" i="31"/>
  <c r="O18" i="31"/>
  <c r="N18" i="31"/>
  <c r="M18" i="31"/>
  <c r="L18" i="31"/>
  <c r="K18" i="31"/>
  <c r="Q17" i="31"/>
  <c r="P17" i="31"/>
  <c r="O17" i="31"/>
  <c r="N17" i="31"/>
  <c r="M17" i="31"/>
  <c r="L17" i="31"/>
  <c r="K17" i="31"/>
  <c r="Q16" i="31"/>
  <c r="P16" i="31"/>
  <c r="O16" i="31"/>
  <c r="N16" i="31"/>
  <c r="M16" i="31"/>
  <c r="L16" i="31"/>
  <c r="K16" i="31"/>
  <c r="Q15" i="31"/>
  <c r="P15" i="31"/>
  <c r="O15" i="31"/>
  <c r="N15" i="31"/>
  <c r="M15" i="31"/>
  <c r="L15" i="31"/>
  <c r="K15" i="31"/>
  <c r="Q14" i="31"/>
  <c r="P14" i="31"/>
  <c r="O14" i="31"/>
  <c r="N14" i="31"/>
  <c r="M14" i="31"/>
  <c r="L14" i="31"/>
  <c r="K14" i="31"/>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14" i="30"/>
  <c r="F8" i="63"/>
  <c r="B2" i="15"/>
  <c r="A35" i="54"/>
  <c r="A32" i="54"/>
  <c r="A29" i="54"/>
  <c r="A26" i="54"/>
  <c r="A23" i="54"/>
  <c r="A20" i="54"/>
  <c r="A17" i="54"/>
  <c r="A14" i="54"/>
  <c r="A11" i="54"/>
  <c r="A8" i="54"/>
  <c r="A5" i="54"/>
  <c r="A2" i="54"/>
  <c r="A107" i="53"/>
  <c r="A103" i="53"/>
  <c r="A98" i="53"/>
  <c r="A94" i="53"/>
  <c r="A89" i="53"/>
  <c r="A85" i="53"/>
  <c r="A80" i="53"/>
  <c r="A76" i="53"/>
  <c r="A71" i="53"/>
  <c r="A67" i="53"/>
  <c r="A62" i="53"/>
  <c r="A58" i="53"/>
  <c r="A53" i="53"/>
  <c r="A49" i="53"/>
  <c r="A44" i="53"/>
  <c r="A40" i="53"/>
  <c r="A35" i="53"/>
  <c r="A31" i="53"/>
  <c r="A26" i="53"/>
  <c r="A22" i="53"/>
  <c r="A17" i="53"/>
  <c r="A13" i="53"/>
  <c r="A8" i="53"/>
  <c r="A4" i="53"/>
  <c r="A2" i="29"/>
  <c r="A135" i="28"/>
  <c r="A124" i="28"/>
  <c r="A113" i="28"/>
  <c r="A102" i="28"/>
  <c r="A91" i="28"/>
  <c r="A70" i="28"/>
  <c r="A59" i="28"/>
  <c r="A48" i="28"/>
  <c r="A36" i="28"/>
  <c r="A24" i="28"/>
  <c r="A13" i="28"/>
  <c r="A2" i="28"/>
  <c r="H10" i="63"/>
  <c r="F10" i="63"/>
  <c r="J9" i="63"/>
  <c r="I9" i="63"/>
  <c r="H9" i="63"/>
  <c r="J8" i="63"/>
  <c r="I8" i="63"/>
  <c r="H8" i="63"/>
  <c r="J7" i="63"/>
  <c r="I7" i="63"/>
  <c r="H7" i="63"/>
  <c r="F7" i="63"/>
  <c r="I6" i="63"/>
  <c r="H6" i="63"/>
  <c r="F6" i="63"/>
  <c r="D8" i="63"/>
  <c r="D6" i="63"/>
  <c r="B10" i="63"/>
  <c r="A10" i="63"/>
  <c r="C9" i="63"/>
  <c r="B9" i="63"/>
  <c r="A9" i="63"/>
  <c r="C8" i="63"/>
  <c r="B8" i="63"/>
  <c r="A8" i="63"/>
  <c r="C7" i="63"/>
  <c r="B7" i="63"/>
  <c r="A7" i="63"/>
  <c r="C6" i="63"/>
  <c r="B6" i="63"/>
  <c r="A6" i="63"/>
  <c r="J10" i="62"/>
  <c r="I10" i="62"/>
  <c r="J9" i="62"/>
  <c r="I9" i="62"/>
  <c r="D7" i="62"/>
  <c r="A8"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F9" i="37"/>
  <c r="J8" i="37"/>
  <c r="I8" i="37"/>
  <c r="H8" i="37"/>
  <c r="F8" i="37"/>
  <c r="J7" i="37"/>
  <c r="I7" i="37"/>
  <c r="H7" i="37"/>
  <c r="F7" i="37"/>
  <c r="J6" i="37"/>
  <c r="I6" i="37"/>
  <c r="H6" i="37"/>
  <c r="F6" i="37"/>
  <c r="D7" i="37"/>
  <c r="D6" i="37"/>
  <c r="B8" i="37"/>
  <c r="A8" i="37"/>
  <c r="C7" i="37"/>
  <c r="B7" i="37"/>
  <c r="A7" i="37"/>
  <c r="C6" i="37"/>
  <c r="B6" i="37"/>
  <c r="A6" i="37"/>
  <c r="F10" i="58"/>
  <c r="J9" i="58"/>
  <c r="I9" i="58"/>
  <c r="H9" i="58"/>
  <c r="F9" i="58"/>
  <c r="I8" i="58"/>
  <c r="F8" i="58"/>
  <c r="J7" i="58"/>
  <c r="I7" i="58"/>
  <c r="H7" i="58"/>
  <c r="J6" i="58"/>
  <c r="I6" i="58"/>
  <c r="F6" i="58"/>
  <c r="D8" i="58"/>
  <c r="D6" i="58"/>
  <c r="B10" i="58"/>
  <c r="A10" i="58"/>
  <c r="C9" i="58"/>
  <c r="B9" i="58"/>
  <c r="A9" i="58"/>
  <c r="C8" i="58"/>
  <c r="B8" i="58"/>
  <c r="C7" i="58"/>
  <c r="B7" i="58"/>
  <c r="A7" i="58"/>
  <c r="B6" i="58"/>
  <c r="A6" i="58"/>
  <c r="J9" i="36"/>
  <c r="I9" i="36"/>
  <c r="H9" i="36"/>
  <c r="F9" i="36"/>
  <c r="J8" i="36"/>
  <c r="I8" i="36"/>
  <c r="H8" i="36"/>
  <c r="F8" i="36"/>
  <c r="J7" i="36"/>
  <c r="I7" i="36"/>
  <c r="H7" i="36"/>
  <c r="F7" i="36"/>
  <c r="J6" i="36"/>
  <c r="I6" i="36"/>
  <c r="H6" i="36"/>
  <c r="F6" i="36"/>
  <c r="D7" i="36"/>
  <c r="D6" i="36"/>
  <c r="B8" i="36"/>
  <c r="A8" i="36"/>
  <c r="C7" i="36"/>
  <c r="B7" i="36"/>
  <c r="A7" i="36"/>
  <c r="C6" i="36"/>
  <c r="B6" i="36"/>
  <c r="A6" i="36"/>
  <c r="F9" i="34"/>
  <c r="I8" i="34"/>
  <c r="H8" i="34"/>
  <c r="F8" i="34"/>
  <c r="J7" i="34"/>
  <c r="H7" i="34"/>
  <c r="F7" i="34"/>
  <c r="I6" i="34"/>
  <c r="H6" i="34"/>
  <c r="F6" i="34"/>
  <c r="D6" i="34"/>
  <c r="B8" i="34"/>
  <c r="A8" i="34"/>
  <c r="C7" i="34"/>
  <c r="B7" i="34"/>
  <c r="A7" i="34"/>
  <c r="C6" i="34"/>
  <c r="B6" i="34"/>
  <c r="H9" i="35"/>
  <c r="F9" i="35"/>
  <c r="J8" i="35"/>
  <c r="I8" i="35"/>
  <c r="H8" i="35"/>
  <c r="F8" i="35"/>
  <c r="J7" i="35"/>
  <c r="I7" i="35"/>
  <c r="H7" i="35"/>
  <c r="F7" i="35"/>
  <c r="J6" i="35"/>
  <c r="I6" i="35"/>
  <c r="H6" i="35"/>
  <c r="F6" i="35"/>
  <c r="D7" i="35"/>
  <c r="D6" i="35"/>
  <c r="B8" i="35"/>
  <c r="A8" i="35"/>
  <c r="C7" i="35"/>
  <c r="B7" i="35"/>
  <c r="A7" i="35"/>
  <c r="C6" i="35"/>
  <c r="B6" i="35"/>
  <c r="A6" i="35"/>
  <c r="H10" i="33"/>
  <c r="I9" i="33"/>
  <c r="H9" i="33"/>
  <c r="F9" i="33"/>
  <c r="J8" i="33"/>
  <c r="I8" i="33"/>
  <c r="H8" i="33"/>
  <c r="I7" i="33"/>
  <c r="H7" i="33"/>
  <c r="F7" i="33"/>
  <c r="J6" i="33"/>
  <c r="I6" i="33"/>
  <c r="H6" i="33"/>
  <c r="D7" i="33"/>
  <c r="D6" i="33"/>
  <c r="B8" i="33"/>
  <c r="A8" i="33"/>
  <c r="C7" i="33"/>
  <c r="B7" i="33"/>
  <c r="A7" i="33"/>
  <c r="C6" i="33"/>
  <c r="A6" i="33"/>
  <c r="H9" i="32"/>
  <c r="F9" i="32"/>
  <c r="J8" i="32"/>
  <c r="I8" i="32"/>
  <c r="I7" i="32"/>
  <c r="H7" i="32"/>
  <c r="F7" i="32"/>
  <c r="J6" i="32"/>
  <c r="I6" i="32"/>
  <c r="F6" i="32"/>
  <c r="D7" i="32"/>
  <c r="D6" i="32"/>
  <c r="B8" i="32"/>
  <c r="A8" i="32"/>
  <c r="C7" i="32"/>
  <c r="B7" i="32"/>
  <c r="C6" i="32"/>
  <c r="A6" i="32"/>
  <c r="H9" i="31"/>
  <c r="F9" i="31"/>
  <c r="J8" i="31"/>
  <c r="J7" i="31"/>
  <c r="H7" i="31"/>
  <c r="J6" i="31"/>
  <c r="H6" i="31"/>
  <c r="B8" i="31"/>
  <c r="A8" i="31"/>
  <c r="C7" i="31"/>
  <c r="B7" i="31"/>
  <c r="C6" i="31"/>
  <c r="A6" i="31"/>
  <c r="F10" i="62"/>
  <c r="G10" i="62"/>
  <c r="H10" i="62"/>
  <c r="H9" i="62"/>
  <c r="G9" i="62"/>
  <c r="J8" i="62"/>
  <c r="H8" i="62"/>
  <c r="F8" i="62"/>
  <c r="J7" i="62"/>
  <c r="I7" i="62"/>
  <c r="F7" i="62"/>
  <c r="J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9" i="35"/>
  <c r="I9" i="35"/>
  <c r="G9" i="35"/>
  <c r="G8" i="35"/>
  <c r="D8" i="35"/>
  <c r="C8" i="35"/>
  <c r="G7" i="35"/>
  <c r="G6" i="35"/>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G9" i="30"/>
  <c r="G8" i="30"/>
  <c r="G7" i="30"/>
  <c r="G6" i="30"/>
  <c r="D8" i="30"/>
  <c r="C8" i="30"/>
  <c r="A147" i="28"/>
  <c r="A80" i="28"/>
  <c r="B10" i="1"/>
  <c r="B14" i="1"/>
  <c r="A125" i="53"/>
  <c r="A121" i="53"/>
  <c r="A116" i="53"/>
  <c r="A112" i="53"/>
  <c r="B38" i="1"/>
  <c r="B54" i="1"/>
  <c r="B51" i="1"/>
  <c r="B50" i="1"/>
  <c r="B49" i="1"/>
  <c r="B47" i="1"/>
  <c r="B46" i="1"/>
  <c r="B45" i="1"/>
  <c r="B43" i="1"/>
  <c r="B42" i="1"/>
  <c r="B41" i="1"/>
  <c r="B37" i="1"/>
  <c r="B36" i="1"/>
  <c r="B34" i="1"/>
  <c r="B33" i="1"/>
  <c r="B32" i="1"/>
  <c r="B30" i="1"/>
  <c r="B29" i="1"/>
  <c r="B28" i="1"/>
  <c r="B26" i="1"/>
  <c r="B20" i="1"/>
  <c r="B19" i="1"/>
  <c r="B18" i="1"/>
  <c r="B16" i="1"/>
  <c r="B15" i="1"/>
  <c r="B12" i="1"/>
  <c r="B11" i="1"/>
  <c r="B55" i="1"/>
  <c r="B23" i="1"/>
  <c r="I14" i="15"/>
  <c r="H14" i="15"/>
  <c r="I10" i="15"/>
  <c r="H10" i="15"/>
  <c r="B25" i="1"/>
  <c r="H17" i="15"/>
  <c r="R9" i="15"/>
  <c r="S9" i="15"/>
  <c r="T9" i="15"/>
  <c r="Q9" i="15"/>
  <c r="N9" i="15"/>
  <c r="O9" i="15"/>
  <c r="P9" i="15"/>
  <c r="M9" i="15"/>
  <c r="D9" i="15"/>
  <c r="E9" i="15"/>
  <c r="F9" i="15"/>
  <c r="G9" i="15"/>
  <c r="I9" i="15"/>
  <c r="H9" i="15"/>
  <c r="C9" i="15"/>
  <c r="N10" i="15"/>
  <c r="C14" i="15"/>
  <c r="R13" i="15"/>
  <c r="R14" i="15"/>
  <c r="N14" i="15"/>
  <c r="O14" i="15"/>
  <c r="P14" i="15"/>
  <c r="Q14" i="15"/>
  <c r="S14" i="15"/>
  <c r="T14" i="15"/>
  <c r="M14" i="15"/>
  <c r="T10" i="15"/>
  <c r="S10" i="15"/>
  <c r="R10" i="15"/>
  <c r="Q10" i="15"/>
  <c r="Q17" i="15"/>
  <c r="P10" i="15"/>
  <c r="P17" i="15"/>
  <c r="O10" i="15"/>
  <c r="O17" i="15"/>
  <c r="N17" i="15"/>
  <c r="M10" i="15"/>
  <c r="M17" i="15"/>
  <c r="D14" i="15"/>
  <c r="E14" i="15"/>
  <c r="F14" i="15"/>
  <c r="H18" i="15"/>
  <c r="G14" i="15"/>
  <c r="S17" i="15"/>
  <c r="T18" i="15"/>
  <c r="R17" i="15"/>
  <c r="P18" i="15"/>
  <c r="M21" i="15"/>
  <c r="T17" i="15"/>
  <c r="M18" i="15"/>
  <c r="Q18" i="15"/>
  <c r="N18" i="15"/>
  <c r="S18" i="15"/>
  <c r="O18" i="15"/>
  <c r="R18" i="15"/>
  <c r="N21" i="15"/>
  <c r="M22" i="15"/>
  <c r="N22" i="15"/>
  <c r="E10" i="15"/>
  <c r="G10" i="15"/>
  <c r="C10" i="15"/>
  <c r="C17" i="15"/>
  <c r="F10" i="15"/>
  <c r="D10" i="15"/>
  <c r="C18" i="15"/>
  <c r="G17" i="15"/>
  <c r="G18" i="15"/>
  <c r="D17" i="15"/>
  <c r="D18" i="15"/>
  <c r="E18" i="15"/>
  <c r="E17" i="15"/>
  <c r="F17" i="15"/>
  <c r="F18" i="15"/>
  <c r="I17" i="15"/>
  <c r="I18" i="15"/>
  <c r="C21" i="15"/>
  <c r="C22" i="15"/>
  <c r="B22" i="1" l="1"/>
  <c r="A41" i="54" s="1"/>
  <c r="B61" i="1"/>
  <c r="B62" i="1"/>
  <c r="B59" i="1"/>
  <c r="B70" i="1"/>
  <c r="B68" i="1"/>
  <c r="B67" i="1"/>
  <c r="B65" i="1"/>
  <c r="B64" i="1"/>
  <c r="B63" i="1"/>
  <c r="B58" i="1"/>
  <c r="A48" i="23"/>
  <c r="A46" i="19"/>
  <c r="A46" i="26"/>
  <c r="B17" i="1"/>
  <c r="B13" i="1"/>
  <c r="A46" i="18"/>
  <c r="A46" i="61"/>
  <c r="B21" i="1"/>
  <c r="B9" i="1"/>
  <c r="B69" i="1"/>
  <c r="A46" i="24"/>
  <c r="A46" i="21"/>
  <c r="A47" i="17"/>
  <c r="B66" i="1"/>
</calcChain>
</file>

<file path=xl/sharedStrings.xml><?xml version="1.0" encoding="utf-8"?>
<sst xmlns="http://schemas.openxmlformats.org/spreadsheetml/2006/main" count="23185" uniqueCount="2203">
  <si>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</si>
  <si>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</si>
  <si>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</si>
  <si>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</si>
  <si>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</si>
  <si>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</si>
  <si>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</si>
  <si>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</si>
  <si>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</si>
  <si>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</si>
  <si>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</si>
  <si>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</si>
  <si>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</si>
  <si>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</si>
  <si>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</si>
  <si>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</si>
  <si>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</si>
  <si>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</si>
  <si>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</si>
  <si>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</si>
  <si>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</si>
  <si>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</si>
  <si>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</si>
  <si>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</si>
  <si>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</si>
  <si>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</si>
  <si>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</si>
  <si>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</si>
  <si>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</si>
  <si>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</si>
  <si>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</si>
  <si>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</si>
  <si>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</si>
  <si>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</si>
  <si>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</si>
  <si>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</si>
  <si>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</si>
  <si>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</si>
  <si>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</si>
  <si>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</si>
  <si>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</si>
  <si>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</si>
  <si>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</si>
  <si>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</si>
  <si>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</si>
  <si>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</si>
  <si>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</si>
  <si>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</si>
  <si>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</si>
  <si>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</si>
  <si>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</si>
  <si>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</si>
  <si>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</si>
  <si>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</si>
  <si>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</si>
  <si>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</si>
  <si>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</si>
  <si>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</si>
  <si>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</si>
  <si>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</si>
  <si>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</si>
  <si>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</si>
  <si>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</si>
  <si>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</si>
  <si>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</si>
  <si>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</si>
  <si>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</si>
  <si>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</si>
  <si>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</si>
  <si>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</si>
  <si>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</si>
  <si>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</si>
  <si>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</si>
  <si>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</si>
  <si>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</si>
  <si>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</si>
  <si>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</si>
  <si>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</si>
  <si>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</si>
  <si>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</si>
  <si>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</si>
  <si>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</si>
  <si>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</si>
  <si>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</si>
  <si>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</si>
  <si>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</si>
  <si>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</si>
  <si>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</si>
  <si>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</si>
  <si>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</si>
  <si>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</si>
  <si>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</si>
  <si>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</si>
  <si>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</si>
  <si>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</si>
  <si>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</si>
  <si>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</si>
  <si>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</si>
  <si>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</si>
  <si>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</si>
  <si>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</si>
  <si>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</si>
  <si>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</si>
  <si>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</si>
  <si>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</si>
  <si>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</si>
  <si>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</si>
  <si>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</si>
  <si>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</si>
  <si>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</si>
  <si>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</si>
  <si>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</si>
  <si>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</si>
  <si>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</si>
  <si>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</si>
  <si>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</si>
  <si>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</si>
  <si>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</si>
  <si>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</si>
  <si>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</si>
  <si>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</si>
  <si>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</si>
  <si>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</si>
  <si>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</si>
  <si>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</si>
  <si>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</si>
  <si>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</si>
  <si>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</si>
  <si>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</si>
  <si>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</si>
  <si>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</si>
  <si>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</si>
  <si>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</si>
  <si>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</si>
  <si>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</si>
  <si>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</si>
  <si>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</si>
  <si>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</si>
  <si>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</si>
  <si>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</si>
  <si>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</si>
  <si>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</si>
  <si>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</si>
  <si>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</si>
  <si>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</si>
  <si>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</si>
  <si>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</si>
  <si>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</si>
  <si>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</si>
  <si>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</si>
  <si>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</si>
  <si>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</si>
  <si>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</si>
  <si>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</si>
  <si>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</si>
  <si>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</si>
  <si>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</si>
  <si>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</si>
  <si>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</si>
  <si>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</si>
  <si>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</si>
  <si>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</si>
  <si>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</si>
  <si>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</si>
  <si>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</si>
  <si>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</si>
  <si>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</si>
  <si>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</si>
  <si>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</si>
  <si>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</si>
  <si>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</si>
  <si>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</si>
  <si>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</si>
  <si>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</si>
  <si>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</si>
  <si>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</si>
  <si>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</si>
  <si>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</si>
  <si>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</si>
  <si>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</si>
  <si>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</si>
  <si>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</si>
  <si>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</si>
  <si>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</si>
  <si>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</si>
  <si>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</si>
  <si>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</si>
  <si>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</si>
  <si>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</si>
  <si>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</si>
  <si>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</si>
  <si>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</si>
  <si>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</si>
  <si>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</si>
  <si>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</si>
  <si>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</si>
  <si>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</si>
  <si>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</si>
  <si>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</si>
  <si>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</si>
  <si>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</si>
  <si>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</si>
  <si>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</si>
  <si>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</si>
  <si>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</si>
  <si>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</si>
  <si>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</si>
  <si>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</si>
  <si>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</si>
  <si>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</si>
  <si>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</si>
  <si>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</si>
  <si>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</si>
  <si>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</si>
  <si>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</si>
  <si>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</si>
  <si>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</si>
  <si>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</si>
  <si>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</si>
  <si>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</si>
  <si>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</si>
  <si>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</si>
  <si>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</si>
  <si>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</si>
  <si>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</si>
  <si>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</si>
  <si>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</si>
  <si>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</si>
  <si>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</si>
  <si>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</si>
  <si>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</si>
  <si>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</si>
  <si>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</si>
  <si>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</si>
  <si>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</si>
  <si>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</si>
  <si>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</si>
  <si>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</si>
  <si>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</si>
  <si>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</si>
  <si>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</si>
  <si>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</si>
  <si>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</si>
  <si>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</si>
  <si>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</si>
  <si>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</si>
  <si>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</si>
  <si>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</si>
  <si>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</si>
  <si>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</si>
  <si>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</si>
  <si>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</si>
  <si>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</si>
  <si>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</si>
  <si>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</si>
  <si>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</si>
  <si>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</si>
  <si>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</si>
  <si>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</si>
  <si>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</si>
  <si>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</si>
  <si>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</si>
  <si>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</si>
  <si>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</si>
  <si>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</si>
  <si>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</si>
  <si>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</si>
  <si>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</si>
  <si>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</si>
  <si>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</si>
  <si>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</si>
  <si>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</si>
  <si>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</si>
  <si>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</si>
  <si>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</si>
  <si>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</si>
  <si>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</si>
  <si>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</si>
  <si>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</si>
  <si>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</si>
  <si>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</si>
  <si>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</si>
  <si>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</si>
  <si>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</si>
  <si>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</si>
  <si>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</si>
  <si>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</si>
  <si>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</si>
  <si>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</si>
  <si>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</si>
  <si>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</si>
  <si>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</si>
  <si>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</si>
  <si>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</si>
  <si>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</si>
  <si>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</si>
  <si>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</si>
  <si>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</si>
  <si>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</si>
  <si>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</si>
  <si>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</si>
  <si>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</si>
  <si>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</si>
  <si>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</si>
  <si>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</si>
  <si>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</si>
  <si>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</si>
  <si>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</si>
  <si>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</si>
  <si>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</si>
  <si>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</si>
  <si>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</si>
  <si>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</si>
  <si>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</si>
  <si>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</si>
  <si>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</si>
  <si>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</si>
  <si>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</si>
  <si>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</si>
  <si>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</si>
  <si>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</si>
  <si>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</si>
  <si>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</si>
  <si>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</si>
  <si>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</si>
  <si>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</si>
  <si>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</si>
  <si>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</si>
  <si>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</si>
  <si>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</si>
  <si>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</si>
  <si>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</si>
  <si>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</si>
  <si>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</si>
  <si>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</si>
  <si>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</si>
  <si>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</si>
  <si>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</si>
  <si>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</si>
  <si>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</si>
  <si>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</si>
  <si>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</si>
  <si>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</si>
  <si>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</si>
  <si>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</si>
  <si>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</si>
  <si>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</si>
  <si>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</si>
  <si>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</si>
  <si>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</si>
  <si>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</si>
  <si>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</si>
  <si>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</si>
  <si>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</si>
  <si>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</si>
  <si>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</si>
  <si>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</si>
  <si>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</si>
  <si>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</si>
  <si>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</si>
  <si>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</si>
  <si>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</si>
  <si>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</si>
  <si>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</si>
  <si>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</si>
  <si>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</si>
  <si>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</si>
  <si>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</si>
  <si>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</si>
  <si>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</si>
  <si>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</si>
  <si>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</si>
  <si>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</si>
  <si>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</si>
  <si>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</si>
  <si>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</si>
  <si>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</si>
  <si>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</si>
  <si>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</si>
  <si>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</si>
  <si>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</si>
  <si>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</si>
  <si>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</si>
  <si>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</si>
  <si>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</si>
  <si>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</si>
  <si>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</si>
  <si>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</si>
  <si>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</si>
  <si>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</si>
  <si>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</si>
  <si>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</si>
  <si>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</si>
  <si>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</si>
  <si>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</si>
  <si>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</si>
  <si>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</si>
  <si>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</si>
  <si>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</si>
  <si>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</si>
  <si>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</si>
  <si>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</si>
  <si>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</si>
  <si>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</si>
  <si>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</si>
  <si>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</si>
  <si>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</si>
  <si>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</si>
  <si>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</si>
  <si>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</si>
  <si>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</si>
  <si>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</si>
  <si>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</si>
  <si>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</si>
  <si>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</si>
  <si>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</si>
  <si>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</si>
  <si>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</si>
  <si>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</si>
  <si>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</si>
  <si>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</si>
  <si>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</si>
  <si>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</si>
  <si>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</si>
  <si>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</si>
  <si>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</si>
  <si>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</si>
  <si>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</si>
  <si>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</si>
  <si>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</si>
  <si>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</si>
  <si>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</si>
  <si>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</si>
  <si>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</si>
  <si>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</si>
  <si>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</si>
  <si>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</si>
  <si>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</si>
  <si>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</si>
  <si>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</si>
  <si>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</si>
  <si>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</si>
  <si>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</si>
  <si>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</si>
  <si>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</si>
  <si>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</si>
  <si>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</si>
  <si>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</si>
  <si>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</si>
  <si>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</si>
  <si>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</si>
  <si>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</si>
  <si>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</si>
  <si>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</si>
  <si>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</si>
  <si>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</si>
  <si>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</si>
  <si>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</si>
  <si>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</si>
  <si>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</si>
  <si>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</si>
  <si>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</si>
  <si>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</si>
  <si>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</si>
  <si>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</si>
  <si>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</si>
  <si>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</si>
  <si>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</si>
  <si>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</si>
  <si>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</si>
  <si>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</si>
  <si>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</si>
  <si>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</si>
  <si>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</si>
  <si>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</si>
  <si>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</si>
  <si>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</si>
  <si>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</si>
  <si>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</si>
  <si>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</si>
  <si>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</si>
  <si>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</si>
  <si>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</si>
  <si>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</si>
  <si>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</si>
  <si>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</si>
  <si>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</si>
  <si>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</si>
  <si>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</si>
  <si>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</si>
  <si>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</si>
  <si>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</si>
  <si>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</si>
  <si>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</si>
  <si>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</si>
  <si>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</si>
  <si>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</si>
  <si>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</si>
  <si>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</si>
  <si>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</si>
  <si>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</si>
  <si>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Leep Electricity Networks Limited</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</si>
  <si>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</si>
  <si>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</si>
  <si>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</si>
  <si>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</si>
  <si>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</si>
  <si>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</si>
  <si>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</si>
  <si>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</si>
  <si>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</si>
  <si>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</si>
  <si>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</si>
  <si>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</si>
  <si>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</si>
  <si>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</si>
  <si>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</si>
  <si>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</si>
  <si>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</si>
  <si>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</si>
  <si>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</si>
  <si>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</si>
  <si>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</si>
  <si>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</si>
  <si>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</si>
  <si>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</si>
  <si>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</si>
  <si>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</si>
  <si>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</si>
  <si>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</si>
  <si>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</si>
  <si>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</si>
  <si>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</si>
  <si>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</si>
  <si>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</si>
  <si>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</si>
  <si>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</si>
  <si>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</si>
  <si>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</si>
  <si>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</si>
  <si>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</si>
  <si>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</si>
  <si>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</si>
  <si>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</si>
  <si>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132kV Import</t>
  </si>
  <si>
    <t>EHV 132kV Export</t>
  </si>
  <si>
    <t>EHV 33kV Import</t>
  </si>
  <si>
    <t>EHV 33kV Export</t>
  </si>
  <si>
    <t>HV Sub</t>
  </si>
  <si>
    <t>HV Net</t>
  </si>
  <si>
    <t>LV Sub</t>
  </si>
  <si>
    <t>LV Net</t>
  </si>
  <si>
    <t>EHV 132 kV</t>
  </si>
  <si>
    <t>EHV 132 kV to 33 kV</t>
  </si>
  <si>
    <t>EHV 33 kV</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</si>
  <si>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</si>
  <si>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</si>
  <si>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</si>
  <si>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</si>
  <si>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</si>
  <si>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</si>
  <si>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</si>
  <si>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</si>
  <si>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</si>
  <si>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</si>
  <si>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</si>
  <si>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</si>
  <si>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</si>
  <si>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</si>
  <si>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</si>
  <si>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</si>
  <si>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</si>
  <si>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33kV Generic</t>
  </si>
  <si>
    <t>132kV Generic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</si>
  <si>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</si>
  <si>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Non-Domestic Aggregated (related MPAN)</t>
  </si>
  <si>
    <t>Unmetered Supplies</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</si>
  <si>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</si>
  <si>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</si>
  <si>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</si>
  <si>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</si>
  <si>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</si>
  <si>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</si>
  <si>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</si>
  <si>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</si>
  <si>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</si>
  <si>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</si>
  <si>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</si>
  <si>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</si>
  <si>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</si>
  <si>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</si>
  <si>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</si>
  <si>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</si>
  <si>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</si>
  <si>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</si>
  <si>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</si>
  <si>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</si>
  <si>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</si>
  <si>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</si>
  <si>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</si>
  <si>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</si>
  <si>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</si>
  <si>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</si>
  <si>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</si>
  <si>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</si>
  <si>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</si>
  <si>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</si>
  <si>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</si>
  <si>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</si>
  <si>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</si>
  <si>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Generation Aggregated</t>
  </si>
  <si>
    <t>LDNO LV: LV Generation Site Specific</t>
  </si>
  <si>
    <t>LDNO HV: LV Generation Aggregated</t>
  </si>
  <si>
    <t>LDNO HV: LV Sub Generation Aggregated</t>
  </si>
  <si>
    <t>LDNO HV: LV Generation Site Specific</t>
  </si>
  <si>
    <t>LDNO HV: LV Sub Generation Site Specific</t>
  </si>
  <si>
    <t>LDNO HV: HV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</si>
  <si>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</si>
  <si>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</si>
  <si>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</si>
  <si>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</si>
  <si>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</si>
  <si>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</si>
  <si>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</si>
  <si>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</si>
  <si>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</si>
  <si>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</si>
  <si>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</si>
  <si>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</si>
  <si>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</si>
  <si>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</si>
  <si>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</si>
  <si>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</si>
  <si>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</si>
  <si>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</si>
  <si>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</si>
  <si>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</si>
  <si>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</si>
  <si>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</si>
  <si>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</si>
  <si>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</si>
  <si>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</si>
  <si>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</si>
  <si>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</si>
  <si>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</si>
  <si>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</si>
  <si>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</si>
  <si>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</si>
  <si>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</si>
  <si>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</si>
  <si>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</si>
  <si>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</si>
  <si>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</si>
  <si>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</si>
  <si>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</si>
  <si>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</si>
  <si>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</si>
  <si>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</si>
  <si>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</si>
  <si>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</si>
  <si>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</si>
  <si>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</si>
  <si>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</si>
  <si>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</si>
  <si>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</si>
  <si>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</si>
  <si>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</si>
  <si>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</si>
  <si>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</si>
  <si>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</si>
  <si>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</si>
  <si>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</si>
  <si>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</si>
  <si>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</si>
  <si>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</si>
  <si>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</si>
  <si>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</si>
  <si>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</si>
  <si>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</si>
  <si>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</si>
  <si>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</si>
  <si>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</si>
  <si>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</si>
  <si>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</si>
  <si>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</si>
  <si>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</si>
  <si>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</si>
  <si>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</si>
  <si>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</si>
  <si>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</si>
  <si>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</si>
  <si>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</si>
  <si>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</si>
  <si>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</si>
  <si>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</si>
  <si>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</si>
  <si>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</si>
  <si>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</si>
  <si>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</si>
  <si>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</si>
  <si>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</si>
  <si>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</si>
  <si>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</si>
  <si>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</si>
  <si>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</si>
  <si>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</si>
  <si>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</si>
  <si>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</si>
  <si>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</si>
  <si>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</si>
  <si>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</si>
  <si>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</si>
  <si>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</si>
  <si>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</si>
  <si>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</si>
  <si>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</si>
  <si>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</si>
  <si>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</si>
  <si>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</si>
  <si>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</si>
  <si>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</si>
  <si>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</si>
  <si>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</si>
  <si>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</si>
  <si>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</si>
  <si>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</si>
  <si>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</si>
  <si>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</si>
  <si>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</si>
  <si>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</si>
  <si>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</si>
  <si>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</si>
  <si>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</si>
  <si>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</si>
  <si>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</si>
  <si>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</si>
  <si>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</si>
  <si>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</si>
  <si>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</si>
  <si>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</si>
  <si>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</si>
  <si>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</si>
  <si>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</si>
  <si>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</si>
  <si>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Open LLFCs / LDNO unique billing identifier</t>
  </si>
  <si>
    <t>Supplier of Last Resort 
Fixed charge adder*
p/MPAN/day</t>
  </si>
  <si>
    <t>Eligible Bad Debt
Fixed charge adder***
p/MPAN/day</t>
  </si>
  <si>
    <t>Annex 7 Pass-Through Costs</t>
  </si>
  <si>
    <t>Annex 7 contains the fixed adders to recover Supplier of Last Resort and Eligible Bad Debt pass-through costs.
The Excess Supplier of Last Resort fixed adder relates to an increase to previously published charges only.</t>
  </si>
  <si>
    <t>Annex 7 Pass-Through Costs_A</t>
  </si>
  <si>
    <t>Annex 7 Pass-Through Costs_B</t>
  </si>
  <si>
    <t>Annex 7 Pass-Through Costs_C</t>
  </si>
  <si>
    <t>Annex 7 Pass-Through Costs_D</t>
  </si>
  <si>
    <t>Annex 7 Pass-Through Costs_E</t>
  </si>
  <si>
    <t>Annex 7 Pass-Through Costs_F</t>
  </si>
  <si>
    <t>Annex 7 Pass-Through Costs_G</t>
  </si>
  <si>
    <t>Annex 7 Pass-Through Costs_H</t>
  </si>
  <si>
    <t>Annex 7 Pass-Through Costs_J</t>
  </si>
  <si>
    <t>Annex 7 Pass-Through Costs_K</t>
  </si>
  <si>
    <t>Annex 7 Pass-Through Costs_L</t>
  </si>
  <si>
    <t>Annex 7 Pass-Through Costs_M</t>
  </si>
  <si>
    <t>Annex 7 Pass-Through Costs_N</t>
  </si>
  <si>
    <t>Annex 7 Pass-Through Costs_P</t>
  </si>
  <si>
    <t>HV Sub Site Specific Band 1</t>
  </si>
  <si>
    <t>HV Sub Site Specific Band 2</t>
  </si>
  <si>
    <t>LV Generation Aggregated *</t>
  </si>
  <si>
    <t>LV Sub Generation Aggregated *</t>
  </si>
  <si>
    <t>LV Generation Site Specific *</t>
  </si>
  <si>
    <t>LV Generation Site Specific no RP charge *</t>
  </si>
  <si>
    <t>LV Sub Generation Site Specific *</t>
  </si>
  <si>
    <t>LV Sub Generation Site Specific no RP charge *</t>
  </si>
  <si>
    <t>HV Generation Site Specific *</t>
  </si>
  <si>
    <t>HV Generation Site Specific no RP charge *</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</si>
  <si>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</si>
  <si>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</si>
  <si>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</si>
  <si>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</si>
  <si>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</si>
  <si>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</si>
  <si>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</si>
  <si>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</si>
  <si>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</si>
  <si>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</si>
  <si>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</si>
  <si>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</si>
  <si>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</si>
  <si>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LDNO LV: Non-Domestic Aggregated or CT No Residual</t>
  </si>
  <si>
    <t>LDNO HV: Non-Domestic Aggregated or CT No Residual</t>
  </si>
  <si>
    <t>LDNO HVplus: Non-Domestic Aggregated or CT No Residual</t>
  </si>
  <si>
    <t>LDNO EHV: Non-Domestic Aggregated or CT No Residual</t>
  </si>
  <si>
    <t>LDNO 132kV/EHV: Non-Domestic Aggregated or CT No Residual</t>
  </si>
  <si>
    <t>LDNO 132kV: Non-Domestic Aggregated or CT No Residual</t>
  </si>
  <si>
    <t>LDNO 0000: Non-Domestic Aggregated or CT No Residual</t>
  </si>
  <si>
    <t>LDNO LV: Non-Domestic Aggregated or CT Band 1</t>
  </si>
  <si>
    <t>LDNO HV: Non-Domestic Aggregated or CT Band 1</t>
  </si>
  <si>
    <t>LDNO HVplus: Non-Domestic Aggregated or CT Band 1</t>
  </si>
  <si>
    <t>LDNO EHV: Non-Domestic Aggregated or CT Band 1</t>
  </si>
  <si>
    <t>LDNO 132kV/EHV: Non-Domestic Aggregated or CT Band 1</t>
  </si>
  <si>
    <t>LDNO 132kV: Non-Domestic Aggregated or CT Band 1</t>
  </si>
  <si>
    <t>LDNO 0000: Non-Domestic Aggregated or CT Band 1</t>
  </si>
  <si>
    <t>LDNO LV: Non-Domestic Aggregated or CT Band 2</t>
  </si>
  <si>
    <t>LDNO HV: Non-Domestic Aggregated or CT Band 2</t>
  </si>
  <si>
    <t>LDNO HVplus: Non-Domestic Aggregated or CT Band 2</t>
  </si>
  <si>
    <t>LDNO EHV: Non-Domestic Aggregated or CT Band 2</t>
  </si>
  <si>
    <t>LDNO 132kV/EHV: Non-Domestic Aggregated or CT Band 2</t>
  </si>
  <si>
    <t>LDNO 132kV: Non-Domestic Aggregated or CT Band 2</t>
  </si>
  <si>
    <t>LDNO 0000: Non-Domestic Aggregated or CT Band 2</t>
  </si>
  <si>
    <t>LDNO LV: Non-Domestic Aggregated or CT Band 3</t>
  </si>
  <si>
    <t>LDNO HV: Non-Domestic Aggregated or CT Band 3</t>
  </si>
  <si>
    <t>LDNO HVplus: Non-Domestic Aggregated or CT Band 3</t>
  </si>
  <si>
    <t>LDNO EHV: Non-Domestic Aggregated or CT Band 3</t>
  </si>
  <si>
    <t>LDNO 132kV/EHV: Non-Domestic Aggregated or CT Band 3</t>
  </si>
  <si>
    <t>LDNO 132kV: Non-Domestic Aggregated or CT Band 3</t>
  </si>
  <si>
    <t>LDNO 0000: Non-Domestic Aggregated or CT Band 3</t>
  </si>
  <si>
    <t>LDNO LV: Non-Domestic Aggregated or CT Band 4</t>
  </si>
  <si>
    <t>LDNO HV: Non-Domestic Aggregated or CT Band 4</t>
  </si>
  <si>
    <t>LDNO HVplus: Non-Domestic Aggregated or CT Band 4</t>
  </si>
  <si>
    <t>LDNO EHV: Non-Domestic Aggregated or CT Band 4</t>
  </si>
  <si>
    <t>LDNO 132kV/EHV: Non-Domestic Aggregated or CT Band 4</t>
  </si>
  <si>
    <t>LDNO 132kV: Non-Domestic Aggregated or CT Band 4</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</si>
  <si>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</si>
  <si>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</si>
  <si>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</si>
  <si>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</si>
  <si>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</si>
  <si>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</si>
  <si>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</si>
  <si>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</si>
  <si>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</si>
  <si>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</si>
  <si>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</si>
  <si>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EHV Site Specific Band 2</t>
  </si>
  <si>
    <t>DZ1</t>
  </si>
  <si>
    <t>DZ2</t>
  </si>
  <si>
    <t>EHV Site Specific Band 4</t>
  </si>
  <si>
    <t>EHV Site Specific No Residual</t>
  </si>
  <si>
    <t>PZ0.</t>
  </si>
  <si>
    <t>Monday to Friday 
(Including Bank Holidays)
All Year</t>
  </si>
  <si>
    <t>07:00 - 16:00
19:00 - 23:00</t>
  </si>
  <si>
    <t>00:00 - 07:00
23:00 - 24:00</t>
  </si>
  <si>
    <t/>
  </si>
  <si>
    <t>Saturday and Sunday
All Year</t>
  </si>
  <si>
    <t>00:00 - 24:00</t>
  </si>
  <si>
    <t>Monday to Friday 
(Including Bank Holidays)
March to October Inclusive</t>
  </si>
  <si>
    <t>07:00 - 23:00</t>
  </si>
  <si>
    <t>0, 1, 2</t>
  </si>
  <si>
    <t>0, 3, 4, 5-8</t>
  </si>
  <si>
    <t>0, 1 or 8</t>
  </si>
  <si>
    <t>0, 8</t>
  </si>
  <si>
    <t>Winter Peak</t>
  </si>
  <si>
    <t>Summer Peak</t>
  </si>
  <si>
    <t>Winter Shoulder</t>
  </si>
  <si>
    <t>Night</t>
  </si>
  <si>
    <t>Other</t>
  </si>
  <si>
    <t>Monday to Friday 
November to February</t>
  </si>
  <si>
    <t>16:00 - 20:00</t>
  </si>
  <si>
    <t>07:00 - 16:00</t>
  </si>
  <si>
    <t>Monday to Friday
June to August</t>
  </si>
  <si>
    <t>07:00 - 20:00</t>
  </si>
  <si>
    <t>Monday to Friday
March</t>
  </si>
  <si>
    <t>A00, A21, A50, A79, AA1, AB1, AB2, AB3, AB4, AG1, AH1.</t>
  </si>
  <si>
    <t>A01, A22, A51, A80.</t>
  </si>
  <si>
    <t>A02, A23, A52, A81, AK1, AL3, AL7, AM1, AM5, AR1, AS3.</t>
  </si>
  <si>
    <t>A03, A24, A53, A82, AK2, AL4, AL8, AM2, AM6, AR2, AS4.</t>
  </si>
  <si>
    <t>A04, A25, A54, A83, AK3, AL5, AL9, AM3, AM7, AR3, AS5.</t>
  </si>
  <si>
    <t>A05, A26, A55, A84, AK4, AL6, AL0, AM4, AM8, AR4, AS6.</t>
  </si>
  <si>
    <t>A06, A27, A56, A85.</t>
  </si>
  <si>
    <t>A07, A28, A57, A86.</t>
  </si>
  <si>
    <t>A08, A29, A58, A87.</t>
  </si>
  <si>
    <t>A09, A30, A59, A88.</t>
  </si>
  <si>
    <t>A10, A31, A60, A89.</t>
  </si>
  <si>
    <t>A11, A32, A61, A90.</t>
  </si>
  <si>
    <t>A12, A33, A62, A91.</t>
  </si>
  <si>
    <t>A13, A34, A63, A92.</t>
  </si>
  <si>
    <t>A14, A35, A64, A93.</t>
  </si>
  <si>
    <t>A15, A36, A65, A94.</t>
  </si>
  <si>
    <t>A37, A66, A95.</t>
  </si>
  <si>
    <t>A38, A67, A96.</t>
  </si>
  <si>
    <t>A39, A68, A97.</t>
  </si>
  <si>
    <t>A40, A69, A98.</t>
  </si>
  <si>
    <t>A41, A70, A99.</t>
  </si>
  <si>
    <t>A16, A42, A71, A0.</t>
  </si>
  <si>
    <t>A17, A43, A72, A1.</t>
  </si>
  <si>
    <t>A45, A74, A3.</t>
  </si>
  <si>
    <t>A18, A44, A73, A2.</t>
  </si>
  <si>
    <t>A46, A75, A4.</t>
  </si>
  <si>
    <t>B00, B21, B50, B79, BA1, BB1, BB2, BB3, BB4, BG1, BH1.</t>
  </si>
  <si>
    <t>B01, B22, B51, B80.</t>
  </si>
  <si>
    <t>B02, B23, B52, B81, BK1, BL3, BL7, BM1, BR1, BS3.</t>
  </si>
  <si>
    <t>B03, B24, B53, B82, BK2, BL4, BL8, BM2, BR2, BS4.</t>
  </si>
  <si>
    <t>B04, B25, B54, B83, BK3, BL5, BL9, BM3, BR3, BS5.</t>
  </si>
  <si>
    <t>B05, B26, B55, B84, BK4, BL6, BL0, BM4, BR4, BS6.</t>
  </si>
  <si>
    <t>B06, B27, B56, B85.</t>
  </si>
  <si>
    <t>B07, B28, B57, B86.</t>
  </si>
  <si>
    <t>B08, B29, B58, B87.</t>
  </si>
  <si>
    <t>B09, B30, B59, B88.</t>
  </si>
  <si>
    <t>B10, B31, B60, B89.</t>
  </si>
  <si>
    <t>B11, B32, B61, B90.</t>
  </si>
  <si>
    <t>B12, B33, B62, B91.</t>
  </si>
  <si>
    <t>B13, B34, B63, B92.</t>
  </si>
  <si>
    <t>B14, B35, B64, B93.</t>
  </si>
  <si>
    <t>B15, B36, B65, B94.</t>
  </si>
  <si>
    <t>B37, B66, B95.</t>
  </si>
  <si>
    <t>B38, B67, B96.</t>
  </si>
  <si>
    <t>B39, B68, B97.</t>
  </si>
  <si>
    <t>B40, B69, B98.</t>
  </si>
  <si>
    <t>B41, B70, B99.</t>
  </si>
  <si>
    <t>B16, B42, B71, B0.</t>
  </si>
  <si>
    <t>B17, B43, B72, B1.</t>
  </si>
  <si>
    <t>B45, B74, B3.</t>
  </si>
  <si>
    <t>B18, B44, B73, B2.</t>
  </si>
  <si>
    <t>B46, B75, B4.</t>
  </si>
  <si>
    <t>C00, C21, C50, C79, CA1, CB1, CB2, CB3, CB4, CB5, CB6, CB7, CB8, CG1, CH1.</t>
  </si>
  <si>
    <t>C01, C22, C51, C80.</t>
  </si>
  <si>
    <t>C02, C23, C52, C81, CK1, CL3, CL7, CM1, CM5, CM9, CN3, CN7, CR1, CS3.</t>
  </si>
  <si>
    <t>C03, C24, C53, C82, CK2, CL4, CL8, CM2, CM6, CM0, CN4, CN8, CR2, CS4.</t>
  </si>
  <si>
    <t>C04, C25, C54, C83, CK3, CL5, CL9, CM3, CM7, CN1, CN5, CN9, CR3, CS5.</t>
  </si>
  <si>
    <t>C05, C26, C55, C84, CK4, CL6, CL0, CM4, CM8, CN2, CN6, CN0, CR4, CS6.</t>
  </si>
  <si>
    <t>C06, C27, C56, C85.</t>
  </si>
  <si>
    <t>C07, C28, C57, C86.</t>
  </si>
  <si>
    <t>C08, C29, C58, C87.</t>
  </si>
  <si>
    <t>C09, C30, C59, C88.</t>
  </si>
  <si>
    <t>C10, C31, C60, C89.</t>
  </si>
  <si>
    <t>C11, C32, C61, C90.</t>
  </si>
  <si>
    <t>C12, C33, C62, C91.</t>
  </si>
  <si>
    <t>C13, C34, C63, C92.</t>
  </si>
  <si>
    <t>C14, C35, C64, C93.</t>
  </si>
  <si>
    <t>C15, C36, C65, C94.</t>
  </si>
  <si>
    <t>C37, C66, C95.</t>
  </si>
  <si>
    <t>C38, C67, C96.</t>
  </si>
  <si>
    <t>C39, C68, C97.</t>
  </si>
  <si>
    <t>C40, C69, C98.</t>
  </si>
  <si>
    <t>C41, C70, C99.</t>
  </si>
  <si>
    <t>C16, C42, C71, C0.</t>
  </si>
  <si>
    <t>C17, C43, C72, C1.</t>
  </si>
  <si>
    <t>C45, C74, C3.</t>
  </si>
  <si>
    <t>C18, C44, C73, C2.</t>
  </si>
  <si>
    <t>C46, C75, C4.</t>
  </si>
  <si>
    <t>D00, D21, D50, D79, DA1, DB1, DB2, DB3, DB4, DB5, DB6, DB7, DB8, DG1, DH1.</t>
  </si>
  <si>
    <t>D01, D22, D51, D80.</t>
  </si>
  <si>
    <t>D02, D23, D52, D81, DK1, DL3, DL7, DM1, DM5, DM9, DN3, DN7, DP1, DR1, DS3.</t>
  </si>
  <si>
    <t>D03, D24, D53, D82, DK2, DL4, DL8, DM2, DM6, DM0, DN4, DN8, DP2, DR2, DS4.</t>
  </si>
  <si>
    <t>D04, D25, D54, D83, DK3, DL5, DL9, DM3, DM7, DN1, DN5, DN9, DP3, DR3, DS5.</t>
  </si>
  <si>
    <t>D05, D26, D55, D84, DK4, DL6, DL0, DM4, DM8, DN2, DN6, DN0, DP4, DR4, DS6.</t>
  </si>
  <si>
    <t>D06, D27, D56, D85.</t>
  </si>
  <si>
    <t>D07, D28, D57, D86.</t>
  </si>
  <si>
    <t>D08, D29, D58, D87.</t>
  </si>
  <si>
    <t>D09, D30, D59, D88.</t>
  </si>
  <si>
    <t>D10, D31, D60, D89.</t>
  </si>
  <si>
    <t>D11, D32, D61, D90.</t>
  </si>
  <si>
    <t>D12, D33, D62, D91.</t>
  </si>
  <si>
    <t>D13, D34, D63, D92.</t>
  </si>
  <si>
    <t>D14, D35, D64, D93.</t>
  </si>
  <si>
    <t>D15, D36, D65, D94.</t>
  </si>
  <si>
    <t>D37, D66, D95.</t>
  </si>
  <si>
    <t>D38, D67, D96.</t>
  </si>
  <si>
    <t>D39, D68, D97.</t>
  </si>
  <si>
    <t>D40, D69, D98.</t>
  </si>
  <si>
    <t>D41, D70, D99.</t>
  </si>
  <si>
    <t>D16, D42, D71, D0.</t>
  </si>
  <si>
    <t>D17, D43, D72, D1.</t>
  </si>
  <si>
    <t>D45, D74, D3.</t>
  </si>
  <si>
    <t>D18, D44, D73, D2.</t>
  </si>
  <si>
    <t>D46, D75, D4.</t>
  </si>
  <si>
    <t>E00, E21, E50, E79, EA1, EB1, EB2, EB3, EB4, EB5, EG1, EH1.</t>
  </si>
  <si>
    <t>E01, E22, E51, E80.</t>
  </si>
  <si>
    <t>E02, E23, E52, E81, EK1, EL3, EL7, EM1, EM5, EM9, EN3, ER1, ES3.</t>
  </si>
  <si>
    <t>E03, E24, E53, E82, EK2, EL4, EL8, EM2, EM6, EM0, EN4, ER2, ES4.</t>
  </si>
  <si>
    <t>E04, E25, E54, E83, EK3, EL5, EL9, EM3, EM7, EN1, EN5, ER3, ES5.</t>
  </si>
  <si>
    <t>E05, E26, E55, E84, EK4, EL6, EL0, EM4, EM8, EN2, EN6, ER4, ES6.</t>
  </si>
  <si>
    <t>E06, E27, E56, E85.</t>
  </si>
  <si>
    <t>E07, E28, E57, E86.</t>
  </si>
  <si>
    <t>E08, E29, E58, E87.</t>
  </si>
  <si>
    <t>E09, E30, E59, E88.</t>
  </si>
  <si>
    <t>E10, E31, E60, E89.</t>
  </si>
  <si>
    <t>E11, E32, E61, E90.</t>
  </si>
  <si>
    <t>E12, E33, E62, E91.</t>
  </si>
  <si>
    <t>E13, E34, E63, E92.</t>
  </si>
  <si>
    <t>E14, E35, E64, E93.</t>
  </si>
  <si>
    <t>E15, E36, E65, E94.</t>
  </si>
  <si>
    <t>E37, E66, E95.</t>
  </si>
  <si>
    <t>E38, E67, E96.</t>
  </si>
  <si>
    <t>E39, E68, E97.</t>
  </si>
  <si>
    <t>E40, E69, E98.</t>
  </si>
  <si>
    <t>E41, E70, E99.</t>
  </si>
  <si>
    <t>E16, E42, E71, E0.</t>
  </si>
  <si>
    <t>E17, E43, E72, E1.</t>
  </si>
  <si>
    <t>E45, E74, E3.</t>
  </si>
  <si>
    <t>E18, E44, E73, E2.</t>
  </si>
  <si>
    <t>E46, E75, E4.</t>
  </si>
  <si>
    <t>F21, F79, FB1, FB2, FB3, FB4, FB5, FH1.</t>
  </si>
  <si>
    <t>F22, F80.</t>
  </si>
  <si>
    <t>F23, F81, FL3, FL7, FM1, FS3.</t>
  </si>
  <si>
    <t>F24, F82, FL4, FL8, FM2, FS4.</t>
  </si>
  <si>
    <t>F25, F83, FL5, FL9, FM3, FS5.</t>
  </si>
  <si>
    <t>F26, F84, FL6, FL0, FM4, FS6.</t>
  </si>
  <si>
    <t>F27, F85.</t>
  </si>
  <si>
    <t>F28, F86.</t>
  </si>
  <si>
    <t>F29, F87.</t>
  </si>
  <si>
    <t>F30, F88.</t>
  </si>
  <si>
    <t>F31, F89.</t>
  </si>
  <si>
    <t>F32, F90.</t>
  </si>
  <si>
    <t>F33, F91.</t>
  </si>
  <si>
    <t>F34, F92.</t>
  </si>
  <si>
    <t>F35, F93.</t>
  </si>
  <si>
    <t>F36, F94.</t>
  </si>
  <si>
    <t>F37, F95.</t>
  </si>
  <si>
    <t>F38, F96.</t>
  </si>
  <si>
    <t>F39, F97.</t>
  </si>
  <si>
    <t>F40, F98.</t>
  </si>
  <si>
    <t>F41, F99.</t>
  </si>
  <si>
    <t>F42, F0.</t>
  </si>
  <si>
    <t>F43, F1.</t>
  </si>
  <si>
    <t>F45, F3.</t>
  </si>
  <si>
    <t>F44, F2.</t>
  </si>
  <si>
    <t>F46, F4.</t>
  </si>
  <si>
    <t>G00, G21, G50, G79, GA1, GB1, GB2, GB3, GB4, GB5, GB6, GB7, GB8, GB9, GG1, GH1.</t>
  </si>
  <si>
    <t>G01, G22, G51, G80.</t>
  </si>
  <si>
    <t>G02, G23, G52, G81, GK1, GL3, GL7, GM1, GM5, GM9, GN3, GN7, GP1, GR1, GS3.</t>
  </si>
  <si>
    <t>G03, G24, G53, G82, GK2, GL4, GL8, GM2, GM6, GM0, GN4, GN8, GP2, GR2, GS4.</t>
  </si>
  <si>
    <t>G04, G25, G54, G83, GK3, GL5, GL9, GM3, GM7, GN1, GN5, GN9, GP3, GR3, GS5.</t>
  </si>
  <si>
    <t>G05, G26, G55, G84, GK4, GL6, GL0, GM4, GM8, GN2, GN6, GN0, GP4, GR4, GS6.</t>
  </si>
  <si>
    <t>G06, G27, G56, G85.</t>
  </si>
  <si>
    <t>G07, G28, G57, G86.</t>
  </si>
  <si>
    <t>G08, G29, G58, G87.</t>
  </si>
  <si>
    <t>G09, G30, G59, G88.</t>
  </si>
  <si>
    <t>G10, G31, G60, G89.</t>
  </si>
  <si>
    <t>G11, G32, G61, G90.</t>
  </si>
  <si>
    <t>G12, G33, G62, G91.</t>
  </si>
  <si>
    <t>G13, G34, G63, G92.</t>
  </si>
  <si>
    <t>G14, G35, G64, G93.</t>
  </si>
  <si>
    <t>G15, G36, G65, G94.</t>
  </si>
  <si>
    <t>G37, G66, G95.</t>
  </si>
  <si>
    <t>G38, G67, G96.</t>
  </si>
  <si>
    <t>G39, G68, G97.</t>
  </si>
  <si>
    <t>G40, G69, G98.</t>
  </si>
  <si>
    <t>G41, G70, G99.</t>
  </si>
  <si>
    <t>G16, G42, G71, G0.</t>
  </si>
  <si>
    <t>G17, G43, G72, G1.</t>
  </si>
  <si>
    <t>G45, G74, G3.</t>
  </si>
  <si>
    <t>G18, G44, G73, G2.</t>
  </si>
  <si>
    <t>G46, G75, G4.</t>
  </si>
  <si>
    <t>GX1.</t>
  </si>
  <si>
    <t>GX2.</t>
  </si>
  <si>
    <t xml:space="preserve">H00, H21, H50, H79, HA1, HB1, HB2, HB3, HB4, HB5, HG1, </t>
  </si>
  <si>
    <t>H01, H22, H51, H80.</t>
  </si>
  <si>
    <t>H02, H23, H52, H81, HK1, HL3, HL7, HM1, HR1, HS3.</t>
  </si>
  <si>
    <t>H03, H24, H53, H82, HK2, HL4, HL8, HM2, HR2, HS4.</t>
  </si>
  <si>
    <t>H04, H25, H54, H83, HK3, HL5, HL9, HM3, HR3, HS5.</t>
  </si>
  <si>
    <t>H05, H26, H55, H84, HK4, HL6, HL0, HM4, HR4, HS6.</t>
  </si>
  <si>
    <t>H06, H27, H56, H85.</t>
  </si>
  <si>
    <t>H07, H28, H57, H86.</t>
  </si>
  <si>
    <t>H08, H29, H58, H87.</t>
  </si>
  <si>
    <t>H09, H30, H59, H88.</t>
  </si>
  <si>
    <t>H10, H31, H60, H89.</t>
  </si>
  <si>
    <t>H11, H32, H61, H90.</t>
  </si>
  <si>
    <t>H12, H33, H62, H91.</t>
  </si>
  <si>
    <t>H13, H34, H63, H92.</t>
  </si>
  <si>
    <t>H14, H35, H64, H93.</t>
  </si>
  <si>
    <t>H15, H36, H65, H94.</t>
  </si>
  <si>
    <t>H37, H66, H95.</t>
  </si>
  <si>
    <t>H38, H67, H96.</t>
  </si>
  <si>
    <t>H39, H68, H97.</t>
  </si>
  <si>
    <t>H40, H69, H98.</t>
  </si>
  <si>
    <t>H41, H70, H99.</t>
  </si>
  <si>
    <t>H16, H42, H71, H0.</t>
  </si>
  <si>
    <t>H17, H43, H72, H1.</t>
  </si>
  <si>
    <t>H45, H74, H3.</t>
  </si>
  <si>
    <t>H18, H44, H73, H2.</t>
  </si>
  <si>
    <t>H46, H75, H4.</t>
  </si>
  <si>
    <t>J00, J21, J50, J79, JA1, JB1, JB2, JB3, JB4, JB5, JG1, JH1.</t>
  </si>
  <si>
    <t>J01, J22, J51, J80.</t>
  </si>
  <si>
    <t>J02, J23, J52, J81, JK1, JL3, JL7, JM1, JR1, JS3.</t>
  </si>
  <si>
    <t>J03, J24, J53, J82, JK2, JL4, JL8, JM2, JR2, JS4.</t>
  </si>
  <si>
    <t>J04, J25, J54, J83, JK3, JL5, JL9, JM3, JR3, JS5.</t>
  </si>
  <si>
    <t>J05, J26, J55, J84, JK4, JL6, JL0, JM4, JR4, JS6.</t>
  </si>
  <si>
    <t>J06, J27, J56, J85.</t>
  </si>
  <si>
    <t>J07, J28, J57, J86.</t>
  </si>
  <si>
    <t>J08, J29, J58, J87.</t>
  </si>
  <si>
    <t>J09, J30, J59, J88.</t>
  </si>
  <si>
    <t>J10, J31, J60, J89.</t>
  </si>
  <si>
    <t>J11, J32, J61, J90.</t>
  </si>
  <si>
    <t>J12, J33, J62, J91.</t>
  </si>
  <si>
    <t>J13, J34, J63, J92.</t>
  </si>
  <si>
    <t>J14, J35, J64, J93.</t>
  </si>
  <si>
    <t>J15, J36, J65, J94.</t>
  </si>
  <si>
    <t>J37, J66, J95.</t>
  </si>
  <si>
    <t>J38, J67, J96.</t>
  </si>
  <si>
    <t>J39, J68, J97.</t>
  </si>
  <si>
    <t>J40, J69, J98.</t>
  </si>
  <si>
    <t>J41, J70, J99.</t>
  </si>
  <si>
    <t>J16, J42, J71, J0.</t>
  </si>
  <si>
    <t>J17, J43, J72, J1.</t>
  </si>
  <si>
    <t>J45, J74, J3.</t>
  </si>
  <si>
    <t>J18, J44, J73, J2.</t>
  </si>
  <si>
    <t>J46, J75, J4.</t>
  </si>
  <si>
    <t>K21, K79, KB1, KB2, KB3, KB4, KH1.</t>
  </si>
  <si>
    <t>K22, K80.</t>
  </si>
  <si>
    <t>K23, K81, KL3, KL7, KM1, KS3.</t>
  </si>
  <si>
    <t>K24, K82, KL4, KL8, KM2, KS4.</t>
  </si>
  <si>
    <t>K25, K83, KL5, KL9, KM3, KS5.</t>
  </si>
  <si>
    <t>K26, K84, KL6, KL0, KM4, KS6.</t>
  </si>
  <si>
    <t>K27, K85.</t>
  </si>
  <si>
    <t>K28, K86.</t>
  </si>
  <si>
    <t>K29, K87.</t>
  </si>
  <si>
    <t>K30, K88.</t>
  </si>
  <si>
    <t>K31, K89.</t>
  </si>
  <si>
    <t>K32, K90.</t>
  </si>
  <si>
    <t>K33, K91.</t>
  </si>
  <si>
    <t>K34, K92.</t>
  </si>
  <si>
    <t>K35, K93.</t>
  </si>
  <si>
    <t>K36, K94.</t>
  </si>
  <si>
    <t>K37, K95.</t>
  </si>
  <si>
    <t>K38, K96.</t>
  </si>
  <si>
    <t>K39, K97.</t>
  </si>
  <si>
    <t>K40, K98.</t>
  </si>
  <si>
    <t>K41, K99.</t>
  </si>
  <si>
    <t>K42, K0.</t>
  </si>
  <si>
    <t>K43, K1.</t>
  </si>
  <si>
    <t>K45, K3.</t>
  </si>
  <si>
    <t>K44, K2.</t>
  </si>
  <si>
    <t>K46, K4.</t>
  </si>
  <si>
    <t>L21, L79, LB1, LB2, LB3, LB4, LB5, LH1.</t>
  </si>
  <si>
    <t>L22, L80.</t>
  </si>
  <si>
    <t>L23, L81, LL3, LL7, LM1, LS3.</t>
  </si>
  <si>
    <t>L24, L82, LL4, LL8, LM2, LS4.</t>
  </si>
  <si>
    <t>L25, L83, LL5, LL9, LM3, LS5.</t>
  </si>
  <si>
    <t>L26, L84, LL6, LL0, LM4, LS6.</t>
  </si>
  <si>
    <t>L27, L85.</t>
  </si>
  <si>
    <t>L28, L86.</t>
  </si>
  <si>
    <t>L29, L87.</t>
  </si>
  <si>
    <t>L30, L88.</t>
  </si>
  <si>
    <t>L31, L89.</t>
  </si>
  <si>
    <t>L32, L90.</t>
  </si>
  <si>
    <t>L33, L91.</t>
  </si>
  <si>
    <t>L34, L92.</t>
  </si>
  <si>
    <t>L35, L93.</t>
  </si>
  <si>
    <t>L36, L94.</t>
  </si>
  <si>
    <t>L37, L95.</t>
  </si>
  <si>
    <t>L38, L96.</t>
  </si>
  <si>
    <t>L39, L97.</t>
  </si>
  <si>
    <t>L40, L98.</t>
  </si>
  <si>
    <t>L41, L99.</t>
  </si>
  <si>
    <t>L42, L0.</t>
  </si>
  <si>
    <t>L43, L1.</t>
  </si>
  <si>
    <t>L45, L3.</t>
  </si>
  <si>
    <t>L44, L2.</t>
  </si>
  <si>
    <t>L46, L4.</t>
  </si>
  <si>
    <t>M00, M21, M79, MA1, MB1, MB2, MB3, MB4, MB5, MH1.</t>
  </si>
  <si>
    <t>M01, M22, M80.</t>
  </si>
  <si>
    <t>M02, M23, M81, MK1, ML3, ML7, MM1, MM5, MS3.</t>
  </si>
  <si>
    <t>M03, M24, M82, MK2, ML4, ML8, MM2, MM6, MS4.</t>
  </si>
  <si>
    <t>M04, M25, M83, MK3, ML5, ML9, MM3, MM7, MS5.</t>
  </si>
  <si>
    <t>M05, M26, M84, MK4, ML6, ML0, MM4, MM8, MS6.</t>
  </si>
  <si>
    <t>M06, M27, M85.</t>
  </si>
  <si>
    <t>M07, M28, M86.</t>
  </si>
  <si>
    <t>M08, M29, M87.</t>
  </si>
  <si>
    <t>M09, M30, M88.</t>
  </si>
  <si>
    <t>M10, M31, M89.</t>
  </si>
  <si>
    <t>M11, M32, M90.</t>
  </si>
  <si>
    <t>M12, M33, M91.</t>
  </si>
  <si>
    <t>M13, M34, M92.</t>
  </si>
  <si>
    <t>M14, M35, M93.</t>
  </si>
  <si>
    <t>M15, M36, M94.</t>
  </si>
  <si>
    <t>M37, M95.</t>
  </si>
  <si>
    <t>M38, M96.</t>
  </si>
  <si>
    <t>M39, M97.</t>
  </si>
  <si>
    <t>M40, M98.</t>
  </si>
  <si>
    <t>M41, M99.</t>
  </si>
  <si>
    <t>M16, M42, M0.</t>
  </si>
  <si>
    <t>M17, M43, M1.</t>
  </si>
  <si>
    <t>M45, M3.</t>
  </si>
  <si>
    <t>M18, M44, M2.</t>
  </si>
  <si>
    <t>M46, M4.</t>
  </si>
  <si>
    <t xml:space="preserve">N21, N50, NB1, NB2, NB3, NB4, NB5, </t>
  </si>
  <si>
    <t xml:space="preserve">N22, N51, </t>
  </si>
  <si>
    <t xml:space="preserve">N23, N52, NL3, NL7, NM1, </t>
  </si>
  <si>
    <t xml:space="preserve">N24, N53, NL4, NL8, NM2, </t>
  </si>
  <si>
    <t xml:space="preserve">N25, N54, NL5, NL9, NM3, </t>
  </si>
  <si>
    <t xml:space="preserve">N26, N55, NL6, NL0, NM4, </t>
  </si>
  <si>
    <t xml:space="preserve">N27, N56, </t>
  </si>
  <si>
    <t xml:space="preserve">N28, N57, </t>
  </si>
  <si>
    <t xml:space="preserve">N29, N58, </t>
  </si>
  <si>
    <t xml:space="preserve">N30, N59, </t>
  </si>
  <si>
    <t xml:space="preserve">N31, N60, </t>
  </si>
  <si>
    <t xml:space="preserve">N32, </t>
  </si>
  <si>
    <t xml:space="preserve">N33, </t>
  </si>
  <si>
    <t xml:space="preserve">N34, </t>
  </si>
  <si>
    <t xml:space="preserve">N35, </t>
  </si>
  <si>
    <t xml:space="preserve">N36, </t>
  </si>
  <si>
    <t xml:space="preserve">N37, N66, </t>
  </si>
  <si>
    <t xml:space="preserve">N38, N67, </t>
  </si>
  <si>
    <t xml:space="preserve">N39, N68, </t>
  </si>
  <si>
    <t xml:space="preserve">N40, N69, </t>
  </si>
  <si>
    <t xml:space="preserve">N41, N70, </t>
  </si>
  <si>
    <t xml:space="preserve">N42, N71, </t>
  </si>
  <si>
    <t xml:space="preserve">N43, </t>
  </si>
  <si>
    <t xml:space="preserve">N45, </t>
  </si>
  <si>
    <t xml:space="preserve">N44, </t>
  </si>
  <si>
    <t xml:space="preserve">N46, </t>
  </si>
  <si>
    <t xml:space="preserve">P21, PB1, PB2, PB3, PB4, </t>
  </si>
  <si>
    <t xml:space="preserve">P22, </t>
  </si>
  <si>
    <t xml:space="preserve">P23, PL3, PL7, PM1, </t>
  </si>
  <si>
    <t xml:space="preserve">P24, PL4, PL8, PM2, </t>
  </si>
  <si>
    <t xml:space="preserve">P25, PL5, PL9, PM3, </t>
  </si>
  <si>
    <t xml:space="preserve">P26, PL6, PL0, PM4, </t>
  </si>
  <si>
    <t xml:space="preserve">P27, </t>
  </si>
  <si>
    <t xml:space="preserve">P28, </t>
  </si>
  <si>
    <t xml:space="preserve">P29, </t>
  </si>
  <si>
    <t xml:space="preserve">P30, </t>
  </si>
  <si>
    <t xml:space="preserve">P31, </t>
  </si>
  <si>
    <t xml:space="preserve">P32, </t>
  </si>
  <si>
    <t xml:space="preserve">P33, </t>
  </si>
  <si>
    <t xml:space="preserve">P34, </t>
  </si>
  <si>
    <t xml:space="preserve">P35, </t>
  </si>
  <si>
    <t xml:space="preserve">P36, </t>
  </si>
  <si>
    <t xml:space="preserve">P37, </t>
  </si>
  <si>
    <t xml:space="preserve">P38, </t>
  </si>
  <si>
    <t xml:space="preserve">P39, </t>
  </si>
  <si>
    <t xml:space="preserve">P40, </t>
  </si>
  <si>
    <t xml:space="preserve">P41, </t>
  </si>
  <si>
    <t xml:space="preserve">P42, </t>
  </si>
  <si>
    <t xml:space="preserve">P43, </t>
  </si>
  <si>
    <t xml:space="preserve">P45, </t>
  </si>
  <si>
    <t xml:space="preserve">P44, </t>
  </si>
  <si>
    <t xml:space="preserve">P46, </t>
  </si>
  <si>
    <t>AX4.</t>
  </si>
  <si>
    <t>DZ1.</t>
  </si>
  <si>
    <t>A00</t>
  </si>
  <si>
    <t>A01</t>
  </si>
  <si>
    <t>A02</t>
  </si>
  <si>
    <t>A03</t>
  </si>
  <si>
    <t>A04</t>
  </si>
  <si>
    <t>A05</t>
  </si>
  <si>
    <t>A07</t>
  </si>
  <si>
    <t>A08</t>
  </si>
  <si>
    <t>A09</t>
  </si>
  <si>
    <t>A10</t>
  </si>
  <si>
    <t>A22</t>
  </si>
  <si>
    <t>A23</t>
  </si>
  <si>
    <t>A24</t>
  </si>
  <si>
    <t>A25</t>
  </si>
  <si>
    <t>A26</t>
  </si>
  <si>
    <t>A28</t>
  </si>
  <si>
    <t>A29</t>
  </si>
  <si>
    <t>A30</t>
  </si>
  <si>
    <t>A31</t>
  </si>
  <si>
    <t>A33</t>
  </si>
  <si>
    <t>A34</t>
  </si>
  <si>
    <t>A35</t>
  </si>
  <si>
    <t>A36</t>
  </si>
  <si>
    <t>A38</t>
  </si>
  <si>
    <t>A39</t>
  </si>
  <si>
    <t>A40</t>
  </si>
  <si>
    <t>A41</t>
  </si>
  <si>
    <t>A51</t>
  </si>
  <si>
    <t>A52</t>
  </si>
  <si>
    <t>A53</t>
  </si>
  <si>
    <t>A54</t>
  </si>
  <si>
    <t>A55</t>
  </si>
  <si>
    <t>A57</t>
  </si>
  <si>
    <t>A58</t>
  </si>
  <si>
    <t>A59</t>
  </si>
  <si>
    <t>A60</t>
  </si>
  <si>
    <t>A62</t>
  </si>
  <si>
    <t>A63</t>
  </si>
  <si>
    <t>A64</t>
  </si>
  <si>
    <t>A65</t>
  </si>
  <si>
    <t>A67</t>
  </si>
  <si>
    <t>A68</t>
  </si>
  <si>
    <t>A69</t>
  </si>
  <si>
    <t>A70</t>
  </si>
  <si>
    <t>A80</t>
  </si>
  <si>
    <t>A81</t>
  </si>
  <si>
    <t>A82</t>
  </si>
  <si>
    <t>A83</t>
  </si>
  <si>
    <t>A84</t>
  </si>
  <si>
    <t>A86</t>
  </si>
  <si>
    <t>A87</t>
  </si>
  <si>
    <t>A88</t>
  </si>
  <si>
    <t>A89</t>
  </si>
  <si>
    <t>A91</t>
  </si>
  <si>
    <t>A92</t>
  </si>
  <si>
    <t>A93</t>
  </si>
  <si>
    <t>A94</t>
  </si>
  <si>
    <t>A96</t>
  </si>
  <si>
    <t>A97</t>
  </si>
  <si>
    <t>A98</t>
  </si>
  <si>
    <t>B00</t>
  </si>
  <si>
    <t>B01</t>
  </si>
  <si>
    <t>B02</t>
  </si>
  <si>
    <t>B03</t>
  </si>
  <si>
    <t>B04</t>
  </si>
  <si>
    <t>B05</t>
  </si>
  <si>
    <t>B07</t>
  </si>
  <si>
    <t>B08</t>
  </si>
  <si>
    <t>B09</t>
  </si>
  <si>
    <t>B10</t>
  </si>
  <si>
    <t>B22</t>
  </si>
  <si>
    <t>B23</t>
  </si>
  <si>
    <t>B24</t>
  </si>
  <si>
    <t>B25</t>
  </si>
  <si>
    <t>B26</t>
  </si>
  <si>
    <t>B28</t>
  </si>
  <si>
    <t>B29</t>
  </si>
  <si>
    <t>B30</t>
  </si>
  <si>
    <t>B31</t>
  </si>
  <si>
    <t>B33</t>
  </si>
  <si>
    <t>B34</t>
  </si>
  <si>
    <t>B35</t>
  </si>
  <si>
    <t>B36</t>
  </si>
  <si>
    <t>B38</t>
  </si>
  <si>
    <t>B39</t>
  </si>
  <si>
    <t>B40</t>
  </si>
  <si>
    <t>B41</t>
  </si>
  <si>
    <t>B51</t>
  </si>
  <si>
    <t>B52</t>
  </si>
  <si>
    <t>B53</t>
  </si>
  <si>
    <t>B54</t>
  </si>
  <si>
    <t>B55</t>
  </si>
  <si>
    <t>B57</t>
  </si>
  <si>
    <t>B58</t>
  </si>
  <si>
    <t>B59</t>
  </si>
  <si>
    <t>B60</t>
  </si>
  <si>
    <t>B62</t>
  </si>
  <si>
    <t>B63</t>
  </si>
  <si>
    <t>B64</t>
  </si>
  <si>
    <t>B65</t>
  </si>
  <si>
    <t>B67</t>
  </si>
  <si>
    <t>B68</t>
  </si>
  <si>
    <t>B69</t>
  </si>
  <si>
    <t>B70</t>
  </si>
  <si>
    <t>B80</t>
  </si>
  <si>
    <t>B81</t>
  </si>
  <si>
    <t>B82</t>
  </si>
  <si>
    <t>B83</t>
  </si>
  <si>
    <t>B84</t>
  </si>
  <si>
    <t>B86</t>
  </si>
  <si>
    <t>B87</t>
  </si>
  <si>
    <t>B88</t>
  </si>
  <si>
    <t>B89</t>
  </si>
  <si>
    <t>B91</t>
  </si>
  <si>
    <t>B92</t>
  </si>
  <si>
    <t>B93</t>
  </si>
  <si>
    <t>B94</t>
  </si>
  <si>
    <t>B96</t>
  </si>
  <si>
    <t>B97</t>
  </si>
  <si>
    <t>B98</t>
  </si>
  <si>
    <t>C00</t>
  </si>
  <si>
    <t>C01</t>
  </si>
  <si>
    <t>C02</t>
  </si>
  <si>
    <t>C03</t>
  </si>
  <si>
    <t>C04</t>
  </si>
  <si>
    <t>C05</t>
  </si>
  <si>
    <t>C07</t>
  </si>
  <si>
    <t>C08</t>
  </si>
  <si>
    <t>C09</t>
  </si>
  <si>
    <t>C10</t>
  </si>
  <si>
    <t>C22</t>
  </si>
  <si>
    <t>C23</t>
  </si>
  <si>
    <t>C24</t>
  </si>
  <si>
    <t>C25</t>
  </si>
  <si>
    <t>C26</t>
  </si>
  <si>
    <t>C28</t>
  </si>
  <si>
    <t>C29</t>
  </si>
  <si>
    <t>C30</t>
  </si>
  <si>
    <t>C31</t>
  </si>
  <si>
    <t>C33</t>
  </si>
  <si>
    <t>C34</t>
  </si>
  <si>
    <t>C35</t>
  </si>
  <si>
    <t>C36</t>
  </si>
  <si>
    <t>C38</t>
  </si>
  <si>
    <t>C39</t>
  </si>
  <si>
    <t>C40</t>
  </si>
  <si>
    <t>C41</t>
  </si>
  <si>
    <t>C51</t>
  </si>
  <si>
    <t>C52</t>
  </si>
  <si>
    <t>C53</t>
  </si>
  <si>
    <t>C54</t>
  </si>
  <si>
    <t>C55</t>
  </si>
  <si>
    <t>C57</t>
  </si>
  <si>
    <t>C58</t>
  </si>
  <si>
    <t>C59</t>
  </si>
  <si>
    <t>C60</t>
  </si>
  <si>
    <t>C62</t>
  </si>
  <si>
    <t>C63</t>
  </si>
  <si>
    <t>C64</t>
  </si>
  <si>
    <t>C65</t>
  </si>
  <si>
    <t>C67</t>
  </si>
  <si>
    <t>C68</t>
  </si>
  <si>
    <t>C69</t>
  </si>
  <si>
    <t>C70</t>
  </si>
  <si>
    <t>C80</t>
  </si>
  <si>
    <t>C81</t>
  </si>
  <si>
    <t>C82</t>
  </si>
  <si>
    <t>C83</t>
  </si>
  <si>
    <t>C84</t>
  </si>
  <si>
    <t>C86</t>
  </si>
  <si>
    <t>C87</t>
  </si>
  <si>
    <t>C88</t>
  </si>
  <si>
    <t>C89</t>
  </si>
  <si>
    <t>C91</t>
  </si>
  <si>
    <t>C92</t>
  </si>
  <si>
    <t>C93</t>
  </si>
  <si>
    <t>C94</t>
  </si>
  <si>
    <t>C96</t>
  </si>
  <si>
    <t>C97</t>
  </si>
  <si>
    <t>C98</t>
  </si>
  <si>
    <t>D00</t>
  </si>
  <si>
    <t>D01</t>
  </si>
  <si>
    <t>D02</t>
  </si>
  <si>
    <t>D03</t>
  </si>
  <si>
    <t>D04</t>
  </si>
  <si>
    <t>D05</t>
  </si>
  <si>
    <t>D07</t>
  </si>
  <si>
    <t>D08</t>
  </si>
  <si>
    <t>D09</t>
  </si>
  <si>
    <t>D10</t>
  </si>
  <si>
    <t>D22</t>
  </si>
  <si>
    <t>D23</t>
  </si>
  <si>
    <t>D24</t>
  </si>
  <si>
    <t>D25</t>
  </si>
  <si>
    <t>D26</t>
  </si>
  <si>
    <t>D28</t>
  </si>
  <si>
    <t>D29</t>
  </si>
  <si>
    <t>D30</t>
  </si>
  <si>
    <t>D31</t>
  </si>
  <si>
    <t>D33</t>
  </si>
  <si>
    <t>D34</t>
  </si>
  <si>
    <t>D35</t>
  </si>
  <si>
    <t>D36</t>
  </si>
  <si>
    <t>D38</t>
  </si>
  <si>
    <t>D39</t>
  </si>
  <si>
    <t>D40</t>
  </si>
  <si>
    <t>D41</t>
  </si>
  <si>
    <t>D51</t>
  </si>
  <si>
    <t>D52</t>
  </si>
  <si>
    <t>D53</t>
  </si>
  <si>
    <t>D54</t>
  </si>
  <si>
    <t>D55</t>
  </si>
  <si>
    <t>D57</t>
  </si>
  <si>
    <t>D58</t>
  </si>
  <si>
    <t>D59</t>
  </si>
  <si>
    <t>D60</t>
  </si>
  <si>
    <t>D62</t>
  </si>
  <si>
    <t>D63</t>
  </si>
  <si>
    <t>D64</t>
  </si>
  <si>
    <t>D65</t>
  </si>
  <si>
    <t>D67</t>
  </si>
  <si>
    <t>D68</t>
  </si>
  <si>
    <t>D69</t>
  </si>
  <si>
    <t>D70</t>
  </si>
  <si>
    <t>D80</t>
  </si>
  <si>
    <t>D81</t>
  </si>
  <si>
    <t>D82</t>
  </si>
  <si>
    <t>D83</t>
  </si>
  <si>
    <t>D84</t>
  </si>
  <si>
    <t>D86</t>
  </si>
  <si>
    <t>D87</t>
  </si>
  <si>
    <t>D88</t>
  </si>
  <si>
    <t>D89</t>
  </si>
  <si>
    <t>D91</t>
  </si>
  <si>
    <t>D92</t>
  </si>
  <si>
    <t>D93</t>
  </si>
  <si>
    <t>D94</t>
  </si>
  <si>
    <t>D96</t>
  </si>
  <si>
    <t>D97</t>
  </si>
  <si>
    <t>D98</t>
  </si>
  <si>
    <t>E00</t>
  </si>
  <si>
    <t>E01</t>
  </si>
  <si>
    <t>E02</t>
  </si>
  <si>
    <t>E03</t>
  </si>
  <si>
    <t>E04</t>
  </si>
  <si>
    <t>E05</t>
  </si>
  <si>
    <t>E07</t>
  </si>
  <si>
    <t>E08</t>
  </si>
  <si>
    <t>E09</t>
  </si>
  <si>
    <t>E10</t>
  </si>
  <si>
    <t>E22</t>
  </si>
  <si>
    <t>E23</t>
  </si>
  <si>
    <t>E24</t>
  </si>
  <si>
    <t>E25</t>
  </si>
  <si>
    <t>E26</t>
  </si>
  <si>
    <t>E28</t>
  </si>
  <si>
    <t>E29</t>
  </si>
  <si>
    <t>E30</t>
  </si>
  <si>
    <t>E31</t>
  </si>
  <si>
    <t>E33</t>
  </si>
  <si>
    <t>E34</t>
  </si>
  <si>
    <t>E35</t>
  </si>
  <si>
    <t>E36</t>
  </si>
  <si>
    <t>E38</t>
  </si>
  <si>
    <t>E39</t>
  </si>
  <si>
    <t>E40</t>
  </si>
  <si>
    <t>E41</t>
  </si>
  <si>
    <t>E51</t>
  </si>
  <si>
    <t>E52</t>
  </si>
  <si>
    <t>E53</t>
  </si>
  <si>
    <t>E54</t>
  </si>
  <si>
    <t>E55</t>
  </si>
  <si>
    <t>E57</t>
  </si>
  <si>
    <t>E58</t>
  </si>
  <si>
    <t>E59</t>
  </si>
  <si>
    <t>E60</t>
  </si>
  <si>
    <t>E62</t>
  </si>
  <si>
    <t>E63</t>
  </si>
  <si>
    <t>E64</t>
  </si>
  <si>
    <t>E65</t>
  </si>
  <si>
    <t>E67</t>
  </si>
  <si>
    <t>E68</t>
  </si>
  <si>
    <t>E69</t>
  </si>
  <si>
    <t>E70</t>
  </si>
  <si>
    <t>E80</t>
  </si>
  <si>
    <t>E81</t>
  </si>
  <si>
    <t>E82</t>
  </si>
  <si>
    <t>E83</t>
  </si>
  <si>
    <t>E84</t>
  </si>
  <si>
    <t>E86</t>
  </si>
  <si>
    <t>E87</t>
  </si>
  <si>
    <t>E88</t>
  </si>
  <si>
    <t>E89</t>
  </si>
  <si>
    <t>E91</t>
  </si>
  <si>
    <t>E92</t>
  </si>
  <si>
    <t>E93</t>
  </si>
  <si>
    <t>E94</t>
  </si>
  <si>
    <t>E96</t>
  </si>
  <si>
    <t>E97</t>
  </si>
  <si>
    <t>E98</t>
  </si>
  <si>
    <t>F00</t>
  </si>
  <si>
    <t>F01</t>
  </si>
  <si>
    <t>F02</t>
  </si>
  <si>
    <t>F03</t>
  </si>
  <si>
    <t>F04</t>
  </si>
  <si>
    <t>F05</t>
  </si>
  <si>
    <t>F07</t>
  </si>
  <si>
    <t>F08</t>
  </si>
  <si>
    <t>F09</t>
  </si>
  <si>
    <t>F10</t>
  </si>
  <si>
    <t>F22</t>
  </si>
  <si>
    <t>F23</t>
  </si>
  <si>
    <t>F24</t>
  </si>
  <si>
    <t>F25</t>
  </si>
  <si>
    <t>F26</t>
  </si>
  <si>
    <t>F28</t>
  </si>
  <si>
    <t>F29</t>
  </si>
  <si>
    <t>F30</t>
  </si>
  <si>
    <t>F31</t>
  </si>
  <si>
    <t>F33</t>
  </si>
  <si>
    <t>F34</t>
  </si>
  <si>
    <t>F35</t>
  </si>
  <si>
    <t>F36</t>
  </si>
  <si>
    <t>F38</t>
  </si>
  <si>
    <t>F39</t>
  </si>
  <si>
    <t>F40</t>
  </si>
  <si>
    <t>F41</t>
  </si>
  <si>
    <t>F51</t>
  </si>
  <si>
    <t>F52</t>
  </si>
  <si>
    <t>F53</t>
  </si>
  <si>
    <t>F54</t>
  </si>
  <si>
    <t>F55</t>
  </si>
  <si>
    <t>F57</t>
  </si>
  <si>
    <t>F58</t>
  </si>
  <si>
    <t>F59</t>
  </si>
  <si>
    <t>F60</t>
  </si>
  <si>
    <t>F62</t>
  </si>
  <si>
    <t>F63</t>
  </si>
  <si>
    <t>F64</t>
  </si>
  <si>
    <t>F65</t>
  </si>
  <si>
    <t>F67</t>
  </si>
  <si>
    <t>F68</t>
  </si>
  <si>
    <t>F69</t>
  </si>
  <si>
    <t>F70</t>
  </si>
  <si>
    <t>F80</t>
  </si>
  <si>
    <t>F81</t>
  </si>
  <si>
    <t>F82</t>
  </si>
  <si>
    <t>F83</t>
  </si>
  <si>
    <t>F84</t>
  </si>
  <si>
    <t>F86</t>
  </si>
  <si>
    <t>F87</t>
  </si>
  <si>
    <t>F88</t>
  </si>
  <si>
    <t>F89</t>
  </si>
  <si>
    <t>F91</t>
  </si>
  <si>
    <t>F92</t>
  </si>
  <si>
    <t>F93</t>
  </si>
  <si>
    <t>F94</t>
  </si>
  <si>
    <t>F96</t>
  </si>
  <si>
    <t>F97</t>
  </si>
  <si>
    <t>F98</t>
  </si>
  <si>
    <t>G00</t>
  </si>
  <si>
    <t>G01</t>
  </si>
  <si>
    <t>G02</t>
  </si>
  <si>
    <t>G03</t>
  </si>
  <si>
    <t>G04</t>
  </si>
  <si>
    <t>G05</t>
  </si>
  <si>
    <t>G07</t>
  </si>
  <si>
    <t>G08</t>
  </si>
  <si>
    <t>G09</t>
  </si>
  <si>
    <t>G10</t>
  </si>
  <si>
    <t>G22</t>
  </si>
  <si>
    <t>G23</t>
  </si>
  <si>
    <t>G24</t>
  </si>
  <si>
    <t>G25</t>
  </si>
  <si>
    <t>G26</t>
  </si>
  <si>
    <t>G28</t>
  </si>
  <si>
    <t>G29</t>
  </si>
  <si>
    <t>G30</t>
  </si>
  <si>
    <t>G31</t>
  </si>
  <si>
    <t>G33</t>
  </si>
  <si>
    <t>G34</t>
  </si>
  <si>
    <t>G35</t>
  </si>
  <si>
    <t>G36</t>
  </si>
  <si>
    <t>G38</t>
  </si>
  <si>
    <t>G39</t>
  </si>
  <si>
    <t>G40</t>
  </si>
  <si>
    <t>G41</t>
  </si>
  <si>
    <t>G51</t>
  </si>
  <si>
    <t>G52</t>
  </si>
  <si>
    <t>G53</t>
  </si>
  <si>
    <t>G54</t>
  </si>
  <si>
    <t>G55</t>
  </si>
  <si>
    <t>G57</t>
  </si>
  <si>
    <t>G58</t>
  </si>
  <si>
    <t>G59</t>
  </si>
  <si>
    <t>G60</t>
  </si>
  <si>
    <t>G62</t>
  </si>
  <si>
    <t>G63</t>
  </si>
  <si>
    <t>G64</t>
  </si>
  <si>
    <t>G65</t>
  </si>
  <si>
    <t>G67</t>
  </si>
  <si>
    <t>G68</t>
  </si>
  <si>
    <t>G69</t>
  </si>
  <si>
    <t>G70</t>
  </si>
  <si>
    <t>G80</t>
  </si>
  <si>
    <t>G81</t>
  </si>
  <si>
    <t>G82</t>
  </si>
  <si>
    <t>G83</t>
  </si>
  <si>
    <t>G84</t>
  </si>
  <si>
    <t>G86</t>
  </si>
  <si>
    <t>G87</t>
  </si>
  <si>
    <t>G88</t>
  </si>
  <si>
    <t>G89</t>
  </si>
  <si>
    <t>G91</t>
  </si>
  <si>
    <t>G92</t>
  </si>
  <si>
    <t>G93</t>
  </si>
  <si>
    <t>G94</t>
  </si>
  <si>
    <t>G96</t>
  </si>
  <si>
    <t>G97</t>
  </si>
  <si>
    <t>G98</t>
  </si>
  <si>
    <t>H00</t>
  </si>
  <si>
    <t>H01</t>
  </si>
  <si>
    <t>H02</t>
  </si>
  <si>
    <t>H03</t>
  </si>
  <si>
    <t>H04</t>
  </si>
  <si>
    <t>H05</t>
  </si>
  <si>
    <t>H07</t>
  </si>
  <si>
    <t>H08</t>
  </si>
  <si>
    <t>H09</t>
  </si>
  <si>
    <t>H10</t>
  </si>
  <si>
    <t>H22</t>
  </si>
  <si>
    <t>H23</t>
  </si>
  <si>
    <t>H24</t>
  </si>
  <si>
    <t>H25</t>
  </si>
  <si>
    <t>H26</t>
  </si>
  <si>
    <t>H28</t>
  </si>
  <si>
    <t>H29</t>
  </si>
  <si>
    <t>H30</t>
  </si>
  <si>
    <t>H31</t>
  </si>
  <si>
    <t>H33</t>
  </si>
  <si>
    <t>H34</t>
  </si>
  <si>
    <t>H35</t>
  </si>
  <si>
    <t>H36</t>
  </si>
  <si>
    <t>H38</t>
  </si>
  <si>
    <t>H39</t>
  </si>
  <si>
    <t>H40</t>
  </si>
  <si>
    <t>H41</t>
  </si>
  <si>
    <t>H51</t>
  </si>
  <si>
    <t>H52</t>
  </si>
  <si>
    <t>H53</t>
  </si>
  <si>
    <t>H54</t>
  </si>
  <si>
    <t>H55</t>
  </si>
  <si>
    <t>H57</t>
  </si>
  <si>
    <t>H58</t>
  </si>
  <si>
    <t>H59</t>
  </si>
  <si>
    <t>H60</t>
  </si>
  <si>
    <t>H62</t>
  </si>
  <si>
    <t>H63</t>
  </si>
  <si>
    <t>H64</t>
  </si>
  <si>
    <t>H65</t>
  </si>
  <si>
    <t>H67</t>
  </si>
  <si>
    <t>H68</t>
  </si>
  <si>
    <t>H69</t>
  </si>
  <si>
    <t>H70</t>
  </si>
  <si>
    <t>H80</t>
  </si>
  <si>
    <t>H81</t>
  </si>
  <si>
    <t>H82</t>
  </si>
  <si>
    <t>H83</t>
  </si>
  <si>
    <t>H84</t>
  </si>
  <si>
    <t>H86</t>
  </si>
  <si>
    <t>H87</t>
  </si>
  <si>
    <t>H88</t>
  </si>
  <si>
    <t>H89</t>
  </si>
  <si>
    <t>H91</t>
  </si>
  <si>
    <t>H92</t>
  </si>
  <si>
    <t>H93</t>
  </si>
  <si>
    <t>H94</t>
  </si>
  <si>
    <t>H96</t>
  </si>
  <si>
    <t>H97</t>
  </si>
  <si>
    <t>H98</t>
  </si>
  <si>
    <t>J00</t>
  </si>
  <si>
    <t>J01</t>
  </si>
  <si>
    <t>J02</t>
  </si>
  <si>
    <t>J03</t>
  </si>
  <si>
    <t>J04</t>
  </si>
  <si>
    <t>J05</t>
  </si>
  <si>
    <t>J07</t>
  </si>
  <si>
    <t>J08</t>
  </si>
  <si>
    <t>J09</t>
  </si>
  <si>
    <t>J10</t>
  </si>
  <si>
    <t>J22</t>
  </si>
  <si>
    <t>J23</t>
  </si>
  <si>
    <t>J24</t>
  </si>
  <si>
    <t>J25</t>
  </si>
  <si>
    <t>J26</t>
  </si>
  <si>
    <t>J28</t>
  </si>
  <si>
    <t>J29</t>
  </si>
  <si>
    <t>J30</t>
  </si>
  <si>
    <t>J31</t>
  </si>
  <si>
    <t>J33</t>
  </si>
  <si>
    <t>J34</t>
  </si>
  <si>
    <t>J35</t>
  </si>
  <si>
    <t>J36</t>
  </si>
  <si>
    <t>J38</t>
  </si>
  <si>
    <t>J39</t>
  </si>
  <si>
    <t>J40</t>
  </si>
  <si>
    <t>J41</t>
  </si>
  <si>
    <t>J51</t>
  </si>
  <si>
    <t>J52</t>
  </si>
  <si>
    <t>J53</t>
  </si>
  <si>
    <t>J54</t>
  </si>
  <si>
    <t>J55</t>
  </si>
  <si>
    <t>J57</t>
  </si>
  <si>
    <t>J58</t>
  </si>
  <si>
    <t>J59</t>
  </si>
  <si>
    <t>J60</t>
  </si>
  <si>
    <t>J62</t>
  </si>
  <si>
    <t>J63</t>
  </si>
  <si>
    <t>J64</t>
  </si>
  <si>
    <t>J65</t>
  </si>
  <si>
    <t>J67</t>
  </si>
  <si>
    <t>J68</t>
  </si>
  <si>
    <t>J69</t>
  </si>
  <si>
    <t>J70</t>
  </si>
  <si>
    <t>J80</t>
  </si>
  <si>
    <t>J81</t>
  </si>
  <si>
    <t>J82</t>
  </si>
  <si>
    <t>J83</t>
  </si>
  <si>
    <t>J84</t>
  </si>
  <si>
    <t>J86</t>
  </si>
  <si>
    <t>J87</t>
  </si>
  <si>
    <t>J88</t>
  </si>
  <si>
    <t>J89</t>
  </si>
  <si>
    <t>J91</t>
  </si>
  <si>
    <t>J92</t>
  </si>
  <si>
    <t>J93</t>
  </si>
  <si>
    <t>J94</t>
  </si>
  <si>
    <t>J96</t>
  </si>
  <si>
    <t>J97</t>
  </si>
  <si>
    <t>J98</t>
  </si>
  <si>
    <t>K00</t>
  </si>
  <si>
    <t>K01</t>
  </si>
  <si>
    <t>K02</t>
  </si>
  <si>
    <t>K03</t>
  </si>
  <si>
    <t>K04</t>
  </si>
  <si>
    <t>K05</t>
  </si>
  <si>
    <t>K07</t>
  </si>
  <si>
    <t>K08</t>
  </si>
  <si>
    <t>K09</t>
  </si>
  <si>
    <t>K10</t>
  </si>
  <si>
    <t>K22</t>
  </si>
  <si>
    <t>K23</t>
  </si>
  <si>
    <t>K24</t>
  </si>
  <si>
    <t>K25</t>
  </si>
  <si>
    <t>K26</t>
  </si>
  <si>
    <t>K28</t>
  </si>
  <si>
    <t>K29</t>
  </si>
  <si>
    <t>K30</t>
  </si>
  <si>
    <t>K31</t>
  </si>
  <si>
    <t>K33</t>
  </si>
  <si>
    <t>K34</t>
  </si>
  <si>
    <t>K35</t>
  </si>
  <si>
    <t>K36</t>
  </si>
  <si>
    <t>K38</t>
  </si>
  <si>
    <t>K39</t>
  </si>
  <si>
    <t>K40</t>
  </si>
  <si>
    <t>K41</t>
  </si>
  <si>
    <t>K51</t>
  </si>
  <si>
    <t>K52</t>
  </si>
  <si>
    <t>K53</t>
  </si>
  <si>
    <t>K54</t>
  </si>
  <si>
    <t>K55</t>
  </si>
  <si>
    <t>K57</t>
  </si>
  <si>
    <t>K58</t>
  </si>
  <si>
    <t>K59</t>
  </si>
  <si>
    <t>K60</t>
  </si>
  <si>
    <t>K62</t>
  </si>
  <si>
    <t>K63</t>
  </si>
  <si>
    <t>K64</t>
  </si>
  <si>
    <t>K65</t>
  </si>
  <si>
    <t>K67</t>
  </si>
  <si>
    <t>K68</t>
  </si>
  <si>
    <t>K69</t>
  </si>
  <si>
    <t>K70</t>
  </si>
  <si>
    <t>K80</t>
  </si>
  <si>
    <t>K81</t>
  </si>
  <si>
    <t>K82</t>
  </si>
  <si>
    <t>K83</t>
  </si>
  <si>
    <t>K84</t>
  </si>
  <si>
    <t>K86</t>
  </si>
  <si>
    <t>K87</t>
  </si>
  <si>
    <t>K88</t>
  </si>
  <si>
    <t>K89</t>
  </si>
  <si>
    <t>K91</t>
  </si>
  <si>
    <t>K92</t>
  </si>
  <si>
    <t>K93</t>
  </si>
  <si>
    <t>K94</t>
  </si>
  <si>
    <t>K96</t>
  </si>
  <si>
    <t>K97</t>
  </si>
  <si>
    <t>K98</t>
  </si>
  <si>
    <t>L00</t>
  </si>
  <si>
    <t>L01</t>
  </si>
  <si>
    <t>L02</t>
  </si>
  <si>
    <t>L03</t>
  </si>
  <si>
    <t>L04</t>
  </si>
  <si>
    <t>L05</t>
  </si>
  <si>
    <t>L07</t>
  </si>
  <si>
    <t>L08</t>
  </si>
  <si>
    <t>L09</t>
  </si>
  <si>
    <t>L10</t>
  </si>
  <si>
    <t>L22</t>
  </si>
  <si>
    <t>L23</t>
  </si>
  <si>
    <t>L24</t>
  </si>
  <si>
    <t>L25</t>
  </si>
  <si>
    <t>L26</t>
  </si>
  <si>
    <t>L28</t>
  </si>
  <si>
    <t>L29</t>
  </si>
  <si>
    <t>L30</t>
  </si>
  <si>
    <t>L31</t>
  </si>
  <si>
    <t>L33</t>
  </si>
  <si>
    <t>L34</t>
  </si>
  <si>
    <t>L35</t>
  </si>
  <si>
    <t>L36</t>
  </si>
  <si>
    <t>L38</t>
  </si>
  <si>
    <t>L39</t>
  </si>
  <si>
    <t>L40</t>
  </si>
  <si>
    <t>L41</t>
  </si>
  <si>
    <t>L51</t>
  </si>
  <si>
    <t>L52</t>
  </si>
  <si>
    <t>L53</t>
  </si>
  <si>
    <t>L54</t>
  </si>
  <si>
    <t>L55</t>
  </si>
  <si>
    <t>L57</t>
  </si>
  <si>
    <t>L58</t>
  </si>
  <si>
    <t>L59</t>
  </si>
  <si>
    <t>L60</t>
  </si>
  <si>
    <t>L62</t>
  </si>
  <si>
    <t>L63</t>
  </si>
  <si>
    <t>L64</t>
  </si>
  <si>
    <t>L65</t>
  </si>
  <si>
    <t>L67</t>
  </si>
  <si>
    <t>L68</t>
  </si>
  <si>
    <t>L69</t>
  </si>
  <si>
    <t>L70</t>
  </si>
  <si>
    <t>L80</t>
  </si>
  <si>
    <t>L81</t>
  </si>
  <si>
    <t>L82</t>
  </si>
  <si>
    <t>L83</t>
  </si>
  <si>
    <t>L84</t>
  </si>
  <si>
    <t>L86</t>
  </si>
  <si>
    <t>L87</t>
  </si>
  <si>
    <t>L88</t>
  </si>
  <si>
    <t>L89</t>
  </si>
  <si>
    <t>L91</t>
  </si>
  <si>
    <t>L92</t>
  </si>
  <si>
    <t>L93</t>
  </si>
  <si>
    <t>L94</t>
  </si>
  <si>
    <t>L96</t>
  </si>
  <si>
    <t>L97</t>
  </si>
  <si>
    <t>L98</t>
  </si>
  <si>
    <t>M00</t>
  </si>
  <si>
    <t>M01</t>
  </si>
  <si>
    <t>M02</t>
  </si>
  <si>
    <t>M03</t>
  </si>
  <si>
    <t>M04</t>
  </si>
  <si>
    <t>M05</t>
  </si>
  <si>
    <t>M07</t>
  </si>
  <si>
    <t>M08</t>
  </si>
  <si>
    <t>M09</t>
  </si>
  <si>
    <t>M10</t>
  </si>
  <si>
    <t>M22</t>
  </si>
  <si>
    <t>M23</t>
  </si>
  <si>
    <t>M24</t>
  </si>
  <si>
    <t>M25</t>
  </si>
  <si>
    <t>M26</t>
  </si>
  <si>
    <t>M28</t>
  </si>
  <si>
    <t>M29</t>
  </si>
  <si>
    <t>M30</t>
  </si>
  <si>
    <t>M31</t>
  </si>
  <si>
    <t>M33</t>
  </si>
  <si>
    <t>M34</t>
  </si>
  <si>
    <t>M35</t>
  </si>
  <si>
    <t>M36</t>
  </si>
  <si>
    <t>M38</t>
  </si>
  <si>
    <t>M39</t>
  </si>
  <si>
    <t>M40</t>
  </si>
  <si>
    <t>M41</t>
  </si>
  <si>
    <t>M51</t>
  </si>
  <si>
    <t>M52</t>
  </si>
  <si>
    <t>M53</t>
  </si>
  <si>
    <t>M54</t>
  </si>
  <si>
    <t>M55</t>
  </si>
  <si>
    <t>M57</t>
  </si>
  <si>
    <t>M58</t>
  </si>
  <si>
    <t>M59</t>
  </si>
  <si>
    <t>M60</t>
  </si>
  <si>
    <t>M62</t>
  </si>
  <si>
    <t>M63</t>
  </si>
  <si>
    <t>M64</t>
  </si>
  <si>
    <t>M65</t>
  </si>
  <si>
    <t>M67</t>
  </si>
  <si>
    <t>M68</t>
  </si>
  <si>
    <t>M69</t>
  </si>
  <si>
    <t>M70</t>
  </si>
  <si>
    <t>M80</t>
  </si>
  <si>
    <t>M81</t>
  </si>
  <si>
    <t>M82</t>
  </si>
  <si>
    <t>M83</t>
  </si>
  <si>
    <t>M84</t>
  </si>
  <si>
    <t>M86</t>
  </si>
  <si>
    <t>M87</t>
  </si>
  <si>
    <t>M88</t>
  </si>
  <si>
    <t>M89</t>
  </si>
  <si>
    <t>M91</t>
  </si>
  <si>
    <t>M92</t>
  </si>
  <si>
    <t>M93</t>
  </si>
  <si>
    <t>M94</t>
  </si>
  <si>
    <t>M96</t>
  </si>
  <si>
    <t>M97</t>
  </si>
  <si>
    <t>M98</t>
  </si>
  <si>
    <t>N00</t>
  </si>
  <si>
    <t>N01</t>
  </si>
  <si>
    <t>N02</t>
  </si>
  <si>
    <t>N03</t>
  </si>
  <si>
    <t>N04</t>
  </si>
  <si>
    <t>N05</t>
  </si>
  <si>
    <t>N07</t>
  </si>
  <si>
    <t>N08</t>
  </si>
  <si>
    <t>N09</t>
  </si>
  <si>
    <t>N10</t>
  </si>
  <si>
    <t>N22</t>
  </si>
  <si>
    <t>N23</t>
  </si>
  <si>
    <t>N24</t>
  </si>
  <si>
    <t>N25</t>
  </si>
  <si>
    <t>N26</t>
  </si>
  <si>
    <t>N28</t>
  </si>
  <si>
    <t>N29</t>
  </si>
  <si>
    <t>N30</t>
  </si>
  <si>
    <t>N31</t>
  </si>
  <si>
    <t>N33</t>
  </si>
  <si>
    <t>N34</t>
  </si>
  <si>
    <t>N35</t>
  </si>
  <si>
    <t>N36</t>
  </si>
  <si>
    <t>N38</t>
  </si>
  <si>
    <t>N39</t>
  </si>
  <si>
    <t>N40</t>
  </si>
  <si>
    <t>N41</t>
  </si>
  <si>
    <t>N51</t>
  </si>
  <si>
    <t>N52</t>
  </si>
  <si>
    <t>N53</t>
  </si>
  <si>
    <t>N54</t>
  </si>
  <si>
    <t>N55</t>
  </si>
  <si>
    <t>N57</t>
  </si>
  <si>
    <t>N58</t>
  </si>
  <si>
    <t>N59</t>
  </si>
  <si>
    <t>N60</t>
  </si>
  <si>
    <t>N62</t>
  </si>
  <si>
    <t>N63</t>
  </si>
  <si>
    <t>N64</t>
  </si>
  <si>
    <t>N65</t>
  </si>
  <si>
    <t>N67</t>
  </si>
  <si>
    <t>N68</t>
  </si>
  <si>
    <t>N69</t>
  </si>
  <si>
    <t>N70</t>
  </si>
  <si>
    <t>N80</t>
  </si>
  <si>
    <t>N81</t>
  </si>
  <si>
    <t>N82</t>
  </si>
  <si>
    <t>N83</t>
  </si>
  <si>
    <t>N84</t>
  </si>
  <si>
    <t>N86</t>
  </si>
  <si>
    <t>N87</t>
  </si>
  <si>
    <t>N88</t>
  </si>
  <si>
    <t>N89</t>
  </si>
  <si>
    <t>N91</t>
  </si>
  <si>
    <t>N92</t>
  </si>
  <si>
    <t>N93</t>
  </si>
  <si>
    <t>N94</t>
  </si>
  <si>
    <t>N96</t>
  </si>
  <si>
    <t>N97</t>
  </si>
  <si>
    <t>N98</t>
  </si>
  <si>
    <t>P00</t>
  </si>
  <si>
    <t>P01</t>
  </si>
  <si>
    <t>P02</t>
  </si>
  <si>
    <t>P03</t>
  </si>
  <si>
    <t>P04</t>
  </si>
  <si>
    <t>P05</t>
  </si>
  <si>
    <t>P07</t>
  </si>
  <si>
    <t>P08</t>
  </si>
  <si>
    <t>P09</t>
  </si>
  <si>
    <t>P10</t>
  </si>
  <si>
    <t>P22</t>
  </si>
  <si>
    <t>P23</t>
  </si>
  <si>
    <t>P24</t>
  </si>
  <si>
    <t>P25</t>
  </si>
  <si>
    <t>P26</t>
  </si>
  <si>
    <t>P28</t>
  </si>
  <si>
    <t>P29</t>
  </si>
  <si>
    <t>P30</t>
  </si>
  <si>
    <t>P31</t>
  </si>
  <si>
    <t>P33</t>
  </si>
  <si>
    <t>P34</t>
  </si>
  <si>
    <t>P35</t>
  </si>
  <si>
    <t>P36</t>
  </si>
  <si>
    <t>P38</t>
  </si>
  <si>
    <t>P39</t>
  </si>
  <si>
    <t>P40</t>
  </si>
  <si>
    <t>P41</t>
  </si>
  <si>
    <t>P51</t>
  </si>
  <si>
    <t>P52</t>
  </si>
  <si>
    <t>P53</t>
  </si>
  <si>
    <t>P54</t>
  </si>
  <si>
    <t>P55</t>
  </si>
  <si>
    <t>P57</t>
  </si>
  <si>
    <t>P58</t>
  </si>
  <si>
    <t>P59</t>
  </si>
  <si>
    <t>P60</t>
  </si>
  <si>
    <t>P62</t>
  </si>
  <si>
    <t>P63</t>
  </si>
  <si>
    <t>P64</t>
  </si>
  <si>
    <t>P65</t>
  </si>
  <si>
    <t>P67</t>
  </si>
  <si>
    <t>P68</t>
  </si>
  <si>
    <t>P69</t>
  </si>
  <si>
    <t>P70</t>
  </si>
  <si>
    <t>P80</t>
  </si>
  <si>
    <t>P81</t>
  </si>
  <si>
    <t>P82</t>
  </si>
  <si>
    <t>P83</t>
  </si>
  <si>
    <t>P84</t>
  </si>
  <si>
    <t>P86</t>
  </si>
  <si>
    <t>P87</t>
  </si>
  <si>
    <t>P88</t>
  </si>
  <si>
    <t>P89</t>
  </si>
  <si>
    <t>P91</t>
  </si>
  <si>
    <t>P92</t>
  </si>
  <si>
    <t>P93</t>
  </si>
  <si>
    <t>P94</t>
  </si>
  <si>
    <t>P96</t>
  </si>
  <si>
    <t>P97</t>
  </si>
  <si>
    <t>P98</t>
  </si>
  <si>
    <t>07:30 to 16:00
19:00 to 21:00</t>
  </si>
  <si>
    <t>00:00 to 07:30
21:00 to 24:00</t>
  </si>
  <si>
    <t>Monday to Friday 
(Including Bank Holidays)
Nov to Feb Inclusive</t>
  </si>
  <si>
    <t>00:00 to 24:00</t>
  </si>
  <si>
    <t>Monday to Friday 
(Including Bank Holidays)
Mar to Oct Inclusive</t>
  </si>
  <si>
    <t>07:30 to 21:00</t>
  </si>
  <si>
    <t>Saturday and Sunday
All year</t>
  </si>
  <si>
    <t>2</t>
  </si>
  <si>
    <t>4</t>
  </si>
  <si>
    <t>(Name 1)</t>
  </si>
  <si>
    <t>(Name 2)</t>
  </si>
  <si>
    <t>(Name 3)</t>
  </si>
  <si>
    <t>(Name 4)</t>
  </si>
  <si>
    <t>Monday to Friday 
Mar to Oct</t>
  </si>
  <si>
    <t>00:30 – 07:30</t>
  </si>
  <si>
    <t>07:30 – 00:30</t>
  </si>
  <si>
    <t>Monday to Friday 
Nov to Feb</t>
  </si>
  <si>
    <t>16:00 – 19:00</t>
  </si>
  <si>
    <t>07:30 – 16:00
19:00 – 20:00</t>
  </si>
  <si>
    <t>20:00 – 00:30</t>
  </si>
  <si>
    <t>11:00 - 14:00
16:00 - 19:00</t>
  </si>
  <si>
    <t>07:00 - 11:00
14:00 - 16:00
19:00 - 23:00</t>
  </si>
  <si>
    <t>07:00 - 11:00
14:00 - 23:00</t>
  </si>
  <si>
    <t>Monday to Friday 
(Including Bank Holidays)
March, April, May and September, October</t>
  </si>
  <si>
    <t>16.30 - 19.30</t>
  </si>
  <si>
    <t>08.00 - 16.30
19.30 - 22.30</t>
  </si>
  <si>
    <t>00.00 - 08.00
22.30 - 00.00</t>
  </si>
  <si>
    <t>08.00 - 22.30</t>
  </si>
  <si>
    <t>16.00 - 20.00</t>
  </si>
  <si>
    <t>00.00 - 16.00
20.00 - 00.00</t>
  </si>
  <si>
    <t>`</t>
  </si>
  <si>
    <t>00:00-16:00
20:00-00:00</t>
  </si>
  <si>
    <t>Monday to Friday 
March to October</t>
  </si>
  <si>
    <t>23:30 – 07:30</t>
  </si>
  <si>
    <t>07:30 – 23:30</t>
  </si>
  <si>
    <t>20:00 – 23:30</t>
  </si>
  <si>
    <t>07:30 – 16:00
19:00 – 20:00</t>
  </si>
  <si>
    <t>16:00 to 19:30</t>
  </si>
  <si>
    <t>08:00 to 16:00
19:30 to 22:00</t>
  </si>
  <si>
    <t>00:00 to 08:00
22:00 to 24:00</t>
  </si>
  <si>
    <t>Monday to Friday 
(Including Bank Holidays)
April to October Inclusive and March</t>
  </si>
  <si>
    <t>08:00 to 22:00</t>
  </si>
  <si>
    <t>0, 1, 8</t>
  </si>
  <si>
    <t>09:00 to 16:00
19:00 to 20:30</t>
  </si>
  <si>
    <t>00.00 - 09.00
20.30 - 24.00</t>
  </si>
  <si>
    <t>09.00 - 20.30</t>
  </si>
  <si>
    <t>00.00 - 16.00
19.00 - 24.00</t>
  </si>
  <si>
    <t>09:00 - 16.00
19.00 - 20.30</t>
  </si>
  <si>
    <t>0, 1 or 2</t>
  </si>
  <si>
    <t>0, 3, 4 or 5-8</t>
  </si>
  <si>
    <t>0 or 8</t>
  </si>
  <si>
    <t>07:00 - 22:00</t>
  </si>
  <si>
    <t>07:00 - 16:30
19:30 - 22:00</t>
  </si>
  <si>
    <t>00:00 - 07:00
22:00 - 24:00</t>
  </si>
  <si>
    <t>Monday to Friday 
(Including Bank Holidays)
April to March Inclusive</t>
  </si>
  <si>
    <t>09:30 - 21:30</t>
  </si>
  <si>
    <t>00:00 - 09:30
21:30 - 24:00</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</si>
  <si>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</si>
  <si>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</si>
  <si>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</si>
  <si>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</si>
  <si>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</si>
  <si>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</si>
  <si>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</si>
  <si>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</si>
  <si>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</si>
  <si>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00:30 - 07:30</t>
  </si>
  <si>
    <t>00:00 - 00:30
07:30 - 24:00</t>
  </si>
  <si>
    <t>07:30 – 16:00</t>
  </si>
  <si>
    <t>00:00 - 00:30
19:00 - 24:00</t>
  </si>
  <si>
    <t>17:00 to 19:00</t>
  </si>
  <si>
    <t>07:30 to 17:00
19:00 to 21:30</t>
  </si>
  <si>
    <t>00:00 to 07:30
21:30 to 24:00</t>
  </si>
  <si>
    <t>Monday to Friday 
(Including Bank Holidays)
Mar to Oct Inclusive  (plus 22nd Dec to 4th Jan inclusive)</t>
  </si>
  <si>
    <t>07:30 to 21:30</t>
  </si>
  <si>
    <t>1, 2 or 0</t>
  </si>
  <si>
    <t>3 to 8 or 0</t>
  </si>
  <si>
    <t>00:00 - 06:30
23:30 - 24:00</t>
  </si>
  <si>
    <t>06:30 - 23:30</t>
  </si>
  <si>
    <t>06:30 - 16:00</t>
  </si>
  <si>
    <t>19:00 - 23:30</t>
  </si>
  <si>
    <t>07:00 - 21:00</t>
  </si>
  <si>
    <t>07:00 - 16:00
19:00 - 21:00</t>
  </si>
  <si>
    <t>00:00 - 07:00
21:00 - 24:00</t>
  </si>
  <si>
    <t>12:00 - 20:00</t>
  </si>
  <si>
    <t>00:00 - 12:00
20:00 - 24:00</t>
  </si>
  <si>
    <t xml:space="preserve">0 or 8 </t>
  </si>
  <si>
    <t>DNO specific: needs to be updated</t>
  </si>
  <si>
    <t>[Start] - [End]</t>
  </si>
  <si>
    <t>-</t>
  </si>
  <si>
    <t>A0, A00, A01, A02, A03, A04, A05, A06, A07, A08, A09, A1, A10, A16, A17, A18, A19, A2, A21, A22, A23, A24, A25, A26, A27, A28, A29, A30, A31, A42, A43, A44, A47, A5, A50, A51, A52, A53, A54, A55, A56, A57, A58, A59, A60, A71, A72, A73, A76, A79, A80, A81, A82, A83, A84, A85, A86, A87, A88, A89, AA1, AB1, AB2, AB3, AB4, AG1, AH1, AK1, AK2, AK3, AK4, AL0, AL3, AL4, AL5, AL6, AL7, AL8, AL9, AM1, AM2, AM3, AM4, AM5, AM6, AM7, AM8, AR1, AR2, AR3, AR4, AS3, AS4, AS5, AS6.</t>
  </si>
  <si>
    <t>A11, A12, A13, A14, A15, A20, A3, A32, A33, A34, A35, A36, A45, A48, A6, A61, A62, A63, A64, A65, A74, A77, A90, A91, A92, A93, A94.</t>
  </si>
  <si>
    <t>A37, A38, A39, A4, A40, A41, A46, A49, A66, A67, A68, A69, A7, A70, A75, A78, A95, A96, A97, A98, A99.</t>
  </si>
  <si>
    <t>AX9.</t>
  </si>
  <si>
    <t>AX3, AX4.</t>
  </si>
  <si>
    <t>B37, B38, B39, B4, B40, B41, B46, B49, B66, B67, B68, B69, B7, B70, B75, B78, B95, B96, B97, B98, B99.</t>
  </si>
  <si>
    <t>B11, B12, B13, B14, B15, B20, B3, B32, B33, B34, B35, B36, B45, B48, B6, B61, B62, B63, B64, B65, B74, B77, B90, B91, B92, B93, B94.</t>
  </si>
  <si>
    <t>B0, B00, B01, B02, B03, B04, B05, B06, B07, B08, B09, B1, B10, B16, B17, B18, B19, B2, B21, B22, B23, B24, B25, B26, B27, B28, B29, B30, B31, B42, B43, B44, B47, B5, B50, B51, B52, B53, B54, B55, B56, B57, B58, B59, B60, B71, B72, B73, B76, B79, B80, B81, B82, B83, B84, B85, B86, B87, B88, B89, BA1, BB1, BB2, BB3, BB4, BG1, BH1, BK1, BK2, BK3, BK4, BL0, BL3, BL4, BL5, BL6, BL7, BL8, BL9, BM1, BM2, BM3, BM4, BR1, BR2, BR3, BR4, BS3, BS4, BS5, BS6.</t>
  </si>
  <si>
    <t>C0, C00, C01, C02, C03, C04, C05, C06, C07, C08, C09, C1, C10, C16, C17, C18, C19, C2, C21, C22, C23, C24, C25, C26, C27, C28, C29, C30, C31, C42, C43, C44, C47, C5, C50, C51, C52, C53, C54, C55, C56, C57, C58, C59, C60, C71, C72, C73, C76, C79, C80, C81, C82, C83, C84, C85, C86, C87, C88, C89, CA1, CA2, CB1, CB2, CB3, CB4, CB5, CB6, CB7, CB8, CG1, CH1, CK1, CK2, CK3, CK4, CK5, CK6, CK7, CK8, CL0, CL3, CL4, CL5, CL6, CL7, CL8, CL9, CM0, CM1, CM2, CM3, CM4, CM5, CM6, CM7, CM8, CM9, CN0, CN1, CN2, CN3, CN4, CN5, CN6, CN7, CN8, CN9, CR1, CR2, CR3, CR4, CS3, CS4, CS5, CS6.</t>
  </si>
  <si>
    <t>C11, C12, C13, C14, C15, C20, C3, C32, C33, C34, C35, C36, C45, C48, C6, C61, C62, C63, C64, C65, C74, C77, C90, C91, C92, C93, C94.</t>
  </si>
  <si>
    <t>C37, C38, C39, C4, C40, C41, C46, C49, C66, C67, C68, C69, C7, C70, C75, C78, C95, C96, C97, C98, C99.</t>
  </si>
  <si>
    <t>D37, D38, D39, D4, D40, D41, D46, D49, D66, D67, D68, D69, D7, D70, D75, D78, D95, D96, D97, D98, D99.</t>
  </si>
  <si>
    <t>D11, D12, D13, D14, D15, D20, D3, D32, D33, D34, D35, D36, D45, D48, D6, D61, D62, D63, D64, D65, D74, D77, D90, D91, D92, D93, D94.</t>
  </si>
  <si>
    <t>D0, D00, D01, D02, D03, D04, D05, D06, D07, D08, D09, D1, D10, D16, D17, D18, D19, D2, D21, D22, D23, D24, D25, D26, D27, D28, D29, D30, D31, D42, D43, D44, D47, D5, D50, D51, D52, D53, D54, D55, D56, D57, D58, D59, D60, D71, D72, D73, D76, D79, D80, D81, D82, D83, D84, D85, D86, D87, D88, D89, DA1, DB1, DB2, DB3, DB4, DB5, DB6, DB7, DB8, DG1, DH1, DH2, DH3, DK1, DK2, DK3, DK4, DL0, DL3, DL4, DL5, DL6, DL7, DL8, DL9, DM0, DM1, DM2, DM3, DM4, DM5, DM6, DM7, DM8, DM9, DN0, DN1, DN2, DN3, DN4, DN5, DN6, DN7, DN8, DN9, DP0, DP1, DP2, DP3, DP4, DP5, DP6, DP7, DP8, DP9, DQ1, DQ2, DR1, DR2, DR3, DR4, DS0, DS3, DS4, DS5, DS6, DS7, DS8, DS9, DT1, DT2, DT3, DT4, DY4.</t>
  </si>
  <si>
    <t>E37, E38, E39, E4, E40, E41, E46, E49, E66, E67, E68, E69, E7, E70, E75, E78, E95, E96, E97, E98, E99.</t>
  </si>
  <si>
    <t>E11, E12, E13, E14, E15, E20, E3, E32, E33, E34, E35, E36, E45, E48, E6, E61, E62, E63, E64, E65, E74, E77, E90, E91, E92, E93, E94.</t>
  </si>
  <si>
    <t>E0, E00, E01, E02, E03, E04, E05, E06, E07, E08, E09, E1, E10, E16, E17, E18, E19, E2, E21, E22, E23, E24, E25, E26, E27, E28, E29, E30, E31, E42, E43, E44, E47, E5, E50, E51, E52, E53, E54, E55, E56, E57, E58, E59, E60, E71, E72, E73, E76, E79, E80, E81, E82, E83, E84, E85, E86, E87, E88, E89, EA1, EB1, EB2, EB3, EB4, EB5, EG1, EH1, EK1, EK2, EK3, EK4, EL0, EL3, EL4, EL5, EL6, EL7, EL8, EL9, EM0, EM1, EM2, EM3, EM4, EM5, EM6, EM7, EM8, EM9, EN1, EN2, EN3, EN4, EN5, EN6, ER1, ER2, ER3, ER4, ES3, ES4, ES5, ES6.</t>
  </si>
  <si>
    <t>F0, F1, F2, F21, F22, F23, F24, F25, F26, F27, F28, F29, F30, F31, F42, F43, F44, F47, F5, F50, F51, F52, F53, F54, F55, F56, F57, F58, F59, F60, F71, F72, F73, F76, F79, F80, F81, F82, F83, F84, F85, F86, F87, F88, F89, FB1, FB2, FB3, FB4, FB5, FH1, FL0, FL3, FL4, FL5, FL6, FL7, FL8, FL9, FM1, FM2, FM3, FM4, FS3, FS4, FS5, FS6.</t>
  </si>
  <si>
    <t>F3, F32, F33, F34, F35, F36, F45, F48, F6, F61, F62, F63, F64, F65, F74, F77, F90, F91, F92, F93, F94.</t>
  </si>
  <si>
    <t>GX1, GX2.</t>
  </si>
  <si>
    <t>G37, G38, G39, G4, G40, G41, G46, G49, G66, G67, G68, G69, G7, G70, G75, G78, G95, G96, G97, G98, G99.</t>
  </si>
  <si>
    <t>G11, G12, G13, G14, G15, G20, G3, G32, G33, G34, G35, G36, G45, G48, G6, G61, G62, G63, G64, G65, G74, G77, G90, G91, G92, G93, G94.</t>
  </si>
  <si>
    <t>G0, G00, G01, G02, G03, G04, G05, G06, G07, G08, G09, G1, G10, G16, G17, G18, G19, G2, G21, G22, G23, G24, G25, G26, G27, G28, G29, G30, G31, G42, G43, G44, G47, G5, G50, G51, G52, G53, G54, G55, G56, G57, G58, G59, G60, G71, G72, G73, G76, G79, G80, G81, G82, G83, G84, G85, G86, G87, G88, G89, GA1, GB1, GB2, GB3, GB4, GB5, GB6, GB7, GB8, GB9, GG1, GH1, GK1, GK2, GK3, GK4, GL0, GL3, GL4, GL5, GL6, GL7, GL8, GL9, GM0, GM1, GM2, GM3, GM4, GM5, GM6, GM7, GM8, GM9, GN0, GN1, GN2, GN3, GN4, GN5, GN6, GN7, GN8, GN9, GP1, GP2, GP3, GP4, GR1, GR2, GR3, GR4, GS3, GS4, GS5, GS6, GY4.</t>
  </si>
  <si>
    <t>H0, H00, H01, H02, H03, H04, H05, H06, H07, H08, H09, H1, H10, H16, H17, H18, H19, H2, H21, H22, H23, H24, H25, H26, H27, H28, H29, H30, H31, H42, H43, H44, H47, H5, H50, H51, H52, H53, H54, H55, H56, H57, H58, H59, H60, H71, H72, H73, H76, H79, H80, H81, H82, H83, H84, H85, H86, H87, H88, H89, HA1, HB1, HB2, HB3, HB4, HB5, HG1, HK1, HK2, HK3, HK4, HL0, HL3, HL4, HL5, HL6, HL7, HL8, HL9, HM1, HM2, HM3, HM4, HR1, HR2, HR3, HR4, HS3, HS4, HS5, HS6.</t>
  </si>
  <si>
    <t>H11, H12, H13, H14, H15, H20, H3, H32, H33, H34, H35, H36, H45, H48, H6, H61, H62, H63, H64, H65, H74, H77, H90, H91, H92, H93, H94.</t>
  </si>
  <si>
    <t>H37, H38, H39, H4, H40, H41, H46, H49, H66, H67, H68, H69, H7, H70, H75, H78, H95, H96, H97, H98, H99.</t>
  </si>
  <si>
    <t>J0, J00, J01, J02, J03, J04, J05, J06, J07, J08, J09, J1, J10, J16, J17, J18, J19, J2, J21, J22, J23, J24, J25, J26, J27, J28, J29, J30, J31, J42, J43, J44, J47, J5, J50, J51, J52, J53, J54, J55, J56, J57, J58, J59, J60, J71, J72, J73, J76, J79, J80, J81, J82, J83, J84, J85, J86, J87, J88, J89, JA1, JB1, JB2, JB3, JB4, JB5, JG1, JH1, JK1, JK2, JK3, JK4, JL0, JL3, JL4, JL5, JL6, JL7, JL8, JL9, JM1, JM2, JM3, JM4, JR1, JR2, JR3, JR4, JS3, JS4, JS5, JS6, JY2.</t>
  </si>
  <si>
    <t>J11, J12, J13, J14, J15, J20, J3, J32, J33, J34, J35, J36, J45, J48, J6, J61, J62, J63, J64, J65, J74, J77, J90, J91, J92, J93, J94.</t>
  </si>
  <si>
    <t>J37, J38, J39, J4, J40, J41, J46, J49, J66, J67, J68, J69, J7, J70, J75, J78, J95, J96, J97, J98, J99.</t>
  </si>
  <si>
    <t>K37, K38, K39, K4, K40, K41, K46, K49, K7, K95, K96, K97, K98, K99.</t>
  </si>
  <si>
    <t>K3, K32, K33, K34, K35, K36, K45, K48, K6, K90, K91, K92, K93, K94.</t>
  </si>
  <si>
    <t>K0, K1, K2, K21, K22, K23, K24, K25, K26, K27, K28, K29, K30, K31, K42, K43, K44, K47, K5, K79, K80, K81, K82, K83, K84, K85, K86, K87, K88, K89, KB1, KB2, KB3, KB4, KH1, KL0, KL3, KL4, KL5, KL6, KL7, KL8, KL9, KM1, KM2, KM3, KM4, KS3, KS4, KS5, KS6.</t>
  </si>
  <si>
    <t>L37, L38, L39, L4, L40, L41, L46, L49, L7, L95, L96, L97, L98, L99.</t>
  </si>
  <si>
    <t>L3, L32, L33, L34, L35, L36, L45, L48, L6, L90, L91, L92, L93, L94.</t>
  </si>
  <si>
    <t>L0, L1, L2, L21, L22, L23, L24, L25, L26, L27, L28, L29, L30, L31, L42, L43, L44, L47, L5, L79, L80, L81, L82, L83, L84, L85, L86, L87, L88, L89, LB1, LB2, LB3, LB4, LB5, LH1, LL0, LL3, LL4, LL5, LL6, LL7, LL8, LL9, LM1, LM2, LM3, LM4, LS3, LS4, LS5, LS6.</t>
  </si>
  <si>
    <t>M0, M00, M01, M02, M03, M04, M05, M06, M07, M08, M09, M1, M10, M16, M17, M18, M19, M2, M21, M22, M23, M24, M25, M26, M27, M28, M29, M30, M31, M42, M43, M44, M47, M5, M79, M80, M81, M82, M83, M84, M85, M86, M87, M88, M89, MA1, MB1, MB2, MB3, MB4, MB5, MH1, MK1, MK2, MK3, MK4, ML0, ML3, ML4, ML5, ML6, ML7, ML8, ML9, MM1, MM2, MM3, MM4, MM5, MM6, MM7, MM8, MS3, MS4, MS5, MS6.</t>
  </si>
  <si>
    <t>M11, M12, M13, M14, M15, M20, M3, M32, M33, M34, M35, M36, M45, M48, M6, M90, M91, M92, M93, M94.</t>
  </si>
  <si>
    <t>M37, M38, M39, M4, M40, M41, M46, M49, M7, M95, M96, M97, M98, M99.</t>
  </si>
  <si>
    <t>N21, N22, N23, N24, N25, N26, N27, N28, N29, N30, N31, N42, N43, N44, N47, N50, N51, N52, N53, N54, N55, N56, N57, N58, N59, N60, N71, NB1, NB2, NB3, NB4, NB5, NL0, NL3, NL4, NL5, NL6, NL7, NL8, NL9, NM1, NM2, NM3, NM4.</t>
  </si>
  <si>
    <t>N32, N33, N34, N35, N36, N45, N48.</t>
  </si>
  <si>
    <t>N37, N38, N39, N40, N41, N46, N49, N66, N67, N68, N69, N70.</t>
  </si>
  <si>
    <t>P21, P22, P23, P24, P25, P26, P27, P28, P29, P30, P31, P42, P43, P44, P47, PB1, PB2, PB3, PB4, PL0, PL3, PL4, PL5, PL6, PL7, PL8, PL9, PM1, PM2, PM3, PM4.</t>
  </si>
  <si>
    <t>P32, P33, P34, P35, P36, P45, P48.</t>
  </si>
  <si>
    <t>P37, P38, P39, P40, P41, P46, P49.</t>
  </si>
  <si>
    <t>PZ0, PZ2.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</si>
</sst>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
    <numFmt numFmtId="181" formatCode="#,##0.000;[Red]#,##0.000"/>
    <numFmt numFmtId="182" formatCode="#,##0.00;[Red]#,##0.00"/>
    <numFmt numFmtId="183" formatCode="_-* #,##0.000_-;\-* #,##0.000_-;_-* &quot;-&quot;??_-;_-@_-"/>
    <numFmt numFmtId="184" formatCode="dd\ mmmm\ yyyy"/>
    <numFmt numFmtId="185" formatCode="0.00;\(0.00\);"/>
    <numFmt numFmtId="186" formatCode="0.0000_ ;[Red]\-0.0000\ "/>
  </numFmts>
  <fonts count="4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9"/>
      <name val="Arial"/>
      <family val="2"/>
    </font>
    <font>
      <sz val="10"/>
      <color indexed="8"/>
      <name val="Arial"/>
      <family val="2"/>
    </font>
    <font>
      <b/>
      <sz val="11"/>
      <color indexed="8"/>
      <name val="Arial"/>
      <family val="2"/>
    </font>
    <font>
      <sz val="10"/>
      <color theme="0" tint="-4.9989318521683403E-2"/>
      <name val="Arial"/>
      <family val="2"/>
    </font>
    <font>
      <sz val="11"/>
      <color rgb="FFFF0000"/>
      <name val="Arial"/>
      <family val="2"/>
    </font>
    <font>
      <b/>
      <sz val="10"/>
      <color rgb="FFFF0000"/>
      <name val="Arial"/>
      <family val="2"/>
    </font>
    <font>
      <b/>
      <sz val="11"/>
      <color rgb="FFFF0000"/>
      <name val="Arial"/>
      <family val="2"/>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rgb="FFC0C0C0"/>
        <bgColor indexed="64"/>
      </patternFill>
    </fill>
    <fill>
      <patternFill patternType="solid">
        <fgColor rgb="FFCCFFFF"/>
        <bgColor indexed="64"/>
      </patternFill>
    </fill>
    <fill>
      <patternFill patternType="solid">
        <fgColor rgb="FFCCFFCC"/>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6" fillId="0" borderId="9" applyNumberFormat="0" applyFill="0" applyAlignment="0" applyProtection="0"/>
    <xf numFmtId="0" fontId="10" fillId="0" borderId="10" applyNumberFormat="0" applyFill="0" applyAlignment="0" applyProtection="0"/>
    <xf numFmtId="0" fontId="6" fillId="0" borderId="0"/>
    <xf numFmtId="43" fontId="6" fillId="0" borderId="0" applyFont="0" applyFill="0" applyBorder="0" applyAlignment="0" applyProtection="0"/>
    <xf numFmtId="0" fontId="21" fillId="18" borderId="0" applyNumberFormat="0" applyBorder="0" applyAlignment="0" applyProtection="0"/>
    <xf numFmtId="0" fontId="4" fillId="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4" fillId="21" borderId="0" applyNumberFormat="0" applyBorder="0" applyAlignment="0" applyProtection="0"/>
    <xf numFmtId="0" fontId="21" fillId="22" borderId="0" applyNumberFormat="0" applyBorder="0" applyAlignment="0" applyProtection="0"/>
    <xf numFmtId="0" fontId="26" fillId="0" borderId="0"/>
    <xf numFmtId="0" fontId="28" fillId="30" borderId="0" applyNumberFormat="0" applyBorder="0" applyAlignment="0" applyProtection="0"/>
    <xf numFmtId="0" fontId="2" fillId="0" borderId="0"/>
    <xf numFmtId="9" fontId="2" fillId="0" borderId="0" applyFont="0" applyFill="0" applyBorder="0" applyAlignment="0" applyProtection="0"/>
    <xf numFmtId="0" fontId="1" fillId="0" borderId="0"/>
    <xf numFmtId="43" fontId="36" fillId="0" borderId="0" applyFont="0" applyFill="0" applyBorder="0" applyAlignment="0" applyProtection="0"/>
    <xf numFmtId="0" fontId="39" fillId="0" borderId="0"/>
  </cellStyleXfs>
  <cellXfs count="53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lignment horizontal="center" vertical="center" wrapText="1"/>
    </xf>
    <xf numFmtId="169" fontId="6"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4" fillId="5" borderId="7" xfId="2" applyNumberFormat="1" applyFont="1" applyAlignment="1" applyProtection="1">
      <alignment horizontal="center" vertical="center" wrapText="1"/>
      <protection locked="0"/>
    </xf>
    <xf numFmtId="0" fontId="6" fillId="0" borderId="0" xfId="6" applyAlignment="1">
      <alignment horizontal="center" vertical="top" wrapText="1"/>
    </xf>
    <xf numFmtId="0" fontId="6" fillId="0" borderId="0" xfId="6"/>
    <xf numFmtId="0" fontId="6" fillId="0" borderId="0" xfId="6" applyAlignment="1">
      <alignment horizontal="left"/>
    </xf>
    <xf numFmtId="0" fontId="6" fillId="0" borderId="0" xfId="6" applyAlignment="1">
      <alignment horizontal="center" vertical="center" wrapText="1"/>
    </xf>
    <xf numFmtId="49" fontId="18" fillId="8"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74"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0" fontId="0" fillId="12" borderId="0" xfId="0" applyFill="1"/>
    <xf numFmtId="0" fontId="12" fillId="2" borderId="0" xfId="3" applyFill="1" applyAlignment="1" applyProtection="1">
      <alignment vertical="center"/>
    </xf>
    <xf numFmtId="0" fontId="7" fillId="7" borderId="1" xfId="6" applyFont="1" applyFill="1" applyBorder="1" applyAlignment="1">
      <alignment horizontal="center" vertical="center" wrapText="1"/>
    </xf>
    <xf numFmtId="0" fontId="6" fillId="0" borderId="0" xfId="0" applyFont="1" applyProtection="1">
      <protection locked="0"/>
    </xf>
    <xf numFmtId="49" fontId="10" fillId="6" borderId="0" xfId="1" quotePrefix="1" applyNumberFormat="1" applyFill="1" applyAlignment="1" applyProtection="1">
      <alignment horizontal="left" vertical="center" wrapText="1"/>
      <protection locked="0"/>
    </xf>
    <xf numFmtId="49" fontId="10" fillId="6" borderId="0" xfId="1" applyNumberFormat="1" applyFill="1" applyAlignment="1" applyProtection="1">
      <alignment vertical="center" wrapText="1"/>
      <protection locked="0"/>
    </xf>
    <xf numFmtId="49" fontId="16" fillId="0" borderId="0" xfId="4" applyNumberFormat="1" applyBorder="1" applyAlignment="1" applyProtection="1">
      <alignment vertical="center"/>
      <protection locked="0"/>
    </xf>
    <xf numFmtId="49" fontId="10" fillId="6" borderId="0" xfId="1" applyNumberFormat="1" applyFill="1" applyBorder="1" applyAlignment="1" applyProtection="1">
      <alignment vertical="center" wrapText="1"/>
      <protection locked="0"/>
    </xf>
    <xf numFmtId="49" fontId="10" fillId="0" borderId="0" xfId="5" applyNumberFormat="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0" fillId="12" borderId="0" xfId="0" applyFill="1" applyAlignment="1">
      <alignment vertical="center"/>
    </xf>
    <xf numFmtId="0" fontId="22" fillId="15"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22" fillId="16" borderId="1" xfId="0" applyFont="1" applyFill="1" applyBorder="1" applyAlignment="1" applyProtection="1">
      <alignment horizontal="center" vertical="center" wrapText="1"/>
      <protection locked="0"/>
    </xf>
    <xf numFmtId="0" fontId="7" fillId="17" borderId="1" xfId="0" applyFont="1" applyFill="1" applyBorder="1" applyAlignment="1" applyProtection="1">
      <alignment horizontal="center" vertical="center" wrapText="1"/>
      <protection locked="0"/>
    </xf>
    <xf numFmtId="0" fontId="15" fillId="12" borderId="0" xfId="1" applyNumberFormat="1" applyFont="1" applyFill="1" applyBorder="1" applyAlignment="1">
      <alignment horizontal="center" vertical="center" wrapText="1"/>
    </xf>
    <xf numFmtId="0" fontId="15" fillId="12" borderId="0" xfId="1" applyNumberFormat="1" applyFont="1" applyFill="1" applyBorder="1" applyAlignment="1" applyProtection="1">
      <alignment horizontal="center" vertical="center" wrapText="1"/>
    </xf>
    <xf numFmtId="0" fontId="15" fillId="12" borderId="12" xfId="1" applyNumberFormat="1" applyFont="1" applyFill="1" applyBorder="1" applyAlignment="1">
      <alignment horizontal="center" vertical="center" wrapText="1"/>
    </xf>
    <xf numFmtId="0" fontId="7" fillId="12" borderId="0" xfId="0" applyFont="1" applyFill="1" applyAlignment="1">
      <alignment horizontal="left" vertical="center" wrapText="1"/>
    </xf>
    <xf numFmtId="0" fontId="6" fillId="12" borderId="0" xfId="0" applyFont="1" applyFill="1" applyAlignment="1">
      <alignment horizontal="left" vertical="center" wrapText="1"/>
    </xf>
    <xf numFmtId="0" fontId="15" fillId="12" borderId="0" xfId="1" applyNumberFormat="1" applyFont="1" applyFill="1" applyBorder="1" applyAlignment="1">
      <alignment vertical="center" wrapText="1"/>
    </xf>
    <xf numFmtId="14" fontId="6" fillId="0" borderId="0" xfId="6" applyNumberFormat="1"/>
    <xf numFmtId="0" fontId="6" fillId="0" borderId="0" xfId="6" quotePrefix="1" applyAlignment="1">
      <alignment horizontal="left"/>
    </xf>
    <xf numFmtId="0" fontId="12" fillId="0" borderId="0" xfId="3" applyAlignment="1" applyProtection="1"/>
    <xf numFmtId="172" fontId="6" fillId="24" borderId="0" xfId="6" applyNumberFormat="1" applyFill="1"/>
    <xf numFmtId="173" fontId="6" fillId="24" borderId="0" xfId="6" applyNumberFormat="1" applyFill="1"/>
    <xf numFmtId="0" fontId="6" fillId="24" borderId="0" xfId="6" applyFill="1"/>
    <xf numFmtId="0" fontId="6" fillId="24" borderId="0" xfId="6" applyFill="1" applyAlignment="1">
      <alignment horizontal="left"/>
    </xf>
    <xf numFmtId="0" fontId="6" fillId="11" borderId="1" xfId="13" applyFont="1" applyFill="1" applyBorder="1" applyAlignment="1" applyProtection="1">
      <alignment vertical="center"/>
      <protection locked="0"/>
    </xf>
    <xf numFmtId="176" fontId="6" fillId="26" borderId="1" xfId="10" applyNumberFormat="1" applyFont="1" applyFill="1" applyBorder="1" applyAlignment="1" applyProtection="1">
      <alignment vertical="center"/>
      <protection locked="0"/>
    </xf>
    <xf numFmtId="175" fontId="4" fillId="25" borderId="1" xfId="9" applyNumberFormat="1" applyFill="1" applyBorder="1" applyAlignment="1" applyProtection="1">
      <alignment vertical="center"/>
    </xf>
    <xf numFmtId="176" fontId="6" fillId="25" borderId="1" xfId="9" applyNumberFormat="1" applyFont="1" applyFill="1" applyBorder="1" applyAlignment="1" applyProtection="1">
      <alignment vertical="center"/>
      <protection locked="0"/>
    </xf>
    <xf numFmtId="176" fontId="6" fillId="28" borderId="1" xfId="9" applyNumberFormat="1" applyFont="1" applyFill="1" applyBorder="1" applyAlignment="1" applyProtection="1">
      <alignment vertical="center"/>
      <protection locked="0"/>
    </xf>
    <xf numFmtId="176" fontId="6" fillId="29" borderId="1" xfId="10" applyNumberFormat="1" applyFont="1" applyFill="1" applyBorder="1" applyAlignment="1" applyProtection="1">
      <alignment vertical="center"/>
      <protection locked="0"/>
    </xf>
    <xf numFmtId="0" fontId="15"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27" borderId="1" xfId="11" quotePrefix="1" applyFont="1" applyFill="1" applyBorder="1" applyAlignment="1" applyProtection="1">
      <alignment horizontal="center" vertical="center" wrapText="1"/>
    </xf>
    <xf numFmtId="175" fontId="4" fillId="28"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3"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3"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6" fontId="4" fillId="25" borderId="1" xfId="9" applyNumberFormat="1" applyFill="1" applyBorder="1" applyAlignment="1" applyProtection="1">
      <alignment vertical="center"/>
      <protection locked="0"/>
    </xf>
    <xf numFmtId="177" fontId="4" fillId="25" borderId="1" xfId="9" applyNumberFormat="1" applyFill="1" applyBorder="1" applyAlignment="1" applyProtection="1">
      <alignment vertical="center"/>
    </xf>
    <xf numFmtId="177" fontId="4" fillId="28" borderId="1" xfId="9" applyNumberFormat="1" applyFill="1" applyBorder="1" applyAlignment="1" applyProtection="1">
      <alignment vertical="center"/>
    </xf>
    <xf numFmtId="177" fontId="6" fillId="26" borderId="1" xfId="10" applyNumberFormat="1" applyFont="1" applyFill="1" applyBorder="1" applyAlignment="1" applyProtection="1">
      <alignment vertical="center"/>
    </xf>
    <xf numFmtId="177" fontId="6" fillId="29" borderId="1" xfId="10" applyNumberFormat="1" applyFont="1" applyFill="1" applyBorder="1" applyAlignment="1" applyProtection="1">
      <alignment vertical="center"/>
    </xf>
    <xf numFmtId="178" fontId="4" fillId="25" borderId="5" xfId="9" applyNumberFormat="1" applyFill="1" applyBorder="1" applyAlignment="1" applyProtection="1">
      <alignment vertical="center"/>
    </xf>
    <xf numFmtId="178" fontId="4" fillId="25" borderId="1" xfId="9" applyNumberFormat="1" applyFill="1" applyBorder="1" applyAlignment="1" applyProtection="1">
      <alignment vertical="center"/>
    </xf>
    <xf numFmtId="0" fontId="25" fillId="0" borderId="0" xfId="6" applyFont="1"/>
    <xf numFmtId="49" fontId="6" fillId="11" borderId="1" xfId="8" quotePrefix="1" applyNumberFormat="1" applyFont="1" applyFill="1" applyBorder="1" applyAlignment="1" applyProtection="1">
      <alignment horizontal="center" vertical="center" wrapText="1"/>
    </xf>
    <xf numFmtId="49" fontId="6" fillId="27" borderId="1" xfId="11" quotePrefix="1" applyNumberFormat="1" applyFont="1" applyFill="1" applyBorder="1" applyAlignment="1" applyProtection="1">
      <alignment horizontal="center" vertical="center" wrapText="1"/>
    </xf>
    <xf numFmtId="49" fontId="10" fillId="6" borderId="0" xfId="1" quotePrefix="1" applyNumberFormat="1" applyFill="1" applyAlignment="1" applyProtection="1">
      <alignment horizontal="center" vertical="center" wrapText="1"/>
      <protection locked="0"/>
    </xf>
    <xf numFmtId="0" fontId="12" fillId="0" borderId="0" xfId="3" applyFill="1" applyAlignment="1" applyProtection="1">
      <alignment horizontal="left" vertical="center"/>
    </xf>
    <xf numFmtId="49" fontId="16" fillId="0" borderId="0" xfId="4" quotePrefix="1" applyNumberFormat="1" applyBorder="1" applyAlignment="1" applyProtection="1">
      <alignment horizontal="left" vertical="center"/>
      <protection locked="0"/>
    </xf>
    <xf numFmtId="164" fontId="18" fillId="10" borderId="1" xfId="0" applyNumberFormat="1" applyFont="1" applyFill="1" applyBorder="1" applyAlignment="1">
      <alignment horizontal="center" vertical="center"/>
    </xf>
    <xf numFmtId="179" fontId="19" fillId="13" borderId="1" xfId="0" applyNumberFormat="1" applyFont="1" applyFill="1" applyBorder="1" applyAlignment="1" applyProtection="1">
      <alignment horizontal="center" vertical="center"/>
      <protection locked="0"/>
    </xf>
    <xf numFmtId="179" fontId="18" fillId="14" borderId="1" xfId="0" applyNumberFormat="1" applyFont="1" applyFill="1" applyBorder="1" applyAlignment="1" applyProtection="1">
      <alignment horizontal="center" vertical="center"/>
      <protection locked="0"/>
    </xf>
    <xf numFmtId="179" fontId="19" fillId="15" borderId="1" xfId="0" applyNumberFormat="1" applyFont="1" applyFill="1" applyBorder="1" applyAlignment="1" applyProtection="1">
      <alignment horizontal="center" vertical="center"/>
      <protection locked="0"/>
    </xf>
    <xf numFmtId="179" fontId="19" fillId="16" borderId="1" xfId="0" applyNumberFormat="1" applyFont="1" applyFill="1" applyBorder="1" applyAlignment="1" applyProtection="1">
      <alignment horizontal="center" vertical="center"/>
      <protection locked="0"/>
    </xf>
    <xf numFmtId="179" fontId="18" fillId="17" borderId="1" xfId="0" applyNumberFormat="1" applyFont="1" applyFill="1" applyBorder="1" applyAlignment="1" applyProtection="1">
      <alignment horizontal="center" vertical="center"/>
      <protection locked="0"/>
    </xf>
    <xf numFmtId="0" fontId="6" fillId="12" borderId="1" xfId="0" applyFont="1" applyFill="1" applyBorder="1" applyAlignment="1">
      <alignment horizontal="center" vertical="center" wrapText="1"/>
    </xf>
    <xf numFmtId="0" fontId="6" fillId="2" borderId="0" xfId="6" applyFill="1" applyAlignment="1">
      <alignment vertical="center"/>
    </xf>
    <xf numFmtId="0" fontId="6" fillId="2" borderId="0" xfId="6" applyFill="1"/>
    <xf numFmtId="0" fontId="6" fillId="12" borderId="0" xfId="6" applyFill="1"/>
    <xf numFmtId="0" fontId="6" fillId="12" borderId="0" xfId="6" applyFill="1" applyAlignment="1">
      <alignment vertical="center"/>
    </xf>
    <xf numFmtId="0" fontId="7" fillId="7" borderId="6" xfId="6" applyFont="1" applyFill="1" applyBorder="1" applyAlignment="1" applyProtection="1">
      <alignment vertical="center" wrapText="1"/>
      <protection locked="0"/>
    </xf>
    <xf numFmtId="0" fontId="22" fillId="13" borderId="1" xfId="6" applyFont="1" applyFill="1" applyBorder="1" applyAlignment="1" applyProtection="1">
      <alignment horizontal="center" vertical="center" wrapText="1"/>
      <protection locked="0"/>
    </xf>
    <xf numFmtId="0" fontId="22" fillId="15" borderId="1" xfId="6" applyFont="1" applyFill="1" applyBorder="1" applyAlignment="1" applyProtection="1">
      <alignment horizontal="center" vertical="center" wrapText="1"/>
      <protection locked="0"/>
    </xf>
    <xf numFmtId="0" fontId="22" fillId="16" borderId="1" xfId="6" applyFont="1" applyFill="1" applyBorder="1" applyAlignment="1" applyProtection="1">
      <alignment horizontal="center" vertical="center" wrapText="1"/>
      <protection locked="0"/>
    </xf>
    <xf numFmtId="0" fontId="7" fillId="17" borderId="1" xfId="6" applyFont="1" applyFill="1" applyBorder="1" applyAlignment="1" applyProtection="1">
      <alignment horizontal="center" vertical="center" wrapText="1"/>
      <protection locked="0"/>
    </xf>
    <xf numFmtId="0" fontId="6" fillId="0" borderId="6" xfId="6" applyBorder="1" applyAlignment="1">
      <alignment horizontal="center" vertical="center" wrapText="1"/>
    </xf>
    <xf numFmtId="0" fontId="6" fillId="12" borderId="1" xfId="6" applyFill="1" applyBorder="1" applyAlignment="1">
      <alignment horizontal="center" vertical="center" wrapText="1"/>
    </xf>
    <xf numFmtId="0" fontId="6" fillId="0" borderId="1" xfId="6" applyBorder="1" applyAlignment="1">
      <alignment horizontal="center" vertical="center" wrapText="1"/>
    </xf>
    <xf numFmtId="0" fontId="6" fillId="4" borderId="1" xfId="6" applyFill="1" applyBorder="1" applyAlignment="1">
      <alignment horizontal="center" vertical="center" wrapText="1"/>
    </xf>
    <xf numFmtId="0" fontId="6" fillId="2" borderId="0" xfId="6" applyFill="1" applyAlignment="1">
      <alignment horizontal="center" vertical="center"/>
    </xf>
    <xf numFmtId="2" fontId="6" fillId="2" borderId="0" xfId="6" applyNumberFormat="1" applyFill="1" applyAlignment="1">
      <alignment horizontal="center" vertical="center"/>
    </xf>
    <xf numFmtId="164" fontId="6" fillId="2" borderId="0" xfId="6" applyNumberFormat="1" applyFill="1" applyAlignment="1">
      <alignment horizontal="center" vertical="center"/>
    </xf>
    <xf numFmtId="165" fontId="6" fillId="2" borderId="0" xfId="6" applyNumberFormat="1" applyFill="1" applyAlignment="1">
      <alignment horizontal="center" vertical="center"/>
    </xf>
    <xf numFmtId="0" fontId="7" fillId="0" borderId="6" xfId="0" applyFont="1" applyBorder="1" applyAlignment="1">
      <alignment horizontal="left" vertical="center" wrapText="1" indent="1"/>
    </xf>
    <xf numFmtId="174" fontId="19" fillId="13" borderId="1" xfId="0" applyNumberFormat="1" applyFont="1" applyFill="1" applyBorder="1" applyAlignment="1" applyProtection="1">
      <alignment horizontal="center" vertical="center"/>
      <protection locked="0"/>
    </xf>
    <xf numFmtId="174" fontId="18" fillId="14" borderId="1" xfId="0" applyNumberFormat="1" applyFont="1" applyFill="1" applyBorder="1" applyAlignment="1" applyProtection="1">
      <alignment horizontal="center" vertical="center"/>
      <protection locked="0"/>
    </xf>
    <xf numFmtId="174" fontId="19" fillId="15" borderId="1" xfId="0" applyNumberFormat="1" applyFont="1" applyFill="1" applyBorder="1" applyAlignment="1" applyProtection="1">
      <alignment horizontal="center" vertical="center"/>
      <protection locked="0"/>
    </xf>
    <xf numFmtId="0" fontId="6" fillId="31" borderId="6" xfId="0" applyFont="1" applyFill="1" applyBorder="1" applyAlignment="1">
      <alignment horizontal="center" vertical="center" wrapText="1"/>
    </xf>
    <xf numFmtId="0" fontId="7" fillId="0" borderId="15" xfId="0" applyFont="1" applyBorder="1" applyAlignment="1">
      <alignment vertical="center" wrapText="1"/>
    </xf>
    <xf numFmtId="180" fontId="6" fillId="4"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6" fillId="2" borderId="8" xfId="0" quotePrefix="1" applyFont="1" applyFill="1" applyBorder="1" applyAlignment="1">
      <alignment vertical="center" wrapText="1"/>
    </xf>
    <xf numFmtId="0" fontId="8" fillId="2" borderId="0" xfId="6" applyFont="1" applyFill="1" applyAlignment="1">
      <alignment vertical="center"/>
    </xf>
    <xf numFmtId="0" fontId="8" fillId="12" borderId="0" xfId="6" applyFont="1" applyFill="1" applyAlignment="1">
      <alignment vertical="center"/>
    </xf>
    <xf numFmtId="0" fontId="29" fillId="33" borderId="0" xfId="1" applyNumberFormat="1" applyFont="1" applyFill="1" applyBorder="1" applyAlignment="1" applyProtection="1">
      <alignment horizontal="center" vertical="center" wrapText="1"/>
    </xf>
    <xf numFmtId="43" fontId="29" fillId="33" borderId="0" xfId="7" applyFont="1" applyFill="1" applyBorder="1" applyAlignment="1" applyProtection="1">
      <alignment horizontal="center" vertical="center" wrapText="1"/>
    </xf>
    <xf numFmtId="0" fontId="7" fillId="7" borderId="1" xfId="6" quotePrefix="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36" borderId="1" xfId="0" applyFont="1" applyFill="1" applyBorder="1" applyAlignment="1">
      <alignment horizontal="center" vertical="center" wrapText="1"/>
    </xf>
    <xf numFmtId="1" fontId="6" fillId="36" borderId="1" xfId="0" applyNumberFormat="1" applyFont="1" applyFill="1" applyBorder="1" applyAlignment="1">
      <alignment horizontal="center" vertical="center" wrapText="1"/>
    </xf>
    <xf numFmtId="49" fontId="6" fillId="36" borderId="1" xfId="0" applyNumberFormat="1" applyFont="1" applyFill="1" applyBorder="1" applyAlignment="1">
      <alignment horizontal="center" vertical="center" wrapText="1"/>
    </xf>
    <xf numFmtId="169" fontId="6" fillId="36" borderId="1" xfId="0" applyNumberFormat="1" applyFont="1" applyFill="1" applyBorder="1" applyAlignment="1">
      <alignment horizontal="left" vertical="center" wrapText="1"/>
    </xf>
    <xf numFmtId="0" fontId="6" fillId="36" borderId="1" xfId="0" applyFont="1" applyFill="1" applyBorder="1" applyAlignment="1">
      <alignment horizontal="left" vertical="center" wrapText="1"/>
    </xf>
    <xf numFmtId="181" fontId="31" fillId="37" borderId="1" xfId="7" applyNumberFormat="1" applyFont="1" applyFill="1" applyBorder="1" applyAlignment="1" applyProtection="1">
      <alignment horizontal="center" vertical="center"/>
    </xf>
    <xf numFmtId="182" fontId="31" fillId="37" borderId="1" xfId="7" applyNumberFormat="1" applyFont="1" applyFill="1" applyBorder="1" applyAlignment="1" applyProtection="1">
      <alignment horizontal="center" vertical="center"/>
    </xf>
    <xf numFmtId="169" fontId="31" fillId="36" borderId="1" xfId="6" applyNumberFormat="1" applyFont="1" applyFill="1" applyBorder="1" applyAlignment="1">
      <alignment horizontal="right" vertical="center"/>
    </xf>
    <xf numFmtId="43" fontId="31" fillId="36" borderId="1" xfId="7" applyFont="1" applyFill="1" applyBorder="1" applyAlignment="1" applyProtection="1">
      <alignment horizontal="right" vertical="center"/>
    </xf>
    <xf numFmtId="0" fontId="31" fillId="36" borderId="1" xfId="6" applyFont="1" applyFill="1" applyBorder="1" applyAlignment="1">
      <alignment horizontal="right" vertical="center"/>
    </xf>
    <xf numFmtId="4" fontId="31" fillId="37" borderId="1" xfId="7" applyNumberFormat="1" applyFont="1" applyFill="1" applyBorder="1" applyAlignment="1" applyProtection="1">
      <alignment horizontal="center" vertical="center"/>
    </xf>
    <xf numFmtId="0" fontId="6" fillId="33" borderId="0" xfId="6" applyFill="1" applyAlignment="1">
      <alignment vertical="center"/>
    </xf>
    <xf numFmtId="0" fontId="6" fillId="33" borderId="0" xfId="6" applyFill="1" applyAlignment="1">
      <alignment horizontal="center" vertical="center"/>
    </xf>
    <xf numFmtId="166" fontId="6" fillId="33" borderId="0" xfId="6" applyNumberFormat="1" applyFill="1" applyAlignment="1">
      <alignment horizontal="center" vertical="center"/>
    </xf>
    <xf numFmtId="0" fontId="6" fillId="33" borderId="0" xfId="6" applyFill="1"/>
    <xf numFmtId="43" fontId="6" fillId="33" borderId="0" xfId="7" applyFont="1" applyFill="1" applyBorder="1" applyAlignment="1" applyProtection="1">
      <alignment vertical="center"/>
    </xf>
    <xf numFmtId="0" fontId="6" fillId="36" borderId="1" xfId="6" applyFill="1" applyBorder="1" applyAlignment="1">
      <alignment horizontal="center" vertical="center" wrapText="1"/>
    </xf>
    <xf numFmtId="1" fontId="6" fillId="36" borderId="1" xfId="6" applyNumberFormat="1" applyFill="1" applyBorder="1" applyAlignment="1">
      <alignment horizontal="left" vertical="center" wrapText="1"/>
    </xf>
    <xf numFmtId="49" fontId="6" fillId="36" borderId="1" xfId="6" applyNumberFormat="1" applyFill="1" applyBorder="1" applyAlignment="1">
      <alignment horizontal="center" vertical="center" wrapText="1"/>
    </xf>
    <xf numFmtId="0" fontId="6" fillId="36" borderId="1" xfId="6" applyFill="1" applyBorder="1" applyAlignment="1">
      <alignment horizontal="left" vertical="center" wrapText="1"/>
    </xf>
    <xf numFmtId="174" fontId="31" fillId="37" borderId="1" xfId="6" applyNumberFormat="1" applyFont="1" applyFill="1" applyBorder="1" applyAlignment="1">
      <alignment horizontal="center" vertical="center"/>
    </xf>
    <xf numFmtId="164" fontId="31" fillId="37" borderId="1" xfId="6" applyNumberFormat="1" applyFont="1" applyFill="1" applyBorder="1" applyAlignment="1">
      <alignment horizontal="center" vertical="center"/>
    </xf>
    <xf numFmtId="174" fontId="31" fillId="36" borderId="1" xfId="6" applyNumberFormat="1" applyFont="1" applyFill="1" applyBorder="1" applyAlignment="1">
      <alignment horizontal="center" vertical="center"/>
    </xf>
    <xf numFmtId="164" fontId="31" fillId="36" borderId="1" xfId="6" applyNumberFormat="1" applyFont="1" applyFill="1" applyBorder="1" applyAlignment="1">
      <alignment horizontal="center" vertical="center"/>
    </xf>
    <xf numFmtId="169" fontId="6" fillId="36" borderId="1" xfId="6" applyNumberFormat="1" applyFill="1" applyBorder="1" applyAlignment="1">
      <alignment horizontal="left" vertical="center" wrapText="1"/>
    </xf>
    <xf numFmtId="167" fontId="31" fillId="37" borderId="1" xfId="7" applyNumberFormat="1" applyFont="1" applyFill="1" applyBorder="1" applyAlignment="1" applyProtection="1">
      <alignment horizontal="right" vertical="center"/>
    </xf>
    <xf numFmtId="168" fontId="31" fillId="37" borderId="1" xfId="7" applyNumberFormat="1" applyFont="1" applyFill="1" applyBorder="1" applyAlignment="1" applyProtection="1">
      <alignment horizontal="right" vertical="center"/>
    </xf>
    <xf numFmtId="174" fontId="31" fillId="36" borderId="1" xfId="6" applyNumberFormat="1" applyFont="1" applyFill="1" applyBorder="1" applyAlignment="1">
      <alignment horizontal="right" vertical="center"/>
    </xf>
    <xf numFmtId="164" fontId="31" fillId="36" borderId="1" xfId="6" applyNumberFormat="1" applyFont="1" applyFill="1" applyBorder="1" applyAlignment="1">
      <alignment horizontal="right" vertical="center"/>
    </xf>
    <xf numFmtId="0" fontId="32" fillId="33" borderId="0" xfId="1" applyNumberFormat="1" applyFont="1" applyFill="1" applyBorder="1" applyAlignment="1" applyProtection="1">
      <alignment horizontal="center" vertical="center" wrapText="1"/>
    </xf>
    <xf numFmtId="1" fontId="6" fillId="36" borderId="1" xfId="6" applyNumberFormat="1" applyFill="1" applyBorder="1" applyAlignment="1">
      <alignment horizontal="center" vertical="center" wrapText="1"/>
    </xf>
    <xf numFmtId="165" fontId="31" fillId="37" borderId="1" xfId="0" applyNumberFormat="1" applyFont="1" applyFill="1" applyBorder="1" applyAlignment="1">
      <alignment horizontal="center" vertical="center"/>
    </xf>
    <xf numFmtId="4" fontId="31" fillId="37" borderId="1" xfId="0" applyNumberFormat="1" applyFont="1" applyFill="1" applyBorder="1" applyAlignment="1">
      <alignment horizontal="center" vertical="center"/>
    </xf>
    <xf numFmtId="170" fontId="33" fillId="36" borderId="1" xfId="0" applyNumberFormat="1" applyFont="1" applyFill="1" applyBorder="1" applyAlignment="1">
      <alignment horizontal="center" vertical="center"/>
    </xf>
    <xf numFmtId="171" fontId="33" fillId="36" borderId="1" xfId="0" applyNumberFormat="1" applyFont="1" applyFill="1" applyBorder="1" applyAlignment="1">
      <alignment horizontal="center" vertical="center"/>
    </xf>
    <xf numFmtId="170" fontId="33" fillId="37" borderId="1" xfId="0" applyNumberFormat="1" applyFont="1" applyFill="1" applyBorder="1" applyAlignment="1">
      <alignment horizontal="center" vertical="center"/>
    </xf>
    <xf numFmtId="171" fontId="33" fillId="37" borderId="1" xfId="0" applyNumberFormat="1" applyFont="1" applyFill="1" applyBorder="1" applyAlignment="1">
      <alignment horizontal="center" vertical="center"/>
    </xf>
    <xf numFmtId="169" fontId="6" fillId="36" borderId="1" xfId="6" applyNumberFormat="1" applyFill="1" applyBorder="1" applyAlignment="1">
      <alignment horizontal="center" vertical="center" wrapText="1"/>
    </xf>
    <xf numFmtId="166" fontId="31" fillId="37" borderId="1" xfId="6" applyNumberFormat="1" applyFont="1" applyFill="1" applyBorder="1" applyAlignment="1">
      <alignment horizontal="center" vertical="center"/>
    </xf>
    <xf numFmtId="4" fontId="31" fillId="37" borderId="1" xfId="6" applyNumberFormat="1" applyFont="1" applyFill="1" applyBorder="1" applyAlignment="1">
      <alignment horizontal="center" vertical="center"/>
    </xf>
    <xf numFmtId="43" fontId="31" fillId="36" borderId="1" xfId="7" applyFont="1" applyFill="1" applyBorder="1" applyAlignment="1" applyProtection="1">
      <alignment horizontal="center" vertical="center"/>
    </xf>
    <xf numFmtId="0" fontId="7" fillId="0" borderId="1" xfId="6" applyFont="1" applyBorder="1" applyAlignment="1">
      <alignment horizontal="left" vertical="center" wrapText="1"/>
    </xf>
    <xf numFmtId="49" fontId="6" fillId="36" borderId="1" xfId="6" quotePrefix="1" applyNumberFormat="1" applyFill="1" applyBorder="1" applyAlignment="1">
      <alignment horizontal="center" vertical="center" wrapText="1"/>
    </xf>
    <xf numFmtId="170" fontId="33" fillId="37" borderId="1" xfId="6" applyNumberFormat="1" applyFont="1" applyFill="1" applyBorder="1" applyAlignment="1">
      <alignment horizontal="center" vertical="center"/>
    </xf>
    <xf numFmtId="171" fontId="33" fillId="37" borderId="1" xfId="6" applyNumberFormat="1" applyFont="1" applyFill="1" applyBorder="1" applyAlignment="1">
      <alignment horizontal="center" vertical="center"/>
    </xf>
    <xf numFmtId="170" fontId="33" fillId="36" borderId="1" xfId="6" applyNumberFormat="1" applyFont="1" applyFill="1" applyBorder="1" applyAlignment="1">
      <alignment horizontal="center" vertical="center"/>
    </xf>
    <xf numFmtId="171" fontId="33" fillId="36" borderId="1" xfId="6" applyNumberFormat="1" applyFont="1" applyFill="1" applyBorder="1" applyAlignment="1">
      <alignment horizontal="center" vertical="center"/>
    </xf>
    <xf numFmtId="166" fontId="6" fillId="2" borderId="0" xfId="6" applyNumberFormat="1" applyFill="1" applyAlignment="1">
      <alignment horizontal="center" vertical="center"/>
    </xf>
    <xf numFmtId="0" fontId="18" fillId="4" borderId="1" xfId="0" applyFont="1" applyFill="1" applyBorder="1" applyAlignment="1" applyProtection="1">
      <alignment horizontal="center" vertical="center" wrapText="1"/>
      <protection locked="0"/>
    </xf>
    <xf numFmtId="169" fontId="7" fillId="3" borderId="1" xfId="0" applyNumberFormat="1" applyFont="1" applyFill="1" applyBorder="1" applyAlignment="1" applyProtection="1">
      <alignment horizontal="center" vertical="center"/>
      <protection locked="0"/>
    </xf>
    <xf numFmtId="0" fontId="9" fillId="0" borderId="1" xfId="0" applyFont="1" applyBorder="1" applyAlignment="1">
      <alignment horizontal="left" vertical="top" wrapText="1"/>
    </xf>
    <xf numFmtId="174" fontId="7" fillId="14" borderId="3" xfId="0" applyNumberFormat="1" applyFont="1" applyFill="1" applyBorder="1" applyAlignment="1" applyProtection="1">
      <alignment horizontal="center" vertical="center" wrapText="1"/>
      <protection locked="0"/>
    </xf>
    <xf numFmtId="0" fontId="6" fillId="4" borderId="1" xfId="0" applyFont="1" applyFill="1" applyBorder="1" applyAlignment="1">
      <alignment vertical="center" wrapText="1"/>
    </xf>
    <xf numFmtId="0" fontId="6" fillId="12" borderId="3" xfId="0" applyFont="1" applyFill="1" applyBorder="1" applyAlignment="1">
      <alignment horizontal="center" vertical="center" wrapText="1"/>
    </xf>
    <xf numFmtId="0" fontId="22" fillId="13" borderId="1" xfId="0" applyFont="1" applyFill="1" applyBorder="1" applyAlignment="1" applyProtection="1">
      <alignment horizontal="center" vertical="center"/>
      <protection locked="0"/>
    </xf>
    <xf numFmtId="0" fontId="7" fillId="0" borderId="16"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horizontal="center" vertical="center" wrapText="1"/>
    </xf>
    <xf numFmtId="0" fontId="6" fillId="0" borderId="0" xfId="6" applyAlignment="1">
      <alignment vertical="center"/>
    </xf>
    <xf numFmtId="0" fontId="7" fillId="7" borderId="1" xfId="6" applyFont="1" applyFill="1" applyBorder="1" applyAlignment="1" applyProtection="1">
      <alignment horizontal="center" vertical="center" wrapText="1"/>
      <protection locked="0"/>
    </xf>
    <xf numFmtId="0" fontId="7" fillId="0" borderId="0" xfId="6" applyFont="1" applyAlignment="1">
      <alignment horizontal="left" vertical="center" wrapText="1" indent="1"/>
    </xf>
    <xf numFmtId="0" fontId="6" fillId="12" borderId="0" xfId="6" applyFill="1" applyAlignment="1">
      <alignment wrapText="1"/>
    </xf>
    <xf numFmtId="0" fontId="7" fillId="7" borderId="2" xfId="6" applyFont="1" applyFill="1" applyBorder="1" applyAlignment="1" applyProtection="1">
      <alignment horizontal="center" vertical="center" wrapText="1"/>
      <protection locked="0"/>
    </xf>
    <xf numFmtId="165" fontId="6" fillId="0" borderId="1" xfId="6" applyNumberFormat="1" applyBorder="1" applyAlignment="1">
      <alignment horizontal="center" vertical="center"/>
    </xf>
    <xf numFmtId="0" fontId="6" fillId="0" borderId="3" xfId="6" applyBorder="1" applyAlignment="1">
      <alignment horizontal="left" vertical="center" wrapText="1" indent="1"/>
    </xf>
    <xf numFmtId="0" fontId="6" fillId="0" borderId="5" xfId="6" applyBorder="1" applyAlignment="1">
      <alignment horizontal="left" vertical="center" wrapText="1" indent="1"/>
    </xf>
    <xf numFmtId="0" fontId="6" fillId="12" borderId="1" xfId="6" applyFill="1" applyBorder="1" applyAlignment="1">
      <alignment horizontal="center" vertical="center"/>
    </xf>
    <xf numFmtId="0" fontId="7" fillId="0" borderId="6" xfId="6" applyFont="1" applyBorder="1" applyAlignment="1">
      <alignment vertical="center" wrapText="1"/>
    </xf>
    <xf numFmtId="0" fontId="7" fillId="0" borderId="1" xfId="6" applyFont="1" applyBorder="1" applyAlignment="1">
      <alignment vertical="center" wrapText="1"/>
    </xf>
    <xf numFmtId="0" fontId="7" fillId="0" borderId="0" xfId="6" applyFont="1" applyAlignment="1">
      <alignment vertical="top" wrapText="1"/>
    </xf>
    <xf numFmtId="0" fontId="6" fillId="0" borderId="0" xfId="6" applyAlignment="1">
      <alignment wrapText="1"/>
    </xf>
    <xf numFmtId="0" fontId="7" fillId="0" borderId="8" xfId="6" applyFont="1" applyBorder="1" applyAlignment="1">
      <alignment vertical="top" wrapText="1"/>
    </xf>
    <xf numFmtId="0" fontId="6" fillId="0" borderId="1" xfId="6" applyBorder="1" applyAlignment="1">
      <alignment vertical="center" wrapText="1"/>
    </xf>
    <xf numFmtId="0" fontId="6" fillId="0" borderId="1" xfId="6" applyBorder="1" applyAlignment="1">
      <alignment vertical="center"/>
    </xf>
    <xf numFmtId="0" fontId="6" fillId="0" borderId="1" xfId="6" applyBorder="1" applyAlignment="1">
      <alignment horizontal="center" vertical="center"/>
    </xf>
    <xf numFmtId="165" fontId="6" fillId="0" borderId="0" xfId="6" applyNumberFormat="1" applyAlignment="1">
      <alignment vertical="center"/>
    </xf>
    <xf numFmtId="0" fontId="6" fillId="0" borderId="0" xfId="6" applyAlignment="1">
      <alignment horizontal="center" vertical="center"/>
    </xf>
    <xf numFmtId="0" fontId="6" fillId="0" borderId="1" xfId="6" applyBorder="1" applyAlignment="1" applyProtection="1">
      <alignment horizontal="center" vertical="center" wrapText="1"/>
      <protection locked="0"/>
    </xf>
    <xf numFmtId="183" fontId="0" fillId="0" borderId="1" xfId="7" applyNumberFormat="1" applyFont="1" applyBorder="1" applyAlignment="1">
      <alignment vertical="center"/>
    </xf>
    <xf numFmtId="183" fontId="0" fillId="0" borderId="1" xfId="7" applyNumberFormat="1" applyFont="1" applyFill="1" applyBorder="1" applyAlignment="1">
      <alignment vertical="center"/>
    </xf>
    <xf numFmtId="165" fontId="6" fillId="0" borderId="1" xfId="6" applyNumberFormat="1" applyBorder="1" applyAlignment="1" applyProtection="1">
      <alignment horizontal="center" vertical="center" wrapText="1"/>
      <protection locked="0"/>
    </xf>
    <xf numFmtId="1" fontId="6" fillId="0" borderId="1" xfId="6" applyNumberFormat="1" applyBorder="1" applyAlignment="1">
      <alignment horizontal="center" vertical="center"/>
    </xf>
    <xf numFmtId="0" fontId="6" fillId="0" borderId="0" xfId="6" applyAlignment="1">
      <alignment vertical="center" wrapText="1"/>
    </xf>
    <xf numFmtId="0" fontId="0" fillId="33" borderId="0" xfId="0" applyFill="1" applyAlignment="1">
      <alignment vertical="center"/>
    </xf>
    <xf numFmtId="49" fontId="34" fillId="34" borderId="1" xfId="0" applyNumberFormat="1" applyFont="1" applyFill="1" applyBorder="1" applyAlignment="1">
      <alignment horizontal="center" vertical="center" wrapText="1"/>
    </xf>
    <xf numFmtId="49" fontId="6" fillId="36" borderId="1" xfId="0" quotePrefix="1" applyNumberFormat="1" applyFont="1" applyFill="1" applyBorder="1" applyAlignment="1">
      <alignment horizontal="left" vertical="center" wrapText="1"/>
    </xf>
    <xf numFmtId="49" fontId="6" fillId="36" borderId="1" xfId="0" applyNumberFormat="1" applyFont="1" applyFill="1" applyBorder="1" applyAlignment="1">
      <alignment horizontal="left" vertical="center" wrapText="1"/>
    </xf>
    <xf numFmtId="49" fontId="0" fillId="36" borderId="1" xfId="0" applyNumberFormat="1" applyFill="1" applyBorder="1" applyAlignment="1">
      <alignment horizontal="left" vertical="center" wrapText="1"/>
    </xf>
    <xf numFmtId="170" fontId="35" fillId="37" borderId="1" xfId="0" applyNumberFormat="1" applyFont="1" applyFill="1" applyBorder="1" applyAlignment="1">
      <alignment horizontal="center" vertical="center"/>
    </xf>
    <xf numFmtId="171" fontId="35" fillId="37" borderId="1" xfId="0" applyNumberFormat="1" applyFont="1" applyFill="1" applyBorder="1" applyAlignment="1">
      <alignment horizontal="center" vertical="center"/>
    </xf>
    <xf numFmtId="170" fontId="35" fillId="36" borderId="1" xfId="0" applyNumberFormat="1" applyFont="1" applyFill="1" applyBorder="1" applyAlignment="1">
      <alignment horizontal="center" vertical="center"/>
    </xf>
    <xf numFmtId="171" fontId="35" fillId="36" borderId="1" xfId="0" applyNumberFormat="1" applyFont="1" applyFill="1" applyBorder="1" applyAlignment="1">
      <alignment horizontal="center" vertical="center"/>
    </xf>
    <xf numFmtId="0" fontId="0" fillId="33" borderId="0" xfId="0" applyFill="1" applyAlignment="1">
      <alignment horizontal="center" vertical="center"/>
    </xf>
    <xf numFmtId="166" fontId="0" fillId="33" borderId="0" xfId="0" applyNumberFormat="1" applyFill="1" applyAlignment="1">
      <alignment horizontal="center" vertical="center"/>
    </xf>
    <xf numFmtId="0" fontId="0" fillId="33" borderId="0" xfId="0" applyFill="1"/>
    <xf numFmtId="0" fontId="7" fillId="38" borderId="1" xfId="0" quotePrefix="1" applyFont="1" applyFill="1" applyBorder="1" applyAlignment="1">
      <alignment horizontal="center" vertical="center" wrapText="1"/>
    </xf>
    <xf numFmtId="0" fontId="7" fillId="39" borderId="1" xfId="0" quotePrefix="1" applyFont="1" applyFill="1" applyBorder="1" applyAlignment="1">
      <alignment horizontal="center" vertical="center" wrapText="1"/>
    </xf>
    <xf numFmtId="49" fontId="0" fillId="36" borderId="1" xfId="0" applyNumberFormat="1" applyFill="1" applyBorder="1" applyAlignment="1">
      <alignment horizontal="left" vertical="top" wrapText="1"/>
    </xf>
    <xf numFmtId="49" fontId="0" fillId="40" borderId="1" xfId="0" applyNumberFormat="1" applyFill="1" applyBorder="1" applyAlignment="1">
      <alignment horizontal="left" vertical="top" wrapText="1"/>
    </xf>
    <xf numFmtId="170" fontId="35" fillId="40" borderId="1" xfId="0" applyNumberFormat="1" applyFont="1" applyFill="1" applyBorder="1" applyAlignment="1">
      <alignment horizontal="center" vertical="center"/>
    </xf>
    <xf numFmtId="171" fontId="35" fillId="40" borderId="1" xfId="0" applyNumberFormat="1" applyFont="1" applyFill="1" applyBorder="1" applyAlignment="1">
      <alignment horizontal="center" vertical="center"/>
    </xf>
    <xf numFmtId="171" fontId="35" fillId="41" borderId="1" xfId="0" applyNumberFormat="1" applyFont="1" applyFill="1" applyBorder="1" applyAlignment="1">
      <alignment horizontal="center" vertical="center"/>
    </xf>
    <xf numFmtId="0" fontId="0" fillId="33" borderId="29" xfId="0" applyFill="1" applyBorder="1" applyAlignment="1">
      <alignment vertical="center"/>
    </xf>
    <xf numFmtId="0" fontId="0" fillId="33" borderId="29" xfId="0" applyFill="1" applyBorder="1" applyAlignment="1">
      <alignment horizontal="center" vertical="center"/>
    </xf>
    <xf numFmtId="166" fontId="0" fillId="33" borderId="29" xfId="0" applyNumberFormat="1" applyFill="1" applyBorder="1" applyAlignment="1">
      <alignment horizontal="center" vertical="center"/>
    </xf>
    <xf numFmtId="0" fontId="0" fillId="33" borderId="29" xfId="0" applyFill="1" applyBorder="1"/>
    <xf numFmtId="0" fontId="0" fillId="33" borderId="30" xfId="0" applyFill="1" applyBorder="1" applyAlignment="1">
      <alignment vertical="center"/>
    </xf>
    <xf numFmtId="0" fontId="0" fillId="33" borderId="31" xfId="0" applyFill="1" applyBorder="1" applyAlignment="1">
      <alignment vertical="center"/>
    </xf>
    <xf numFmtId="0" fontId="0" fillId="33" borderId="31" xfId="0" applyFill="1" applyBorder="1" applyAlignment="1">
      <alignment horizontal="center" vertical="center"/>
    </xf>
    <xf numFmtId="166" fontId="0" fillId="33" borderId="31" xfId="0" applyNumberFormat="1" applyFill="1" applyBorder="1" applyAlignment="1">
      <alignment horizontal="center" vertical="center"/>
    </xf>
    <xf numFmtId="0" fontId="0" fillId="33" borderId="31" xfId="0" applyFill="1" applyBorder="1"/>
    <xf numFmtId="0" fontId="6" fillId="2" borderId="0" xfId="6" quotePrefix="1" applyFill="1" applyAlignment="1">
      <alignment vertical="center" wrapText="1"/>
    </xf>
    <xf numFmtId="0" fontId="6" fillId="0" borderId="0" xfId="6" quotePrefix="1" applyAlignment="1">
      <alignment vertical="center" wrapText="1"/>
    </xf>
    <xf numFmtId="0" fontId="0" fillId="2" borderId="0" xfId="0" quotePrefix="1" applyFill="1" applyAlignment="1">
      <alignment vertical="center" wrapText="1"/>
    </xf>
    <xf numFmtId="0" fontId="7" fillId="0" borderId="0" xfId="0" applyFont="1" applyAlignment="1" applyProtection="1">
      <alignment horizontal="left" vertical="top" wrapText="1"/>
      <protection locked="0"/>
    </xf>
    <xf numFmtId="0" fontId="7" fillId="0" borderId="0" xfId="0" applyFont="1"/>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43" fontId="6" fillId="2" borderId="0" xfId="19" applyFont="1" applyFill="1" applyAlignment="1" applyProtection="1">
      <alignment vertical="center"/>
    </xf>
    <xf numFmtId="0" fontId="7" fillId="0" borderId="1" xfId="0" applyFont="1" applyBorder="1" applyAlignment="1">
      <alignment horizontal="left"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center" vertical="center" wrapText="1"/>
    </xf>
    <xf numFmtId="49" fontId="10" fillId="0" borderId="0" xfId="5" quotePrefix="1" applyNumberFormat="1" applyBorder="1" applyAlignment="1" applyProtection="1">
      <alignment horizontal="left" vertical="center"/>
      <protection locked="0"/>
    </xf>
    <xf numFmtId="0" fontId="7" fillId="0" borderId="6" xfId="0" applyFont="1" applyBorder="1" applyAlignment="1">
      <alignment horizontal="center" vertical="center" wrapText="1"/>
    </xf>
    <xf numFmtId="0" fontId="6" fillId="0" borderId="15" xfId="0" applyFont="1" applyBorder="1" applyAlignment="1">
      <alignment vertical="center" wrapText="1"/>
    </xf>
    <xf numFmtId="174" fontId="18" fillId="14" borderId="3" xfId="0" applyNumberFormat="1" applyFont="1" applyFill="1" applyBorder="1" applyAlignment="1" applyProtection="1">
      <alignment horizontal="center" vertical="center" wrapText="1"/>
      <protection locked="0"/>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center" wrapText="1"/>
    </xf>
    <xf numFmtId="0" fontId="7" fillId="0" borderId="6" xfId="6" applyFont="1" applyBorder="1" applyAlignment="1">
      <alignment horizontal="center" vertical="center" wrapText="1"/>
    </xf>
    <xf numFmtId="0" fontId="15" fillId="12" borderId="0" xfId="1" applyNumberFormat="1" applyFont="1" applyFill="1" applyBorder="1" applyAlignment="1" applyProtection="1">
      <alignment vertical="center" wrapText="1"/>
    </xf>
    <xf numFmtId="0" fontId="7" fillId="7" borderId="6" xfId="0" applyFont="1" applyFill="1" applyBorder="1" applyAlignment="1">
      <alignment vertical="center" wrapText="1"/>
    </xf>
    <xf numFmtId="0" fontId="22" fillId="13" borderId="1" xfId="0" applyFont="1" applyFill="1" applyBorder="1" applyAlignment="1">
      <alignment horizontal="center" vertical="center" wrapText="1"/>
    </xf>
    <xf numFmtId="174" fontId="18" fillId="14" borderId="3" xfId="0"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6" fillId="4" borderId="3" xfId="0" applyFont="1" applyFill="1" applyBorder="1" applyAlignment="1">
      <alignment vertical="center" wrapText="1"/>
    </xf>
    <xf numFmtId="0" fontId="15" fillId="12" borderId="12" xfId="1" applyNumberFormat="1" applyFont="1" applyFill="1" applyBorder="1" applyAlignment="1" applyProtection="1">
      <alignment horizontal="center" vertical="center" wrapText="1"/>
    </xf>
    <xf numFmtId="0" fontId="6" fillId="42" borderId="1" xfId="0" applyFont="1" applyFill="1" applyBorder="1" applyAlignment="1">
      <alignment horizontal="center" vertical="center" wrapText="1"/>
    </xf>
    <xf numFmtId="0" fontId="6" fillId="0" borderId="1" xfId="0" applyFont="1" applyBorder="1" applyAlignment="1">
      <alignment vertical="center" wrapText="1"/>
    </xf>
    <xf numFmtId="49" fontId="10"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7" borderId="3" xfId="6" applyFont="1" applyFill="1" applyBorder="1" applyAlignment="1" applyProtection="1">
      <alignment horizontal="center" vertical="center" wrapText="1"/>
      <protection locked="0"/>
    </xf>
    <xf numFmtId="0" fontId="6" fillId="0" borderId="1" xfId="6" applyBorder="1" applyAlignment="1">
      <alignment horizontal="left" vertical="center" wrapText="1" indent="1"/>
    </xf>
    <xf numFmtId="0" fontId="12" fillId="0" borderId="0" xfId="3" quotePrefix="1" applyFill="1" applyAlignment="1" applyProtection="1">
      <alignment horizontal="left" vertical="center" indent="1"/>
    </xf>
    <xf numFmtId="0" fontId="37" fillId="0" borderId="0" xfId="0" quotePrefix="1" applyFont="1" applyAlignment="1">
      <alignment horizontal="left" vertical="center" indent="1"/>
    </xf>
    <xf numFmtId="0" fontId="12" fillId="0" borderId="0" xfId="3" quotePrefix="1" applyFill="1" applyAlignment="1" applyProtection="1">
      <alignment horizontal="left" indent="1"/>
    </xf>
    <xf numFmtId="0" fontId="13" fillId="0" borderId="0" xfId="0" quotePrefix="1" applyFont="1" applyAlignment="1">
      <alignment horizontal="left" vertical="center" wrapText="1"/>
    </xf>
    <xf numFmtId="0" fontId="12" fillId="0" borderId="0" xfId="3" applyAlignment="1" applyProtection="1">
      <alignment horizontal="left" vertical="center"/>
    </xf>
    <xf numFmtId="0" fontId="7" fillId="12" borderId="0" xfId="0" applyFont="1" applyFill="1" applyAlignment="1">
      <alignment vertical="center" wrapText="1"/>
    </xf>
    <xf numFmtId="0" fontId="7" fillId="12" borderId="0" xfId="0" applyFont="1" applyFill="1" applyAlignment="1">
      <alignment horizontal="center" vertical="center" wrapText="1"/>
    </xf>
    <xf numFmtId="0" fontId="6" fillId="12" borderId="0" xfId="0" applyFont="1" applyFill="1" applyAlignment="1">
      <alignment horizontal="center" vertical="center" wrapText="1"/>
    </xf>
    <xf numFmtId="165" fontId="6" fillId="0" borderId="3" xfId="6" applyNumberFormat="1" applyBorder="1" applyAlignment="1">
      <alignment horizontal="left" vertical="center" wrapText="1" indent="1"/>
    </xf>
    <xf numFmtId="0" fontId="7" fillId="0" borderId="1" xfId="6" applyFont="1" applyBorder="1" applyAlignment="1">
      <alignment horizontal="left" vertical="center" wrapText="1" indent="1"/>
    </xf>
    <xf numFmtId="0" fontId="6" fillId="0" borderId="1" xfId="6" applyBorder="1" applyAlignment="1">
      <alignment horizontal="left" vertical="center" wrapText="1"/>
    </xf>
    <xf numFmtId="0" fontId="0" fillId="31" borderId="1" xfId="0" applyFill="1" applyBorder="1" applyAlignment="1">
      <alignment vertical="center"/>
    </xf>
    <xf numFmtId="0" fontId="6" fillId="12" borderId="1" xfId="6" applyFill="1" applyBorder="1" applyAlignment="1">
      <alignment horizontal="left" vertical="top" wrapText="1"/>
    </xf>
    <xf numFmtId="0" fontId="6" fillId="12" borderId="1" xfId="6" applyFill="1" applyBorder="1" applyAlignment="1">
      <alignment vertical="center" wrapText="1"/>
    </xf>
    <xf numFmtId="0" fontId="21" fillId="0" borderId="0" xfId="6" applyFont="1"/>
    <xf numFmtId="0" fontId="0" fillId="0" borderId="1" xfId="0" applyBorder="1" applyAlignment="1">
      <alignment horizontal="center" vertical="center"/>
    </xf>
    <xf numFmtId="0" fontId="6" fillId="12" borderId="6" xfId="0" applyFont="1" applyFill="1" applyBorder="1" applyAlignment="1">
      <alignment horizontal="center" vertical="center" wrapText="1"/>
    </xf>
    <xf numFmtId="0" fontId="7" fillId="12" borderId="6" xfId="6" applyFont="1" applyFill="1" applyBorder="1" applyAlignment="1">
      <alignment vertical="center" wrapText="1"/>
    </xf>
    <xf numFmtId="0" fontId="7" fillId="12" borderId="1" xfId="6" applyFont="1" applyFill="1" applyBorder="1" applyAlignment="1">
      <alignment horizontal="left" vertical="center" wrapText="1" indent="1"/>
    </xf>
    <xf numFmtId="0" fontId="7" fillId="12" borderId="1" xfId="6" applyFont="1" applyFill="1" applyBorder="1" applyAlignment="1">
      <alignment vertical="center" wrapText="1"/>
    </xf>
    <xf numFmtId="0" fontId="6" fillId="31" borderId="1"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18" fillId="0" borderId="1" xfId="0" quotePrefix="1" applyFont="1" applyBorder="1" applyAlignment="1" applyProtection="1">
      <alignment horizontal="center" vertical="center" wrapText="1"/>
      <protection locked="0"/>
    </xf>
    <xf numFmtId="0" fontId="38" fillId="2" borderId="0" xfId="0" applyFont="1" applyFill="1" applyAlignment="1">
      <alignment vertical="center"/>
    </xf>
    <xf numFmtId="0" fontId="7" fillId="0" borderId="6" xfId="0" quotePrefix="1" applyFont="1" applyBorder="1" applyAlignment="1">
      <alignment horizontal="center" vertical="center" wrapText="1"/>
    </xf>
    <xf numFmtId="0" fontId="7" fillId="0" borderId="6" xfId="0" quotePrefix="1" applyFont="1" applyBorder="1" applyAlignment="1">
      <alignment vertical="center" wrapText="1"/>
    </xf>
    <xf numFmtId="184" fontId="14" fillId="5" borderId="7" xfId="2" applyNumberFormat="1" applyFont="1" applyAlignment="1" applyProtection="1">
      <alignment horizontal="center" vertical="center" wrapText="1"/>
      <protection locked="0"/>
    </xf>
    <xf numFmtId="0" fontId="14" fillId="5" borderId="7" xfId="2" applyNumberFormat="1" applyFont="1" applyAlignment="1" applyProtection="1">
      <alignment horizontal="center" vertical="center" wrapText="1"/>
      <protection locked="0"/>
    </xf>
    <xf numFmtId="2" fontId="18" fillId="10"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pplyProtection="1">
      <alignment horizontal="center" vertical="center"/>
      <protection locked="0"/>
    </xf>
    <xf numFmtId="2" fontId="18" fillId="3" borderId="1" xfId="0" applyNumberFormat="1" applyFont="1" applyFill="1" applyBorder="1" applyAlignment="1">
      <alignment horizontal="center" vertical="center"/>
    </xf>
    <xf numFmtId="2" fontId="18" fillId="10" borderId="1" xfId="0" applyNumberFormat="1" applyFont="1" applyFill="1" applyBorder="1" applyAlignment="1">
      <alignment horizontal="center" vertical="center"/>
    </xf>
    <xf numFmtId="49" fontId="18" fillId="43" borderId="1" xfId="0" applyNumberFormat="1"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40" fillId="0" borderId="1" xfId="20" applyFont="1" applyBorder="1" applyAlignment="1">
      <alignment horizontal="center" vertical="center" wrapText="1"/>
    </xf>
    <xf numFmtId="0" fontId="18" fillId="0" borderId="1" xfId="0" applyFont="1" applyBorder="1" applyAlignment="1">
      <alignment horizontal="center" vertical="center" wrapText="1"/>
    </xf>
    <xf numFmtId="179" fontId="0" fillId="2" borderId="0" xfId="0" applyNumberFormat="1" applyFill="1" applyAlignment="1">
      <alignment vertical="center"/>
    </xf>
    <xf numFmtId="0" fontId="6" fillId="2" borderId="0" xfId="6" quotePrefix="1" applyFill="1" applyAlignment="1">
      <alignment horizontal="center" vertical="center" wrapText="1"/>
    </xf>
    <xf numFmtId="164" fontId="18" fillId="9" borderId="1" xfId="0" applyNumberFormat="1" applyFont="1" applyFill="1" applyBorder="1" applyAlignment="1" applyProtection="1">
      <alignment horizontal="center" vertical="center"/>
      <protection locked="0"/>
    </xf>
    <xf numFmtId="185" fontId="18" fillId="3" borderId="1" xfId="0" applyNumberFormat="1" applyFont="1" applyFill="1" applyBorder="1" applyAlignment="1" applyProtection="1">
      <alignment horizontal="center" vertical="center"/>
      <protection locked="0"/>
    </xf>
    <xf numFmtId="0" fontId="12" fillId="2" borderId="0" xfId="3" quotePrefix="1" applyFill="1" applyAlignment="1" applyProtection="1">
      <alignment vertical="top"/>
    </xf>
    <xf numFmtId="0" fontId="13" fillId="2" borderId="0" xfId="6" applyFont="1" applyFill="1"/>
    <xf numFmtId="179" fontId="7" fillId="44" borderId="1" xfId="0" applyNumberFormat="1" applyFont="1" applyFill="1" applyBorder="1" applyAlignment="1" applyProtection="1">
      <alignment vertical="center" wrapText="1"/>
      <protection locked="0"/>
    </xf>
    <xf numFmtId="0" fontId="7" fillId="12" borderId="3" xfId="0" applyFont="1" applyFill="1" applyBorder="1" applyAlignment="1">
      <alignment horizontal="left" vertical="center" wrapText="1" indent="1"/>
    </xf>
    <xf numFmtId="169" fontId="6" fillId="12" borderId="1" xfId="6" applyNumberFormat="1" applyFill="1" applyBorder="1" applyAlignment="1">
      <alignment horizontal="center" vertical="center" wrapText="1"/>
    </xf>
    <xf numFmtId="0" fontId="18" fillId="8"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164" fontId="18" fillId="9" borderId="1" xfId="0" applyNumberFormat="1" applyFont="1" applyFill="1" applyBorder="1" applyAlignment="1">
      <alignment horizontal="center" vertical="center"/>
    </xf>
    <xf numFmtId="164" fontId="18" fillId="45" borderId="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41" fillId="2" borderId="0" xfId="6" quotePrefix="1" applyFont="1" applyFill="1" applyAlignment="1">
      <alignment vertical="center" wrapText="1"/>
    </xf>
    <xf numFmtId="0" fontId="41" fillId="2" borderId="0" xfId="0" applyFont="1" applyFill="1"/>
    <xf numFmtId="0" fontId="41" fillId="12" borderId="0" xfId="0" applyFont="1" applyFill="1"/>
    <xf numFmtId="0" fontId="18" fillId="12" borderId="1" xfId="0" applyFont="1" applyFill="1" applyBorder="1" applyAlignment="1" applyProtection="1">
      <alignment horizontal="center" vertical="center" wrapText="1"/>
      <protection locked="0"/>
    </xf>
    <xf numFmtId="164" fontId="0" fillId="2" borderId="0" xfId="0" applyNumberFormat="1" applyFill="1" applyAlignment="1">
      <alignment vertical="center"/>
    </xf>
    <xf numFmtId="186" fontId="18" fillId="9" borderId="1"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0" fontId="21" fillId="12" borderId="0" xfId="0" applyFont="1" applyFill="1" applyAlignment="1">
      <alignment vertical="center"/>
    </xf>
    <xf numFmtId="0" fontId="7" fillId="11" borderId="0" xfId="0" applyFont="1" applyFill="1" applyAlignment="1">
      <alignment vertical="center" wrapText="1"/>
    </xf>
    <xf numFmtId="0" fontId="42" fillId="0" borderId="0" xfId="0" quotePrefix="1" applyFont="1" applyAlignment="1">
      <alignment horizontal="left" vertical="center" wrapText="1"/>
    </xf>
    <xf numFmtId="0" fontId="42" fillId="0" borderId="0" xfId="0" quotePrefix="1" applyFont="1" applyAlignment="1">
      <alignment horizontal="left" vertical="center"/>
    </xf>
    <xf numFmtId="0" fontId="44" fillId="12" borderId="0" xfId="0" applyFont="1" applyFill="1" applyAlignment="1">
      <alignment horizontal="left" vertical="top"/>
    </xf>
    <xf numFmtId="0" fontId="43" fillId="0" borderId="0" xfId="0" applyFont="1" applyAlignment="1">
      <alignment horizontal="left" vertical="top"/>
    </xf>
    <xf numFmtId="0" fontId="13" fillId="0" borderId="0" xfId="0" quotePrefix="1" applyFont="1" applyAlignment="1">
      <alignment horizontal="left" wrapText="1"/>
    </xf>
    <xf numFmtId="0" fontId="13" fillId="0" borderId="0" xfId="0" quotePrefix="1" applyFont="1" applyAlignment="1">
      <alignment horizontal="left" vertical="center" wrapText="1"/>
    </xf>
    <xf numFmtId="49" fontId="10"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7" fillId="0" borderId="0" xfId="0" quotePrefix="1" applyFont="1" applyAlignment="1">
      <alignment horizontal="left" wrapText="1"/>
    </xf>
    <xf numFmtId="0" fontId="6" fillId="0" borderId="0" xfId="0" quotePrefix="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49" fontId="10" fillId="6" borderId="0" xfId="1" applyNumberFormat="1" applyFill="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vertical="center"/>
    </xf>
    <xf numFmtId="174" fontId="18" fillId="14" borderId="3" xfId="0" applyNumberFormat="1" applyFont="1" applyFill="1" applyBorder="1" applyAlignment="1" applyProtection="1">
      <alignment horizontal="center" vertical="center"/>
      <protection locked="0"/>
    </xf>
    <xf numFmtId="174" fontId="18" fillId="14"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15" fillId="6" borderId="1" xfId="1" applyNumberFormat="1" applyFont="1" applyFill="1" applyBorder="1" applyAlignment="1">
      <alignment horizontal="center" vertical="center" wrapText="1"/>
    </xf>
    <xf numFmtId="0" fontId="28" fillId="0" borderId="13" xfId="15" quotePrefix="1" applyFill="1" applyBorder="1" applyAlignment="1">
      <alignment horizontal="left" vertical="top" wrapText="1"/>
    </xf>
    <xf numFmtId="0" fontId="28" fillId="0" borderId="8" xfId="15" quotePrefix="1" applyFill="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5" fillId="6" borderId="3" xfId="1" applyNumberFormat="1" applyFont="1" applyFill="1" applyBorder="1" applyAlignment="1">
      <alignment horizontal="center" vertical="center" wrapText="1"/>
    </xf>
    <xf numFmtId="0" fontId="15" fillId="6" borderId="4"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4" xfId="0" applyFont="1" applyBorder="1" applyAlignment="1">
      <alignment horizontal="left" vertical="center" wrapText="1" indent="1"/>
    </xf>
    <xf numFmtId="0" fontId="44" fillId="12" borderId="0" xfId="0" applyFont="1" applyFill="1" applyAlignment="1">
      <alignment horizontal="left" vertical="top" wrapText="1"/>
    </xf>
    <xf numFmtId="0" fontId="0" fillId="12" borderId="0" xfId="0" applyFill="1" applyAlignment="1">
      <alignment horizontal="left" vertical="top" wrapText="1"/>
    </xf>
    <xf numFmtId="0" fontId="0" fillId="12" borderId="0" xfId="0" applyFill="1" applyAlignment="1">
      <alignment wrapText="1"/>
    </xf>
    <xf numFmtId="174" fontId="7" fillId="14" borderId="3" xfId="0" applyNumberFormat="1" applyFont="1" applyFill="1" applyBorder="1" applyAlignment="1" applyProtection="1">
      <alignment horizontal="center" vertical="center"/>
      <protection locked="0"/>
    </xf>
    <xf numFmtId="174" fontId="7" fillId="14" borderId="5" xfId="0" applyNumberFormat="1" applyFont="1" applyFill="1" applyBorder="1" applyAlignment="1" applyProtection="1">
      <alignment horizontal="center" vertical="center"/>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6" quotePrefix="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80" fontId="6" fillId="4" borderId="3" xfId="0" applyNumberFormat="1" applyFont="1" applyFill="1" applyBorder="1" applyAlignment="1">
      <alignment horizontal="center" vertical="center" wrapText="1"/>
    </xf>
    <xf numFmtId="180" fontId="6" fillId="4" borderId="5" xfId="0" applyNumberFormat="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0" fontId="6" fillId="0" borderId="1" xfId="6" applyBorder="1" applyAlignment="1">
      <alignment horizontal="center" vertical="center" wrapText="1"/>
    </xf>
    <xf numFmtId="0" fontId="7" fillId="0" borderId="1" xfId="6" applyFont="1" applyBorder="1" applyAlignment="1">
      <alignment horizontal="center" vertical="center" wrapText="1"/>
    </xf>
    <xf numFmtId="0" fontId="6" fillId="0" borderId="14" xfId="6" applyBorder="1" applyAlignment="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174" fontId="18" fillId="14" borderId="3" xfId="6" applyNumberFormat="1" applyFont="1" applyFill="1" applyBorder="1" applyAlignment="1" applyProtection="1">
      <alignment horizontal="center" vertical="center" wrapText="1"/>
      <protection locked="0"/>
    </xf>
    <xf numFmtId="174" fontId="18" fillId="14" borderId="5" xfId="6" applyNumberFormat="1" applyFont="1" applyFill="1" applyBorder="1" applyAlignment="1" applyProtection="1">
      <alignment horizontal="center" vertical="center" wrapText="1"/>
      <protection locked="0"/>
    </xf>
    <xf numFmtId="0" fontId="7" fillId="7" borderId="3" xfId="6" applyFont="1" applyFill="1" applyBorder="1" applyAlignment="1" applyProtection="1">
      <alignment horizontal="center" vertical="center" wrapText="1"/>
      <protection locked="0"/>
    </xf>
    <xf numFmtId="0" fontId="7" fillId="7" borderId="5" xfId="6" applyFont="1" applyFill="1" applyBorder="1" applyAlignment="1" applyProtection="1">
      <alignment horizontal="center" vertical="center" wrapText="1"/>
      <protection locked="0"/>
    </xf>
    <xf numFmtId="180" fontId="6" fillId="12" borderId="3" xfId="0" applyNumberFormat="1" applyFont="1" applyFill="1" applyBorder="1" applyAlignment="1">
      <alignment horizontal="center" vertical="center" wrapText="1"/>
    </xf>
    <xf numFmtId="180" fontId="6"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32" borderId="3" xfId="1" applyNumberFormat="1" applyFont="1" applyFill="1" applyBorder="1" applyAlignment="1" applyProtection="1">
      <alignment horizontal="center" vertical="center" wrapText="1"/>
    </xf>
    <xf numFmtId="0" fontId="29" fillId="32" borderId="4" xfId="1" applyNumberFormat="1" applyFont="1" applyFill="1" applyBorder="1" applyAlignment="1" applyProtection="1">
      <alignment horizontal="center" vertical="center" wrapText="1"/>
    </xf>
    <xf numFmtId="0" fontId="29" fillId="32" borderId="5" xfId="1" applyNumberFormat="1" applyFont="1" applyFill="1" applyBorder="1" applyAlignment="1" applyProtection="1">
      <alignment horizontal="center" vertical="center" wrapText="1"/>
    </xf>
    <xf numFmtId="0" fontId="7" fillId="34" borderId="3"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5"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7" fillId="34" borderId="11" xfId="0" applyFont="1" applyFill="1" applyBorder="1" applyAlignment="1">
      <alignment horizontal="center" vertical="center" wrapText="1"/>
    </xf>
    <xf numFmtId="0" fontId="7" fillId="34" borderId="0" xfId="0" applyFont="1" applyFill="1" applyAlignment="1">
      <alignment horizontal="center" vertical="center" wrapText="1"/>
    </xf>
    <xf numFmtId="0" fontId="7" fillId="0" borderId="22"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7" fillId="34" borderId="11" xfId="6" applyFont="1" applyFill="1" applyBorder="1" applyAlignment="1">
      <alignment horizontal="center" vertical="center" wrapText="1"/>
    </xf>
    <xf numFmtId="0" fontId="7" fillId="34" borderId="0" xfId="6" applyFont="1" applyFill="1" applyAlignment="1">
      <alignment horizontal="center" vertical="center" wrapText="1"/>
    </xf>
    <xf numFmtId="0" fontId="30" fillId="35" borderId="3" xfId="6" applyFont="1" applyFill="1" applyBorder="1" applyAlignment="1">
      <alignment horizontal="center" vertical="center" wrapText="1"/>
    </xf>
    <xf numFmtId="0" fontId="30" fillId="35" borderId="4" xfId="6" applyFont="1" applyFill="1" applyBorder="1" applyAlignment="1">
      <alignment horizontal="center" vertical="center" wrapText="1"/>
    </xf>
    <xf numFmtId="0" fontId="30" fillId="35" borderId="5" xfId="6" applyFont="1" applyFill="1" applyBorder="1" applyAlignment="1">
      <alignment horizontal="center" vertical="center" wrapText="1"/>
    </xf>
    <xf numFmtId="0" fontId="7" fillId="0" borderId="1" xfId="6" applyFont="1" applyBorder="1" applyAlignment="1">
      <alignment horizontal="left" vertical="center" wrapText="1"/>
    </xf>
    <xf numFmtId="0" fontId="7" fillId="0" borderId="22" xfId="6" applyFont="1" applyBorder="1" applyAlignment="1">
      <alignment horizontal="left" vertical="center" wrapText="1"/>
    </xf>
    <xf numFmtId="0" fontId="6" fillId="0" borderId="23" xfId="6" applyBorder="1" applyAlignment="1">
      <alignment horizontal="center" vertical="center" wrapText="1"/>
    </xf>
    <xf numFmtId="0" fontId="6" fillId="0" borderId="24" xfId="6"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2" fillId="13" borderId="3" xfId="0" applyFont="1" applyFill="1" applyBorder="1" applyAlignment="1" applyProtection="1">
      <alignment horizontal="center" vertical="center" wrapText="1"/>
      <protection locked="0"/>
    </xf>
    <xf numFmtId="0" fontId="22" fillId="13"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30" fillId="35" borderId="1" xfId="0" applyFont="1" applyFill="1" applyBorder="1" applyAlignment="1">
      <alignment horizontal="center" vertical="center" wrapText="1"/>
    </xf>
    <xf numFmtId="0" fontId="6" fillId="31" borderId="1" xfId="0" applyFont="1" applyFill="1" applyBorder="1" applyAlignment="1">
      <alignment horizontal="center" vertical="center" wrapText="1"/>
    </xf>
    <xf numFmtId="0" fontId="29" fillId="32" borderId="1" xfId="1" applyNumberFormat="1" applyFont="1" applyFill="1" applyBorder="1" applyAlignment="1" applyProtection="1">
      <alignment horizontal="center" vertical="center" wrapText="1"/>
    </xf>
    <xf numFmtId="0" fontId="6" fillId="0" borderId="22" xfId="6"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6" fillId="2" borderId="8" xfId="6" quotePrefix="1" applyFill="1" applyBorder="1" applyAlignment="1">
      <alignment horizontal="left" vertical="center" wrapText="1"/>
    </xf>
    <xf numFmtId="0" fontId="15" fillId="6"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wrapText="1"/>
    </xf>
    <xf numFmtId="0" fontId="7" fillId="0" borderId="1" xfId="0" applyFont="1" applyBorder="1"/>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19" xfId="0" applyFont="1" applyBorder="1" applyAlignment="1">
      <alignment horizontal="left" vertical="center" wrapText="1"/>
    </xf>
    <xf numFmtId="0" fontId="28" fillId="0" borderId="8" xfId="15" quotePrefix="1" applyFill="1" applyBorder="1" applyAlignment="1" applyProtection="1">
      <alignment horizontal="left" vertical="center" wrapText="1"/>
    </xf>
    <xf numFmtId="0" fontId="28" fillId="0" borderId="8" xfId="15" quotePrefix="1" applyFill="1" applyBorder="1" applyAlignment="1" applyProtection="1">
      <alignment horizontal="center" vertical="center" wrapText="1"/>
    </xf>
    <xf numFmtId="0" fontId="7" fillId="7" borderId="1" xfId="6" applyFont="1" applyFill="1" applyBorder="1" applyAlignment="1" applyProtection="1">
      <alignment horizontal="center" vertical="center" wrapText="1"/>
      <protection locked="0"/>
    </xf>
    <xf numFmtId="0" fontId="7" fillId="12" borderId="3" xfId="0" applyFont="1" applyFill="1" applyBorder="1" applyAlignment="1">
      <alignment horizontal="left" vertical="center" wrapText="1" indent="1"/>
    </xf>
    <xf numFmtId="0" fontId="7" fillId="12" borderId="5" xfId="0" applyFont="1" applyFill="1" applyBorder="1" applyAlignment="1">
      <alignment horizontal="left" vertical="center" wrapText="1" indent="1"/>
    </xf>
    <xf numFmtId="0" fontId="6" fillId="0" borderId="8" xfId="6" applyBorder="1" applyAlignment="1">
      <alignment horizontal="left" vertical="center" wrapText="1"/>
    </xf>
    <xf numFmtId="0" fontId="6" fillId="0" borderId="1" xfId="6" applyBorder="1" applyAlignment="1">
      <alignment horizontal="left" vertical="center" wrapText="1" indent="1"/>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7" borderId="4" xfId="6"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horizontal="left" vertical="center" wrapText="1"/>
    </xf>
    <xf numFmtId="0" fontId="6" fillId="0" borderId="4" xfId="6" applyBorder="1" applyAlignment="1">
      <alignment horizontal="left" vertical="center" wrapText="1"/>
    </xf>
    <xf numFmtId="0" fontId="6" fillId="0" borderId="5" xfId="6" applyBorder="1" applyAlignment="1">
      <alignment horizontal="left" vertical="center" wrapText="1"/>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3" xfId="6" applyBorder="1" applyAlignment="1">
      <alignment horizontal="left" vertical="center" wrapText="1" indent="1"/>
    </xf>
    <xf numFmtId="0" fontId="6" fillId="0" borderId="4" xfId="6" applyBorder="1" applyAlignment="1">
      <alignment horizontal="left" vertical="center" wrapText="1" indent="1"/>
    </xf>
    <xf numFmtId="0" fontId="6" fillId="0" borderId="5" xfId="6" applyBorder="1" applyAlignment="1">
      <alignment horizontal="left" vertical="center" wrapText="1" indent="1"/>
    </xf>
    <xf numFmtId="0" fontId="6" fillId="0" borderId="1" xfId="6" applyBorder="1" applyAlignment="1">
      <alignment horizontal="left" vertical="center" wrapText="1"/>
    </xf>
    <xf numFmtId="0" fontId="15" fillId="6" borderId="1" xfId="1" quotePrefix="1" applyNumberFormat="1" applyFont="1" applyFill="1" applyBorder="1" applyAlignment="1">
      <alignment horizontal="center" vertical="center" wrapText="1"/>
    </xf>
    <xf numFmtId="0" fontId="15" fillId="6" borderId="1" xfId="1" applyNumberFormat="1" applyFont="1" applyFill="1" applyBorder="1" applyAlignment="1">
      <alignment horizontal="center" vertical="center"/>
    </xf>
    <xf numFmtId="0" fontId="28" fillId="12" borderId="0" xfId="15" quotePrefix="1" applyFill="1" applyBorder="1" applyAlignment="1">
      <alignment horizontal="left" vertical="top" wrapText="1"/>
    </xf>
    <xf numFmtId="0" fontId="23" fillId="6" borderId="3" xfId="1"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3" fillId="6" borderId="4" xfId="1" applyNumberFormat="1" applyFont="1" applyFill="1" applyBorder="1" applyAlignment="1">
      <alignment horizontal="center" vertical="center" wrapText="1"/>
    </xf>
    <xf numFmtId="0" fontId="28" fillId="12" borderId="8" xfId="15" quotePrefix="1" applyFill="1" applyBorder="1" applyAlignment="1">
      <alignment horizontal="left" vertical="top" wrapText="1"/>
    </xf>
    <xf numFmtId="0" fontId="12" fillId="0" borderId="0" xfId="3" applyFill="1" applyAlignment="1" applyProtection="1">
      <alignment horizontal="left" vertical="center"/>
    </xf>
    <xf numFmtId="0" fontId="23" fillId="6" borderId="3" xfId="1" applyNumberFormat="1" applyFont="1" applyFill="1" applyBorder="1" applyAlignment="1" applyProtection="1">
      <alignment horizontal="center" vertical="center" wrapText="1"/>
    </xf>
    <xf numFmtId="0" fontId="23" fillId="6" borderId="4" xfId="1" applyNumberFormat="1" applyFont="1" applyFill="1" applyBorder="1" applyAlignment="1" applyProtection="1">
      <alignment horizontal="center" vertical="center" wrapText="1"/>
    </xf>
    <xf numFmtId="0" fontId="23"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3" fillId="6" borderId="3" xfId="1" applyNumberFormat="1" applyFont="1" applyFill="1" applyBorder="1" applyAlignment="1" applyProtection="1">
      <alignment horizontal="left" vertical="center" wrapText="1"/>
    </xf>
    <xf numFmtId="0" fontId="23" fillId="6" borderId="4" xfId="1" applyNumberFormat="1" applyFont="1" applyFill="1" applyBorder="1" applyAlignment="1" applyProtection="1">
      <alignment horizontal="left" vertical="center" wrapText="1"/>
    </xf>
    <xf numFmtId="0" fontId="23"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4" xfId="12" builtinId="43"/>
    <cellStyle name="60% - Accent2" xfId="10" builtinId="36"/>
    <cellStyle name="Accent1" xfId="8" builtinId="29"/>
    <cellStyle name="Accent4" xfId="11" builtinId="41"/>
    <cellStyle name="Accent6" xfId="13" builtinId="49"/>
    <cellStyle name="Comma" xfId="19" builtinId="3"/>
    <cellStyle name="Comma 2" xfId="7" xr:uid="{00000000-0005-0000-0000-000007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0F000000}"/>
    <cellStyle name="Normal 3" xfId="14" xr:uid="{00000000-0005-0000-0000-000010000000}"/>
    <cellStyle name="Normal 4" xfId="16" xr:uid="{00000000-0005-0000-0000-000011000000}"/>
    <cellStyle name="Normal 5" xfId="18" xr:uid="{00000000-0005-0000-0000-000012000000}"/>
    <cellStyle name="Normal_Sheet1" xfId="20" xr:uid="{B7AF37C2-75B5-47EB-9AC1-87AD70220C21}"/>
    <cellStyle name="Percent 2" xfId="17" xr:uid="{00000000-0005-0000-0000-000014000000}"/>
  </cellStyles>
  <dxfs count="7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
      <fill>
        <patternFill>
          <bgColor rgb="FFFFFF00"/>
        </patternFill>
      </fill>
    </dxf>
    <dxf>
      <font>
        <b/>
        <i val="0"/>
        <color rgb="FFFF0000"/>
      </font>
    </dxf>
    <dxf>
      <font>
        <b/>
        <i val="0"/>
        <color rgb="FFFF0000"/>
      </font>
    </dxf>
    <dxf>
      <font>
        <b/>
        <i val="0"/>
        <color rgb="FF00B050"/>
      </font>
    </dxf>
  </dxfs>
  <tableStyles count="0" defaultTableStyle="TableStyleMedium9" defaultPivotStyle="PivotStyleLight16"/>
  <colors>
    <mruColors>
      <color rgb="FFF7F7F7"/>
      <color rgb="FFCCFFCC"/>
      <color rgb="FFBFBFBF"/>
      <color rgb="FFFFBE82"/>
      <color rgb="FFFFCC99"/>
      <color rgb="FFB4FFCC"/>
      <color rgb="FFB8D2BB"/>
      <color rgb="FF91FFCC"/>
      <color rgb="FF8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83"/>
  <sheetViews>
    <sheetView tabSelected="1" zoomScaleNormal="100" workbookViewId="0"/>
  </sheetViews>
  <sheetFormatPr defaultRowHeight="12.75" x14ac:dyDescent="0.2"/>
  <cols>
    <col min="1" max="1" width="70.28515625" customWidth="1"/>
    <col min="2" max="2" width="53.7109375" customWidth="1"/>
    <col min="3" max="3" width="28" customWidth="1"/>
    <col min="4" max="4" width="18.140625" customWidth="1"/>
    <col min="5" max="5" width="21.5703125" customWidth="1"/>
  </cols>
  <sheetData>
    <row r="1" spans="1:13" x14ac:dyDescent="0.2">
      <c r="A1" s="15"/>
      <c r="B1" s="15"/>
      <c r="C1" s="15"/>
      <c r="D1" s="15"/>
      <c r="E1" s="15"/>
    </row>
    <row r="2" spans="1:13" ht="16.5" x14ac:dyDescent="0.2">
      <c r="A2" s="90" t="s">
        <v>412</v>
      </c>
      <c r="B2" s="34"/>
      <c r="C2" s="34"/>
      <c r="D2" s="34"/>
      <c r="E2" s="34"/>
    </row>
    <row r="3" spans="1:13" ht="15" x14ac:dyDescent="0.2">
      <c r="A3" s="34"/>
      <c r="B3" s="88" t="s">
        <v>413</v>
      </c>
      <c r="C3" s="287" t="s">
        <v>457</v>
      </c>
      <c r="D3" s="287" t="s">
        <v>22</v>
      </c>
      <c r="E3" s="287" t="s">
        <v>21</v>
      </c>
    </row>
    <row r="4" spans="1:13" ht="15" x14ac:dyDescent="0.2">
      <c r="A4" s="35" t="s">
        <v>412</v>
      </c>
      <c r="B4" s="20" t="s">
        <v>501</v>
      </c>
      <c r="C4" s="318" t="str">
        <f>YEAR($D$4)&amp;"/"&amp;RIGHT(YEAR($D$4)+1,2)</f>
        <v>2026/27</v>
      </c>
      <c r="D4" s="317">
        <v>46113</v>
      </c>
      <c r="E4" s="20" t="s">
        <v>411</v>
      </c>
    </row>
    <row r="5" spans="1:13" x14ac:dyDescent="0.2">
      <c r="A5" s="34"/>
      <c r="B5" s="34"/>
      <c r="C5" s="34"/>
      <c r="D5" s="34"/>
      <c r="E5" s="34"/>
    </row>
    <row r="6" spans="1:13" ht="16.5" x14ac:dyDescent="0.2">
      <c r="A6" s="37" t="s">
        <v>16</v>
      </c>
      <c r="B6" s="34"/>
      <c r="C6" s="34"/>
      <c r="D6" s="34"/>
      <c r="E6" s="34"/>
    </row>
    <row r="7" spans="1:13" ht="15" x14ac:dyDescent="0.2">
      <c r="A7" s="38" t="s">
        <v>17</v>
      </c>
      <c r="B7" s="357" t="s">
        <v>18</v>
      </c>
      <c r="C7" s="357"/>
      <c r="D7" s="357"/>
      <c r="E7" s="357"/>
    </row>
    <row r="8" spans="1:13" ht="30" customHeight="1" x14ac:dyDescent="0.2">
      <c r="A8" t="s">
        <v>288</v>
      </c>
      <c r="B8" s="355" t="s">
        <v>495</v>
      </c>
      <c r="C8" s="355"/>
      <c r="D8" s="355"/>
      <c r="E8" s="355"/>
    </row>
    <row r="9" spans="1:13" ht="14.25" x14ac:dyDescent="0.2">
      <c r="A9" s="291" t="s">
        <v>502</v>
      </c>
      <c r="B9" s="292" t="str">
        <f>"Charges in "&amp;RIGHT('Annex 1 LV and HV charges_A'!$A$2,LEN('Annex 1 LV and HV charges_A'!$A$2)-(FIND("charges",TEXT('Annex 1 LV and HV charges_A'!$A$2,0))+LEN("charges in ")-1))</f>
        <v>Charges in UKPN EPN Area (GSP Group _A)</v>
      </c>
      <c r="C9" s="351"/>
      <c r="D9" s="294"/>
      <c r="E9" s="294"/>
    </row>
    <row r="10" spans="1:13" ht="14.25" x14ac:dyDescent="0.2">
      <c r="A10" s="291" t="s">
        <v>503</v>
      </c>
      <c r="B10" s="292" t="str">
        <f>"Charges in "&amp;RIGHT('Annex 1 LV and HV charges_B'!$A$2,LEN('Annex 1 LV and HV charges_B'!$A$2)-(FIND("charges",TEXT('Annex 1 LV and HV charges_B'!$A$2,0))+LEN("charges in ")-1))</f>
        <v>Charges in WPD EM Area (GSP Group _B)</v>
      </c>
      <c r="C10" s="351"/>
      <c r="D10" s="294"/>
      <c r="E10" s="294"/>
    </row>
    <row r="11" spans="1:13" ht="14.25" x14ac:dyDescent="0.2">
      <c r="A11" s="291" t="s">
        <v>504</v>
      </c>
      <c r="B11" s="292" t="str">
        <f>"Charges in "&amp;RIGHT('Annex 1 LV and HV charges_C'!$A$2,LEN('Annex 1 LV and HV charges_C'!$A$2)-(FIND("charges",TEXT('Annex 1 LV and HV charges_C'!$A$2,0))+LEN("charges in ")-1))</f>
        <v>Charges in UKPN LPN Area (GSP Group _C)</v>
      </c>
      <c r="C11" s="352"/>
      <c r="D11" s="294"/>
      <c r="E11" s="294"/>
      <c r="H11" s="354"/>
      <c r="I11" s="354"/>
      <c r="J11" s="354"/>
      <c r="K11" s="354"/>
      <c r="L11" s="354"/>
      <c r="M11" s="354"/>
    </row>
    <row r="12" spans="1:13" ht="14.25" x14ac:dyDescent="0.2">
      <c r="A12" s="291" t="s">
        <v>505</v>
      </c>
      <c r="B12" s="292" t="str">
        <f>"Charges in "&amp;RIGHT('Annex 1 LV and HV charges_D'!$A$2,LEN('Annex 1 LV and HV charges_D'!$A$2)-(FIND("charges",TEXT('Annex 1 LV and HV charges_D'!$A$2,0))+LEN("charges in ")-1))</f>
        <v>Charges in SP Manweb Area (GSP Group _D)</v>
      </c>
      <c r="C12" s="351"/>
      <c r="D12" s="294"/>
      <c r="E12" s="294"/>
      <c r="H12" s="354"/>
      <c r="I12" s="354"/>
      <c r="J12" s="354"/>
      <c r="K12" s="354"/>
      <c r="L12" s="354"/>
      <c r="M12" s="354"/>
    </row>
    <row r="13" spans="1:13" ht="14.25" x14ac:dyDescent="0.2">
      <c r="A13" s="291" t="s">
        <v>506</v>
      </c>
      <c r="B13" s="292" t="str">
        <f>"Charges in "&amp;RIGHT('Annex 1 LV and HV charges_E'!$A$2,LEN('Annex 1 LV and HV charges_E'!$A$2)-(FIND("charges",TEXT('Annex 1 LV and HV charges_E'!$A$2,0))+LEN("charges in ")-1))</f>
        <v>Charges in WPD West Midlands Area (GSP Group _E)</v>
      </c>
      <c r="C13" s="351"/>
      <c r="D13" s="294"/>
      <c r="E13" s="294"/>
      <c r="H13" s="354"/>
      <c r="I13" s="354"/>
      <c r="J13" s="354"/>
      <c r="K13" s="354"/>
      <c r="L13" s="354"/>
      <c r="M13" s="354"/>
    </row>
    <row r="14" spans="1:13" ht="14.25" x14ac:dyDescent="0.2">
      <c r="A14" s="291" t="s">
        <v>507</v>
      </c>
      <c r="B14" s="292" t="str">
        <f>"Charges in "&amp;RIGHT('Annex 1 LV and HV charges_F'!$A$2,LEN('Annex 1 LV and HV charges_F'!$A$2)-(FIND("charges",TEXT('Annex 1 LV and HV charges_F'!$A$2,0))+LEN("charges in ")-1))</f>
        <v>Charges in NPG Northeast Area (GSP Group _F)</v>
      </c>
      <c r="C14" s="352"/>
      <c r="D14" s="294"/>
      <c r="E14" s="294"/>
      <c r="H14" s="67"/>
      <c r="I14" s="67"/>
      <c r="J14" s="67"/>
      <c r="K14" s="67"/>
      <c r="L14" s="67"/>
    </row>
    <row r="15" spans="1:13" ht="14.25" x14ac:dyDescent="0.2">
      <c r="A15" s="291" t="s">
        <v>508</v>
      </c>
      <c r="B15" s="292" t="str">
        <f>"Charges in "&amp;RIGHT('Annex 1 LV and HV charges_G'!$A$2,LEN('Annex 1 LV and HV charges_G'!$A$2)-(FIND("charges",TEXT('Annex 1 LV and HV charges_G'!$A$2,0))+LEN("charges in ")-1))</f>
        <v>Charges in Electricity North West Area (GSP Group _G)</v>
      </c>
      <c r="C15" s="352"/>
      <c r="D15" s="294"/>
      <c r="E15" s="294"/>
      <c r="H15" s="67"/>
      <c r="I15" s="67"/>
      <c r="J15" s="67"/>
      <c r="K15" s="67"/>
      <c r="L15" s="67"/>
    </row>
    <row r="16" spans="1:13" ht="14.25" x14ac:dyDescent="0.2">
      <c r="A16" s="291" t="s">
        <v>509</v>
      </c>
      <c r="B16" s="292" t="str">
        <f>"Charges in "&amp;RIGHT('Annex 1 LV and HV charges_H'!$A$2,LEN('Annex 1 LV and HV charges_H'!$A$2)-(FIND("charges",TEXT('Annex 1 LV and HV charges_H'!$A$2,0))+LEN("charges in ")-1))</f>
        <v>Charges in SSE SEPD Area (GSP Group _H)</v>
      </c>
      <c r="C16" s="352"/>
      <c r="D16" s="294"/>
      <c r="E16" s="294"/>
      <c r="H16" s="67"/>
      <c r="I16" s="67"/>
      <c r="J16" s="67"/>
      <c r="K16" s="67"/>
      <c r="L16" s="67"/>
    </row>
    <row r="17" spans="1:12" ht="14.25" x14ac:dyDescent="0.2">
      <c r="A17" s="291" t="s">
        <v>510</v>
      </c>
      <c r="B17" s="292" t="str">
        <f>"Charges in "&amp;RIGHT('Annex 1 LV and HV charges_J'!$A$2,LEN('Annex 1 LV and HV charges_J'!$A$2)-(FIND("charges",TEXT('Annex 1 LV and HV charges_J'!$A$2,0))+LEN("charges in ")-1))</f>
        <v>Charges in UKPN SPN Area (GSP Group _J)</v>
      </c>
      <c r="C17" s="351"/>
      <c r="D17" s="294"/>
      <c r="E17" s="294"/>
      <c r="H17" s="67"/>
      <c r="I17" s="67"/>
      <c r="J17" s="67"/>
      <c r="K17" s="67"/>
      <c r="L17" s="67"/>
    </row>
    <row r="18" spans="1:12" ht="14.25" x14ac:dyDescent="0.2">
      <c r="A18" s="291" t="s">
        <v>511</v>
      </c>
      <c r="B18" s="292" t="str">
        <f>"Charges in "&amp;RIGHT('Annex 1 LV and HV charges_K'!$A$2,LEN('Annex 1 LV and HV charges_K'!$A$2)-(FIND("charges",TEXT('Annex 1 LV and HV charges_K'!$A$2,0))+LEN("charges in ")-1))</f>
        <v>Charges in WPD South Wales Area (GSP Group _K)</v>
      </c>
      <c r="C18" s="351"/>
      <c r="D18" s="294"/>
      <c r="E18" s="294"/>
    </row>
    <row r="19" spans="1:12" ht="14.25" x14ac:dyDescent="0.2">
      <c r="A19" s="291" t="s">
        <v>512</v>
      </c>
      <c r="B19" s="292" t="str">
        <f>"Charges in "&amp;RIGHT('Annex 1 LV and HV charges_L'!$A$2,LEN('Annex 1 LV and HV charges_L'!$A$2)-(FIND("charges",TEXT('Annex 1 LV and HV charges_L'!$A$2,0))+LEN("charges in ")-1))</f>
        <v>Charges in WPD South West Area (GSP Group _L)</v>
      </c>
      <c r="C19" s="351"/>
      <c r="D19" s="294"/>
      <c r="E19" s="294"/>
    </row>
    <row r="20" spans="1:12" ht="14.25" x14ac:dyDescent="0.2">
      <c r="A20" s="291" t="s">
        <v>513</v>
      </c>
      <c r="B20" s="292" t="str">
        <f>"Charges in "&amp;RIGHT('Annex 1 LV and HV charges_M'!$A$2,LEN('Annex 1 LV and HV charges_M'!$A$2)-(FIND("charges",TEXT('Annex 1 LV and HV charges_M'!$A$2,0))+LEN("charges in ")-1))</f>
        <v>Charges in NPG Yorkshire Area (GSP Group _M)</v>
      </c>
      <c r="C20" s="351"/>
      <c r="D20" s="294"/>
      <c r="E20" s="294"/>
    </row>
    <row r="21" spans="1:12" ht="14.25" x14ac:dyDescent="0.2">
      <c r="A21" s="291" t="s">
        <v>514</v>
      </c>
      <c r="B21" s="292" t="str">
        <f>"Charges in "&amp;RIGHT('Annex 1 LV and HV charges_N'!$A$2,LEN('Annex 1 LV and HV charges_N'!$A$2)-(FIND("charges",TEXT('Annex 1 LV and HV charges_N'!$A$2,0))+LEN("charges in ")-1))</f>
        <v>Charges in SP Distribution Area (GSP Group _N)</v>
      </c>
      <c r="C21" s="351"/>
      <c r="D21" s="294"/>
      <c r="E21" s="294"/>
    </row>
    <row r="22" spans="1:12" ht="14.25" x14ac:dyDescent="0.2">
      <c r="A22" s="291" t="s">
        <v>515</v>
      </c>
      <c r="B22" s="292" t="str">
        <f>"Charges in "&amp;RIGHT('Annex 1 LV and HV charges_P'!$A$2,LEN('Annex 1 LV and HV charges_P'!$A$2)-(FIND("charges",TEXT('Annex 1 LV and HV charges_P'!$A$2,0))+LEN("charges in ")-1))</f>
        <v>Charges in SSE SHEPD Area (GSP Group_P)</v>
      </c>
      <c r="C22" s="352"/>
      <c r="D22" s="294"/>
      <c r="E22" s="294"/>
    </row>
    <row r="23" spans="1:12" ht="30" customHeight="1" x14ac:dyDescent="0.2">
      <c r="A23" s="295" t="s">
        <v>289</v>
      </c>
      <c r="B23" s="356"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Leep Electricity Networks Limited Licence area.</v>
      </c>
      <c r="C23" s="356"/>
      <c r="D23" s="356"/>
      <c r="E23" s="356"/>
    </row>
    <row r="24" spans="1:12" ht="30" customHeight="1" x14ac:dyDescent="0.2">
      <c r="A24" s="295" t="s">
        <v>290</v>
      </c>
      <c r="B24" s="356" t="s">
        <v>20</v>
      </c>
      <c r="C24" s="356"/>
      <c r="D24" s="356"/>
      <c r="E24" s="356"/>
    </row>
    <row r="25" spans="1:12" ht="72.75" customHeight="1" x14ac:dyDescent="0.2">
      <c r="A25" t="s">
        <v>291</v>
      </c>
      <c r="B25" s="35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Leep Electricity Networks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25" s="355"/>
      <c r="D25" s="355"/>
      <c r="E25" s="355"/>
      <c r="F25" s="359"/>
      <c r="G25" s="359"/>
      <c r="H25" s="359"/>
    </row>
    <row r="26" spans="1:12" ht="14.25" x14ac:dyDescent="0.2">
      <c r="A26" s="291" t="s">
        <v>516</v>
      </c>
      <c r="B26" s="292" t="str">
        <f>"Tariffs in "&amp;RIGHT('Annex 4 LDNO charges_A'!$A$2,LEN('Annex 4 LDNO charges_A'!$A$2)-(FIND("tariffs",TEXT('Annex 4 LDNO charges_A'!$A$2,0))+LEN("tariffs in ")-1))</f>
        <v>Tariffs in UKPN EPN Area (GSP Group_A)</v>
      </c>
      <c r="C26" s="351"/>
      <c r="D26" s="294"/>
      <c r="E26" s="294"/>
    </row>
    <row r="27" spans="1:12" ht="14.25" x14ac:dyDescent="0.2">
      <c r="A27" s="293" t="s">
        <v>517</v>
      </c>
      <c r="B27" s="292" t="str">
        <f>"Tariffs in "&amp;RIGHT('Annex 4 LDNO charges_B'!$A$2,LEN('Annex 4 LDNO charges_B'!$A$2)-(FIND("tariffs",TEXT('Annex 4 LDNO charges_B'!$A$2,0))+LEN("tariffs in ")-1))</f>
        <v>Tariffs in WPD EM Area (GSP Group_B)</v>
      </c>
      <c r="C27" s="351"/>
      <c r="D27" s="294"/>
      <c r="E27" s="294"/>
    </row>
    <row r="28" spans="1:12" ht="14.25" x14ac:dyDescent="0.2">
      <c r="A28" s="293" t="s">
        <v>518</v>
      </c>
      <c r="B28" s="292" t="str">
        <f>"Tariffs in "&amp;RIGHT('Annex 4 LDNO charges_C'!$A$2,LEN('Annex 4 LDNO charges_C'!$A$2)-(FIND("tariffs",TEXT('Annex 4 LDNO charges_C'!$A$2,0))+LEN("tariffs in ")-1))</f>
        <v>Tariffs in UKPN LPN Area (GSP Group_C)</v>
      </c>
      <c r="C28" s="352"/>
      <c r="D28" s="294"/>
      <c r="E28" s="294"/>
    </row>
    <row r="29" spans="1:12" ht="14.25" x14ac:dyDescent="0.2">
      <c r="A29" s="293" t="s">
        <v>519</v>
      </c>
      <c r="B29" s="292" t="str">
        <f>"Tariffs in "&amp;RIGHT('Annex 4 LDNO charges_D'!$A$2,LEN('Annex 4 LDNO charges_D'!$A$2)-(FIND("tariffs",TEXT('Annex 4 LDNO charges_D'!$A$2,0))+LEN("tariffs in ")-1))</f>
        <v>Tariffs in SP Manweb Area (GSP Group_D)</v>
      </c>
      <c r="C29" s="351"/>
      <c r="D29" s="294"/>
      <c r="E29" s="294"/>
    </row>
    <row r="30" spans="1:12" ht="14.25" x14ac:dyDescent="0.2">
      <c r="A30" s="293" t="s">
        <v>520</v>
      </c>
      <c r="B30" s="292" t="str">
        <f>"Tariffs in "&amp;RIGHT('Annex 4 LDNO charges_E'!$A$2,LEN('Annex 4 LDNO charges_E'!$A$2)-(FIND("tariffs",TEXT('Annex 4 LDNO charges_E'!$A$2,0))+LEN("tariffs in ")-1))</f>
        <v>Tariffs in WPD West Midlands Area (GSP Group_E)</v>
      </c>
      <c r="C30" s="351"/>
      <c r="D30" s="294"/>
      <c r="E30" s="294"/>
    </row>
    <row r="31" spans="1:12" ht="14.25" x14ac:dyDescent="0.2">
      <c r="A31" s="293" t="s">
        <v>521</v>
      </c>
      <c r="B31" s="292" t="str">
        <f>"Tariffs in "&amp;RIGHT('Annex 4 LDNO charges_F'!$A$2,LEN('Annex 4 LDNO charges_F'!$A$2)-(FIND("tariffs",TEXT('Annex 4 LDNO charges_F'!$A$2,0))+LEN("tariffs in ")-1))</f>
        <v>Tariffs in NPG Northeast Area (GSP Group_F)</v>
      </c>
      <c r="C31" s="352"/>
      <c r="D31" s="294"/>
      <c r="E31" s="294"/>
    </row>
    <row r="32" spans="1:12" ht="14.25" x14ac:dyDescent="0.2">
      <c r="A32" s="293" t="s">
        <v>522</v>
      </c>
      <c r="B32" s="292" t="str">
        <f>"Tariffs in "&amp;RIGHT('Annex 4 LDNO charges_G'!$A$2,LEN('Annex 4 LDNO charges_G'!$A$2)-(FIND("tariffs",TEXT('Annex 4 LDNO charges_G'!$A$2,0))+LEN("tariffs in ")-1))</f>
        <v>Tariffs in Electricity North West Area (GSP Group_G)</v>
      </c>
      <c r="C32" s="352"/>
      <c r="D32" s="294"/>
      <c r="E32" s="294"/>
    </row>
    <row r="33" spans="1:5" ht="14.25" x14ac:dyDescent="0.2">
      <c r="A33" s="293" t="s">
        <v>523</v>
      </c>
      <c r="B33" s="292" t="str">
        <f>"Tariffs in "&amp;RIGHT('Annex 4 LDNO charges_H'!$A$2,LEN('Annex 4 LDNO charges_H'!$A$2)-(FIND("tariffs",TEXT('Annex 4 LDNO charges_H'!$A$2,0))+LEN("tariffs in ")-1))</f>
        <v>Tariffs in SSE SEPD Area (GSP Group_H)</v>
      </c>
      <c r="C33" s="352"/>
      <c r="D33" s="294"/>
      <c r="E33" s="294"/>
    </row>
    <row r="34" spans="1:5" ht="14.25" x14ac:dyDescent="0.2">
      <c r="A34" s="293" t="s">
        <v>524</v>
      </c>
      <c r="B34" s="292" t="str">
        <f>"Tariffs in "&amp;RIGHT('Annex 4 LDNO charges_J'!$A$2,LEN('Annex 4 LDNO charges_J'!$A$2)-(FIND("tariffs",TEXT('Annex 4 LDNO charges_J'!$A$2,0))+LEN("tariffs in ")-1))</f>
        <v>Tariffs in UKPN SPN Area (GSP Group_J)</v>
      </c>
      <c r="C34" s="351"/>
      <c r="D34" s="294"/>
      <c r="E34" s="294"/>
    </row>
    <row r="35" spans="1:5" ht="14.25" x14ac:dyDescent="0.2">
      <c r="A35" s="293" t="s">
        <v>525</v>
      </c>
      <c r="B35" s="292" t="str">
        <f>"Tariffs in "&amp;RIGHT('Annex 4 LDNO charges_K'!$A$2,LEN('Annex 4 LDNO charges_K'!$A$2)-(FIND("tariffs",TEXT('Annex 4 LDNO charges_K'!$A$2,0))+LEN("tariffs in ")-1))</f>
        <v>Tariffs in WPD South Wales Area (GSP Group_K)</v>
      </c>
      <c r="C35" s="351"/>
      <c r="D35" s="294"/>
      <c r="E35" s="294"/>
    </row>
    <row r="36" spans="1:5" ht="14.25" x14ac:dyDescent="0.2">
      <c r="A36" s="293" t="s">
        <v>526</v>
      </c>
      <c r="B36" s="292" t="str">
        <f>"Tariffs in "&amp;RIGHT('Annex 4 LDNO charges_L'!$A$2,LEN('Annex 4 LDNO charges_L'!$A$2)-(FIND("tariffs",TEXT('Annex 4 LDNO charges_L'!$A$2,0))+LEN("tariffs in ")-1))</f>
        <v>Tariffs in WPD South West Area (GSP Group_L)</v>
      </c>
      <c r="C36" s="351"/>
      <c r="D36" s="294"/>
      <c r="E36" s="294"/>
    </row>
    <row r="37" spans="1:5" ht="14.25" x14ac:dyDescent="0.2">
      <c r="A37" s="293" t="s">
        <v>527</v>
      </c>
      <c r="B37" s="292" t="str">
        <f>"Tariffs in "&amp;RIGHT('Annex 4 LDNO charges_M'!$A$2,LEN('Annex 4 LDNO charges_M'!$A$2)-(FIND("tariffs",TEXT('Annex 4 LDNO charges_M'!$A$2,0))+LEN("tariffs in ")-1))</f>
        <v>Tariffs in NPG Yorkshire Area (GSP Group_M)</v>
      </c>
      <c r="C37" s="351"/>
      <c r="D37" s="294"/>
      <c r="E37" s="294"/>
    </row>
    <row r="38" spans="1:5" ht="14.25" x14ac:dyDescent="0.2">
      <c r="A38" s="293" t="s">
        <v>528</v>
      </c>
      <c r="B38" s="292" t="str">
        <f>"Tariffs in "&amp;RIGHT('Annex 4 LDNO charges_N'!$A$2,LEN('Annex 4 LDNO charges_N'!$A$2)-(FIND("tariffs",TEXT('Annex 4 LDNO charges_N'!$A$2,0))+LEN("tariffs in ")-1))</f>
        <v>Tariffs in SP Distribution Area (GSP Group _N)</v>
      </c>
      <c r="C38" s="351"/>
      <c r="D38" s="294"/>
      <c r="E38" s="294"/>
    </row>
    <row r="39" spans="1:5" ht="14.25" x14ac:dyDescent="0.2">
      <c r="A39" s="293" t="s">
        <v>529</v>
      </c>
      <c r="B39" s="292" t="str">
        <f>"Tariffs in "&amp;RIGHT('Annex 4 LDNO charges_P'!$A$2,LEN('Annex 4 LDNO charges_P'!$A$2)-(FIND("tariffs",TEXT('Annex 4 LDNO charges_P'!$A$2,0))+LEN("tariffs in ")-1))</f>
        <v>Tariffs in SSE SHEPD Area (GSP Group_P)</v>
      </c>
      <c r="C39" s="352"/>
      <c r="D39" s="294"/>
      <c r="E39" s="294"/>
    </row>
    <row r="40" spans="1:5" ht="60" customHeight="1" x14ac:dyDescent="0.2">
      <c r="A40" t="s">
        <v>28</v>
      </c>
      <c r="B40" s="355" t="s">
        <v>467</v>
      </c>
      <c r="C40" s="355"/>
      <c r="D40" s="355"/>
      <c r="E40" s="355"/>
    </row>
    <row r="41" spans="1:5" ht="14.25" x14ac:dyDescent="0.2">
      <c r="A41" s="291" t="s">
        <v>530</v>
      </c>
      <c r="B41" s="292" t="str">
        <f>"LLFs in "&amp;RIGHT('Annex 5 LLFs_A'!$A$3,LEN('Annex 5 LLFs_A'!$A$3)-(FIND("LLFs",TEXT('Annex 5 LLFs_A'!$A$3,0))+LEN("LLFs in ")-1))</f>
        <v>LLFs in UKPN EPN Area (GSP Group_A) for year beginning 1 April 2026</v>
      </c>
      <c r="C41" s="294"/>
      <c r="D41" s="294"/>
      <c r="E41" s="294"/>
    </row>
    <row r="42" spans="1:5" ht="14.25" x14ac:dyDescent="0.2">
      <c r="A42" s="291" t="s">
        <v>531</v>
      </c>
      <c r="B42" s="292" t="str">
        <f>"LLFs in "&amp;RIGHT('Annex 5 LLFs_B'!$A$3,LEN('Annex 5 LLFs_B'!$A$3)-(FIND("LLFs",TEXT('Annex 5 LLFs_B'!$A$3,0))+LEN("LLFs in ")-1))</f>
        <v>LLFs in WPD EM Area (GSP Group_B) for year beginning 1 April 2026</v>
      </c>
      <c r="C42" s="294"/>
      <c r="D42" s="294"/>
      <c r="E42" s="294"/>
    </row>
    <row r="43" spans="1:5" ht="14.25" x14ac:dyDescent="0.2">
      <c r="A43" s="291" t="s">
        <v>532</v>
      </c>
      <c r="B43" s="292" t="str">
        <f>"LLFs in "&amp;RIGHT('Annex 5 LLFs_C'!$A$3,LEN('Annex 5 LLFs_C'!$A$3)-(FIND("LLFs",TEXT('Annex 5 LLFs_C'!$A$3,0))+LEN("LLFs in ")-1))</f>
        <v>LLFs in UKPN LPN Area (GSP Group_C) for year beginning 1 April 2026</v>
      </c>
      <c r="C43" s="294"/>
      <c r="D43" s="294"/>
      <c r="E43" s="294"/>
    </row>
    <row r="44" spans="1:5" ht="14.25" x14ac:dyDescent="0.2">
      <c r="A44" s="291" t="s">
        <v>533</v>
      </c>
      <c r="B44" s="292" t="str">
        <f>"LLFs in "&amp;RIGHT('Annex 5 LLFs_D'!$A$3,LEN('Annex 5 LLFs_D'!$A$3)-(FIND("LLFs",TEXT('Annex 5 LLFs_D'!$A$3,0))+LEN("LLFs in ")-1))</f>
        <v>LLFs in SP Manweb Area (GSP Group_D) for year beginning 1 April 2026</v>
      </c>
      <c r="C44" s="294"/>
      <c r="D44" s="294"/>
      <c r="E44" s="294"/>
    </row>
    <row r="45" spans="1:5" ht="14.25" x14ac:dyDescent="0.2">
      <c r="A45" s="291" t="s">
        <v>534</v>
      </c>
      <c r="B45" s="292" t="str">
        <f>"LLFs in "&amp;RIGHT('Annex 5 LLFs_E'!$A$3,LEN('Annex 5 LLFs_E'!$A$3)-(FIND("LLFs",TEXT('Annex 5 LLFs_E'!$A$3,0))+LEN("LLFs in ")-1))</f>
        <v>LLFs in WPD West Midlands Area (GSP Group_E) for year beginning 1 April 2026</v>
      </c>
      <c r="C45" s="294"/>
      <c r="D45" s="294"/>
      <c r="E45" s="294"/>
    </row>
    <row r="46" spans="1:5" ht="14.25" x14ac:dyDescent="0.2">
      <c r="A46" s="291" t="s">
        <v>535</v>
      </c>
      <c r="B46" s="292" t="str">
        <f>"LLFs in "&amp;RIGHT('Annex 5 LLFs_F'!$A$3,LEN('Annex 5 LLFs_F'!$A$3)-(FIND("LLFs",TEXT('Annex 5 LLFs_F'!$A$3,0))+LEN("LLFs in ")-1))</f>
        <v>LLFs in NPG Northeast Area (GSP Group_F) for year beginning 1 April 2026</v>
      </c>
      <c r="C46" s="294"/>
      <c r="D46" s="294"/>
      <c r="E46" s="294"/>
    </row>
    <row r="47" spans="1:5" ht="14.25" x14ac:dyDescent="0.2">
      <c r="A47" s="291" t="s">
        <v>536</v>
      </c>
      <c r="B47" s="292" t="str">
        <f>"LLFs in "&amp;RIGHT('Annex 5 LLFs_G'!$A$3,LEN('Annex 5 LLFs_G'!$A$3)-(FIND("LLFs",TEXT('Annex 5 LLFs_G'!$A$3,0))+LEN("LLFs in ")-1))</f>
        <v>LLFs in Electricity North West Area (GSP Group_G) for year beginning 1 April 2026</v>
      </c>
      <c r="C47" s="294"/>
      <c r="D47" s="294"/>
      <c r="E47" s="294"/>
    </row>
    <row r="48" spans="1:5" ht="14.25" x14ac:dyDescent="0.2">
      <c r="A48" s="291" t="s">
        <v>537</v>
      </c>
      <c r="B48" s="292" t="str">
        <f>"LLFs in "&amp;RIGHT('Annex 5 LLFs_H'!$A$3,LEN('Annex 5 LLFs_H'!$A$3)-(FIND("LLFs",TEXT('Annex 5 LLFs_H'!$A$3,0))+LEN("LLFs in ")-1))</f>
        <v>LLFs in SSE SEPD Area (GSP Group_H) for year beginning 1 April 2026</v>
      </c>
      <c r="C48" s="294"/>
      <c r="D48" s="294"/>
      <c r="E48" s="294"/>
    </row>
    <row r="49" spans="1:5" ht="14.25" x14ac:dyDescent="0.2">
      <c r="A49" s="291" t="s">
        <v>538</v>
      </c>
      <c r="B49" s="292" t="str">
        <f>"LLFs in "&amp;RIGHT('Annex 5 LLFs_J'!$A$3,LEN('Annex 5 LLFs_J'!$A$3)-(FIND("LLFs",TEXT('Annex 5 LLFs_J'!$A$3,0))+LEN("LLFs in ")-1))</f>
        <v>LLFs in UKPN SPN Area (GSP Group_J) for year beginning 1 April 2026</v>
      </c>
      <c r="C49" s="294"/>
      <c r="D49" s="294"/>
      <c r="E49" s="294"/>
    </row>
    <row r="50" spans="1:5" ht="14.25" x14ac:dyDescent="0.2">
      <c r="A50" s="291" t="s">
        <v>539</v>
      </c>
      <c r="B50" s="292" t="str">
        <f>"LLFs in "&amp;RIGHT('Annex 5 LLFs_K'!$A$3,LEN('Annex 5 LLFs_K'!$A$3)-(FIND("LLFs",TEXT('Annex 5 LLFs_K'!$A$3,0))+LEN("LLFs in ")-1))</f>
        <v>LLFs in WPD South Wales Area (GSP Group_K) for year beginning 1 April 2026</v>
      </c>
      <c r="C50" s="294"/>
      <c r="D50" s="294"/>
      <c r="E50" s="294"/>
    </row>
    <row r="51" spans="1:5" ht="14.25" x14ac:dyDescent="0.2">
      <c r="A51" s="291" t="s">
        <v>540</v>
      </c>
      <c r="B51" s="292" t="str">
        <f>"LLFs in "&amp;RIGHT('Annex 5 LLFs_L'!$A$3,LEN('Annex 5 LLFs_L'!$A$3)-(FIND("LLFs",TEXT('Annex 5 LLFs_L'!$A$3,0))+LEN("LLFs in ")-1))</f>
        <v>LLFs in WPD South West Area (GSP Group_L) for year beginning 1 April 2026</v>
      </c>
      <c r="C51" s="294"/>
      <c r="D51" s="294"/>
      <c r="E51" s="294"/>
    </row>
    <row r="52" spans="1:5" ht="14.25" x14ac:dyDescent="0.2">
      <c r="A52" s="291" t="s">
        <v>541</v>
      </c>
      <c r="B52" s="292" t="str">
        <f>"LLFs in "&amp;RIGHT('Annex 5 LLFs_M'!$A$3,LEN('Annex 5 LLFs_M'!$A$3)-(FIND("LLFs",TEXT('Annex 5 LLFs_M'!$A$3,0))+LEN("LLFs in ")-1))</f>
        <v>LLFs in NPG Yorkshire Area (GSP Group_M) for year beginning 1 April 2026</v>
      </c>
      <c r="C52" s="294"/>
      <c r="D52" s="294"/>
      <c r="E52" s="294"/>
    </row>
    <row r="53" spans="1:5" ht="14.25" x14ac:dyDescent="0.2">
      <c r="A53" s="293" t="s">
        <v>542</v>
      </c>
      <c r="B53" s="292" t="str">
        <f>"LLFs in "&amp;RIGHT('Annex 5 LLFs_N'!$A$3,LEN('Annex 5 LLFs_N'!$A$3)-(FIND("LLFs",TEXT('Annex 5 LLFs_N'!$A$3,0))+LEN("LLFs in ")-1))</f>
        <v>LLFs in SP Distribution Area (GSP Group _N) for year beginning 1 April 2026</v>
      </c>
      <c r="C53" s="294"/>
      <c r="D53" s="294"/>
      <c r="E53" s="294"/>
    </row>
    <row r="54" spans="1:5" ht="14.25" x14ac:dyDescent="0.2">
      <c r="A54" s="293" t="s">
        <v>543</v>
      </c>
      <c r="B54" s="292" t="str">
        <f>"LLFs in "&amp;RIGHT('Annex 5 LLFs_P'!$A$3,LEN('Annex 5 LLFs_P'!$A$3)-(FIND("LLFs",TEXT('Annex 5 LLFs_P'!$A$3,0))+LEN("LLFs in ")-1))</f>
        <v>LLFs in SSE SHEPD Area (GSP Group_P) for year beginning 1 April 2026</v>
      </c>
      <c r="C54" s="294"/>
      <c r="D54" s="294"/>
      <c r="E54" s="294"/>
    </row>
    <row r="55" spans="1:5" ht="42.75" customHeight="1" x14ac:dyDescent="0.2">
      <c r="A55" s="295" t="s">
        <v>498</v>
      </c>
      <c r="B55" s="356"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Leep Electricity Networks Limited Licence area.</v>
      </c>
      <c r="C55" s="356"/>
      <c r="D55" s="356"/>
      <c r="E55" s="356"/>
    </row>
    <row r="56" spans="1:5" ht="30" customHeight="1" x14ac:dyDescent="0.2">
      <c r="A56" t="s">
        <v>747</v>
      </c>
      <c r="B56" s="355" t="s">
        <v>748</v>
      </c>
      <c r="C56" s="355"/>
      <c r="D56" s="355"/>
      <c r="E56" s="355"/>
    </row>
    <row r="57" spans="1:5" ht="14.25" x14ac:dyDescent="0.2">
      <c r="A57" s="291" t="s">
        <v>749</v>
      </c>
      <c r="B57" s="292" t="str">
        <f>MID('Annex 7 Pass-Through Costs_A'!$A$2,FIND("Final",'Annex 7 Pass-Through Costs_A'!$A$2),LEN('Annex 7 Pass-Through Costs_A'!$A$2)-FIND("Final",'Annex 7 Pass-Through Costs_A'!$A$2)+1)</f>
        <v>Final Supplier of Last Resort and Eligible Bad Debt Pass-Through Costs in UKPN EPN Area (GSP Group_A)</v>
      </c>
      <c r="C57" s="294"/>
      <c r="D57" s="294"/>
      <c r="E57" s="351"/>
    </row>
    <row r="58" spans="1:5" ht="14.25" x14ac:dyDescent="0.2">
      <c r="A58" s="291" t="s">
        <v>750</v>
      </c>
      <c r="B58" s="292" t="str">
        <f>MID('Annex 7 Pass-Through Costs_B'!$A$2,FIND("Final",'Annex 7 Pass-Through Costs_B'!$A$2),LEN('Annex 7 Pass-Through Costs_B'!$A$2)-FIND("Final",'Annex 7 Pass-Through Costs_B'!$A$2)+1)</f>
        <v>Final Supplier of Last Resort and Eligible Bad Debt Pass-Through Costs in WPD EM Area (GSP Group_B)</v>
      </c>
      <c r="C58" s="294"/>
      <c r="D58" s="294"/>
      <c r="E58" s="351"/>
    </row>
    <row r="59" spans="1:5" ht="14.25" x14ac:dyDescent="0.2">
      <c r="A59" s="291" t="s">
        <v>751</v>
      </c>
      <c r="B59" s="292" t="str">
        <f>MID('Annex 7 Pass-Through Costs_C'!$A$2,FIND("Final",'Annex 7 Pass-Through Costs_C'!$A$2),LEN('Annex 7 Pass-Through Costs_C'!$A$2)-FIND("Final",'Annex 7 Pass-Through Costs_C'!$A$2)+1)</f>
        <v>Final Supplier of Last Resort and Eligible Bad Debt Pass-Through Costs in UKPN LPN Area (GSP Group_C)</v>
      </c>
      <c r="C59" s="294"/>
      <c r="D59" s="294"/>
      <c r="E59" s="352"/>
    </row>
    <row r="60" spans="1:5" ht="14.25" x14ac:dyDescent="0.2">
      <c r="A60" s="291" t="s">
        <v>752</v>
      </c>
      <c r="B60" s="292" t="str">
        <f>MID('Annex 7 Pass-Through Costs_D'!$A$2,FIND("Final",'Annex 7 Pass-Through Costs_D'!$A$2),LEN('Annex 7 Pass-Through Costs_D'!$A$2)-FIND("Final",'Annex 7 Pass-Through Costs_D'!$A$2)+1)</f>
        <v>Final Supplier of Last Resort and Eligible Bad Debt Pass-Through Costs in SP Manweb Area (GSP Group_D)</v>
      </c>
      <c r="C60" s="294"/>
      <c r="D60" s="294"/>
      <c r="E60" s="351"/>
    </row>
    <row r="61" spans="1:5" ht="14.25" x14ac:dyDescent="0.2">
      <c r="A61" s="291" t="s">
        <v>753</v>
      </c>
      <c r="B61" s="292" t="str">
        <f>MID('Annex 7 Pass-Through Costs_E'!$A$2,FIND("Final",'Annex 7 Pass-Through Costs_E'!$A$2),LEN('Annex 7 Pass-Through Costs_E'!$A$2)-FIND("Final",'Annex 7 Pass-Through Costs_E'!$A$2)+1)</f>
        <v>Final Supplier of Last Resort and Eligible Bad Debt Pass-Through Costs in WPD West Midlands Area (GSP Group_E)</v>
      </c>
      <c r="C61" s="294"/>
      <c r="D61" s="294"/>
      <c r="E61" s="351"/>
    </row>
    <row r="62" spans="1:5" ht="14.25" x14ac:dyDescent="0.2">
      <c r="A62" s="291" t="s">
        <v>754</v>
      </c>
      <c r="B62" s="292" t="str">
        <f>MID('Annex 7 Pass-Through Costs_F'!$A$2,FIND("Final",'Annex 7 Pass-Through Costs_F'!$A$2),LEN('Annex 7 Pass-Through Costs_F'!$A$2)-FIND("Final",'Annex 7 Pass-Through Costs_F'!$A$2)+1)</f>
        <v>Final Supplier of Last Resort and Eligible Bad Debt Pass-Through Costs in NPG Northeast Area (GSP Group_F)</v>
      </c>
      <c r="C62" s="294"/>
      <c r="D62" s="294"/>
      <c r="E62" s="352"/>
    </row>
    <row r="63" spans="1:5" ht="14.25" x14ac:dyDescent="0.2">
      <c r="A63" s="291" t="s">
        <v>755</v>
      </c>
      <c r="B63" s="292" t="str">
        <f>MID('Annex 7 Pass-Through Costs_G'!$A$2,FIND("Final",'Annex 7 Pass-Through Costs_G'!$A$2),LEN('Annex 7 Pass-Through Costs_G'!$A$2)-FIND("Final",'Annex 7 Pass-Through Costs_G'!$A$2)+1)</f>
        <v>Final Supplier of Last Resort and Eligible Bad Debt Pass-Through Costs in Electricity North West Area (GSP Group_G)</v>
      </c>
      <c r="C63" s="294"/>
      <c r="D63" s="294"/>
      <c r="E63" s="352"/>
    </row>
    <row r="64" spans="1:5" ht="14.25" x14ac:dyDescent="0.2">
      <c r="A64" s="291" t="s">
        <v>756</v>
      </c>
      <c r="B64" s="292" t="str">
        <f>MID('Annex 7 Pass-Through Costs_H'!$A$2,FIND("Final",'Annex 7 Pass-Through Costs_H'!$A$2),LEN('Annex 7 Pass-Through Costs_H'!$A$2)-FIND("Final",'Annex 7 Pass-Through Costs_H'!$A$2)+1)</f>
        <v>Final Supplier of Last Resort and Eligible Bad Debt Pass-Through Costs in SSE SEPD Area (GSP Group_H)</v>
      </c>
      <c r="C64" s="294"/>
      <c r="D64" s="294"/>
      <c r="E64" s="352"/>
    </row>
    <row r="65" spans="1:6" ht="14.25" x14ac:dyDescent="0.2">
      <c r="A65" s="291" t="s">
        <v>757</v>
      </c>
      <c r="B65" s="292" t="str">
        <f>MID('Annex 7 Pass-Through Costs_J'!$A$2,FIND("Final",'Annex 7 Pass-Through Costs_J'!$A$2),LEN('Annex 7 Pass-Through Costs_J'!$A$2)-FIND("Final",'Annex 7 Pass-Through Costs_J'!$A$2)+1)</f>
        <v>Final Supplier of Last Resort and Eligible Bad Debt Pass-Through Costs in UKPN SPN Area (GSP Group_J)</v>
      </c>
      <c r="C65" s="294"/>
      <c r="D65" s="294"/>
      <c r="E65" s="351"/>
    </row>
    <row r="66" spans="1:6" ht="14.25" x14ac:dyDescent="0.2">
      <c r="A66" s="291" t="s">
        <v>758</v>
      </c>
      <c r="B66" s="292" t="str">
        <f>MID('Annex 7 Pass-Through Costs_K'!$A$2,FIND("Final",'Annex 7 Pass-Through Costs_K'!$A$2),LEN('Annex 7 Pass-Through Costs_K'!$A$2)-FIND("Final",'Annex 7 Pass-Through Costs_K'!$A$2)+1)</f>
        <v>Final Supplier of Last Resort and Eligible Bad Debt Pass-Through Costs in WPD South Wales Area (GSP Group_K)</v>
      </c>
      <c r="C66" s="294"/>
      <c r="D66" s="294"/>
      <c r="E66" s="351"/>
    </row>
    <row r="67" spans="1:6" ht="14.25" x14ac:dyDescent="0.2">
      <c r="A67" s="291" t="s">
        <v>759</v>
      </c>
      <c r="B67" s="292" t="str">
        <f>MID('Annex 7 Pass-Through Costs_L'!$A$2,FIND("Final",'Annex 7 Pass-Through Costs_L'!$A$2),LEN('Annex 7 Pass-Through Costs_L'!$A$2)-FIND("Final",'Annex 7 Pass-Through Costs_L'!$A$2)+1)</f>
        <v>Final Supplier of Last Resort and Eligible Bad Debt Pass-Through Costs in WPD South West Area (GSP Group_L)</v>
      </c>
      <c r="C67" s="294"/>
      <c r="D67" s="294"/>
      <c r="E67" s="351"/>
    </row>
    <row r="68" spans="1:6" ht="14.25" x14ac:dyDescent="0.2">
      <c r="A68" s="291" t="s">
        <v>760</v>
      </c>
      <c r="B68" s="292" t="str">
        <f>MID('Annex 7 Pass-Through Costs_M'!$A$2,FIND("Final",'Annex 7 Pass-Through Costs_M'!$A$2),LEN('Annex 7 Pass-Through Costs_M'!$A$2)-FIND("Final",'Annex 7 Pass-Through Costs_M'!$A$2)+1)</f>
        <v>Final Supplier of Last Resort and Eligible Bad Debt Pass-Through Costs in NPG Yorkshire Area (GSP Group_M)</v>
      </c>
      <c r="C68" s="294"/>
      <c r="D68" s="294"/>
      <c r="E68" s="351"/>
    </row>
    <row r="69" spans="1:6" ht="14.25" x14ac:dyDescent="0.2">
      <c r="A69" s="291" t="s">
        <v>761</v>
      </c>
      <c r="B69" s="292" t="str">
        <f>MID('Annex 7 Pass-Through Costs_N'!$A$2,FIND("Final",'Annex 7 Pass-Through Costs_N'!$A$2),LEN('Annex 7 Pass-Through Costs_N'!$A$2)-FIND("Final",'Annex 7 Pass-Through Costs_N'!$A$2)+1)</f>
        <v>Final Supplier of Last Resort and Eligible Bad Debt Pass-Through Costs in SP Distribution Area (GSP Group _N)</v>
      </c>
      <c r="C69" s="294"/>
      <c r="D69" s="294"/>
      <c r="E69" s="351"/>
    </row>
    <row r="70" spans="1:6" ht="14.25" x14ac:dyDescent="0.2">
      <c r="A70" s="291" t="s">
        <v>762</v>
      </c>
      <c r="B70" s="292" t="str">
        <f>MID('Annex 7 Pass-Through Costs_P'!$A$2,FIND("Final",'Annex 7 Pass-Through Costs_P'!$A$2),LEN('Annex 7 Pass-Through Costs_P'!$A$2)-FIND("Final",'Annex 7 Pass-Through Costs_P'!$A$2)+1)</f>
        <v>Final Supplier of Last Resort and Eligible Bad Debt Pass-Through Costs in SSE SHEPD Area (GSP Group_P)</v>
      </c>
      <c r="C70" s="294"/>
      <c r="D70" s="294"/>
      <c r="E70" s="352"/>
    </row>
    <row r="71" spans="1:6" ht="29.25" customHeight="1" x14ac:dyDescent="0.2">
      <c r="A71" s="295" t="s">
        <v>269</v>
      </c>
      <c r="B71" s="356" t="s">
        <v>370</v>
      </c>
      <c r="C71" s="356"/>
      <c r="D71" s="356"/>
      <c r="E71" s="356"/>
    </row>
    <row r="72" spans="1:6" ht="30" customHeight="1" x14ac:dyDescent="0.2">
      <c r="A72" s="295" t="s">
        <v>264</v>
      </c>
      <c r="B72" s="356" t="s">
        <v>265</v>
      </c>
      <c r="C72" s="356"/>
      <c r="D72" s="356"/>
      <c r="E72" s="356"/>
    </row>
    <row r="73" spans="1:6" ht="30" customHeight="1" x14ac:dyDescent="0.2">
      <c r="A73" s="295" t="s">
        <v>337</v>
      </c>
      <c r="B73" s="356" t="s">
        <v>336</v>
      </c>
      <c r="C73" s="356"/>
      <c r="D73" s="356"/>
      <c r="E73" s="356"/>
    </row>
    <row r="74" spans="1:6" x14ac:dyDescent="0.2">
      <c r="A74" s="34"/>
      <c r="B74" s="34"/>
      <c r="C74" s="34"/>
      <c r="D74" s="34"/>
      <c r="E74" s="34"/>
    </row>
    <row r="75" spans="1:6" ht="15" x14ac:dyDescent="0.2">
      <c r="A75" s="39" t="s">
        <v>27</v>
      </c>
      <c r="B75" s="34"/>
      <c r="C75" s="34"/>
      <c r="D75" s="34"/>
      <c r="E75" s="34"/>
    </row>
    <row r="76" spans="1:6" ht="15" x14ac:dyDescent="0.2">
      <c r="A76" s="38"/>
      <c r="B76" s="363"/>
      <c r="C76" s="363"/>
      <c r="D76" s="363"/>
      <c r="E76" s="363"/>
    </row>
    <row r="77" spans="1:6" s="66" customFormat="1" ht="21" customHeight="1" x14ac:dyDescent="0.2">
      <c r="A77" s="360" t="s">
        <v>317</v>
      </c>
      <c r="B77" s="361"/>
      <c r="C77" s="361"/>
      <c r="D77" s="361"/>
      <c r="E77" s="361"/>
    </row>
    <row r="78" spans="1:6" s="66" customFormat="1" ht="21" customHeight="1" x14ac:dyDescent="0.2">
      <c r="A78" s="364" t="s">
        <v>468</v>
      </c>
      <c r="B78" s="365"/>
      <c r="C78" s="365"/>
      <c r="D78" s="365"/>
      <c r="E78" s="365"/>
      <c r="F78" s="365"/>
    </row>
    <row r="79" spans="1:6" x14ac:dyDescent="0.2">
      <c r="A79" s="246"/>
      <c r="B79" s="247"/>
      <c r="C79" s="247"/>
      <c r="D79" s="247"/>
      <c r="E79" s="247"/>
      <c r="F79" s="247"/>
    </row>
    <row r="80" spans="1:6" ht="15" x14ac:dyDescent="0.2">
      <c r="A80" s="268" t="s">
        <v>500</v>
      </c>
      <c r="B80" s="247"/>
      <c r="C80" s="247"/>
      <c r="D80" s="247"/>
      <c r="E80" s="247"/>
      <c r="F80" s="247"/>
    </row>
    <row r="81" spans="1:5" ht="15" x14ac:dyDescent="0.2">
      <c r="A81" s="36"/>
      <c r="B81" s="363"/>
      <c r="C81" s="363"/>
      <c r="D81" s="363"/>
      <c r="E81" s="363"/>
    </row>
    <row r="82" spans="1:5" ht="28.5" customHeight="1" x14ac:dyDescent="0.2">
      <c r="A82" s="362" t="s">
        <v>292</v>
      </c>
      <c r="B82" s="362"/>
      <c r="C82" s="362"/>
      <c r="D82" s="362"/>
      <c r="E82" s="362"/>
    </row>
    <row r="83" spans="1:5" ht="28.5" customHeight="1" x14ac:dyDescent="0.2">
      <c r="A83" s="358"/>
      <c r="B83" s="358"/>
      <c r="C83" s="358"/>
      <c r="D83" s="358"/>
      <c r="E83" s="358"/>
    </row>
  </sheetData>
  <customSheetViews>
    <customSheetView guid="{5032A364-B81A-48DA-88DA-AB3B86B47EE9}">
      <selection activeCell="A12" sqref="A12"/>
      <pageMargins left="0.7" right="0.7" top="0.75" bottom="0.75" header="0.3" footer="0.3"/>
    </customSheetView>
  </customSheetViews>
  <mergeCells count="18">
    <mergeCell ref="A83:E83"/>
    <mergeCell ref="F25:H25"/>
    <mergeCell ref="B72:E72"/>
    <mergeCell ref="A77:E77"/>
    <mergeCell ref="A82:E82"/>
    <mergeCell ref="B40:E40"/>
    <mergeCell ref="B71:E71"/>
    <mergeCell ref="B55:E55"/>
    <mergeCell ref="B73:E73"/>
    <mergeCell ref="B76:E76"/>
    <mergeCell ref="B81:E81"/>
    <mergeCell ref="A78:F78"/>
    <mergeCell ref="B56:E56"/>
    <mergeCell ref="B8:E8"/>
    <mergeCell ref="B23:E23"/>
    <mergeCell ref="B24:E24"/>
    <mergeCell ref="B25:E25"/>
    <mergeCell ref="B7:E7"/>
  </mergeCells>
  <hyperlinks>
    <hyperlink ref="A23" location="'Annex 2 EHV charges'!A1" display="Annex 2 EHV charges" xr:uid="{00000000-0004-0000-0000-000001000000}"/>
    <hyperlink ref="A24" location="'Annex 3 Preserved charges'!A1" display="Annex 3 Preserved charges" xr:uid="{00000000-0004-0000-0000-000002000000}"/>
    <hyperlink ref="A71" location="'Nodal prices'!A1" display="Nodal prices" xr:uid="{00000000-0004-0000-0000-000005000000}"/>
    <hyperlink ref="A55" location="'Annex 6 new or amended EHV'!Print_Area" display="Annex 6  Charges for New or Amended Designated EHV Properties" xr:uid="{00000000-0004-0000-0000-000006000000}"/>
    <hyperlink ref="A72" location="'SSC TPR unit rate lookup'!A1" display="SSC TPR to unit rate lookup table" xr:uid="{00000000-0004-0000-0000-000007000000}"/>
    <hyperlink ref="A73"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 ref="A57" location="'Annex 7 Pass-Through Costs_A'!A1" display="Annex 7 Pass-Through Costs_A" xr:uid="{22DF4FF2-A25C-406D-A0D6-766CA8A29CA0}"/>
    <hyperlink ref="A58:A70" location="'Annex 7 Pass-Through Costs_A'!A1" display="Annex 7 Pass-Through Costs_A" xr:uid="{1D4A5340-4F3B-4F5C-B713-44B5FFE8D072}"/>
    <hyperlink ref="A58" location="'Annex 7 Pass-Through Costs_B'!A1" display="Annex 7 Pass-Through Costs_B" xr:uid="{280FE79C-2CFD-44B4-BE72-B4B9E6146A23}"/>
    <hyperlink ref="A59" location="'Annex 7 Pass-Through Costs_C'!A1" display="Annex 7 Pass-Through Costs_C" xr:uid="{DB1B66A7-883E-481A-B224-7C256BAED6EE}"/>
    <hyperlink ref="A60" location="'Annex 7 Pass-Through Costs_D'!A1" display="Annex 7 Pass-Through Costs_D" xr:uid="{74FBE047-8DCD-4583-9071-C431B74D91C1}"/>
    <hyperlink ref="A61" location="'Annex 7 Pass-Through Costs_E'!A1" display="Annex 7 Pass-Through Costs_E" xr:uid="{6FF2D3C0-B9C6-443C-A911-E2169D6667D8}"/>
    <hyperlink ref="A62" location="'Annex 7 Pass-Through Costs_F'!A1" display="Annex 7 Pass-Through Costs_F" xr:uid="{2CF554F1-A516-4BAF-97D5-D8C175CFF944}"/>
    <hyperlink ref="A63" location="'Annex 7 Pass-Through Costs_G'!A1" display="Annex 7 Pass-Through Costs_G" xr:uid="{ECDB27B5-1647-4A83-B477-40B0FB5623CF}"/>
    <hyperlink ref="A64" location="'Annex 7 Pass-Through Costs_H'!A1" display="Annex 7 Pass-Through Costs_H" xr:uid="{3399659F-9BB7-4DD0-8E2B-5472519EE5AC}"/>
    <hyperlink ref="A65" location="'Annex 7 Pass-Through Costs_J'!A1" display="Annex 7 Pass-Through Costs_J" xr:uid="{9B252A34-8DAF-453C-BDBA-4B94F08E58DE}"/>
    <hyperlink ref="A66" location="'Annex 7 Pass-Through Costs_K'!A1" display="Annex 7 Pass-Through Costs_K" xr:uid="{6110B32A-E498-48DC-BCD9-AF91240AFE09}"/>
    <hyperlink ref="A67" location="'Annex 7 Pass-Through Costs_L'!A1" display="Annex 7 Pass-Through Costs_L" xr:uid="{BC5D0BA6-B608-49FF-AF9C-2CA169B1626B}"/>
    <hyperlink ref="A68" location="'Annex 7 Pass-Through Costs_M'!A1" display="Annex 7 Pass-Through Costs_M" xr:uid="{5BAC4087-A9E9-40F7-AB14-B356C218C46E}"/>
    <hyperlink ref="A69" location="'Annex 7 Pass-Through Costs_N'!A1" display="Annex 7 Pass-Through Costs_N" xr:uid="{27FC1118-3537-429B-B85C-4F61269F2E53}"/>
    <hyperlink ref="A70" location="'Annex 1 LV and HV charges_P'!Print_Area" display="Annex 7 Pass-Through Costs_P" xr:uid="{2A2EA906-3779-4154-9665-2634E5EC48E8}"/>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zoomScale="80" zoomScaleNormal="80" workbookViewId="0"/>
  </sheetViews>
  <sheetFormatPr defaultColWidth="9.140625" defaultRowHeight="27.75" customHeight="1" x14ac:dyDescent="0.2"/>
  <cols>
    <col min="1" max="1" width="49" style="1" bestFit="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43" customWidth="1"/>
    <col min="14" max="18" width="15.5703125" style="1" customWidth="1"/>
    <col min="19" max="16384" width="9.140625" style="1"/>
  </cols>
  <sheetData>
    <row r="1" spans="1:14" ht="27.75" customHeight="1" x14ac:dyDescent="0.2">
      <c r="A1" s="32" t="s">
        <v>19</v>
      </c>
      <c r="B1" s="372"/>
      <c r="C1" s="373"/>
      <c r="D1" s="373"/>
      <c r="E1" s="370" t="s">
        <v>466</v>
      </c>
      <c r="F1" s="370"/>
      <c r="G1" s="370"/>
      <c r="H1" s="370"/>
      <c r="I1" s="370"/>
      <c r="J1" s="370"/>
      <c r="K1" s="370"/>
      <c r="L1" s="243"/>
      <c r="M1" s="342"/>
      <c r="N1" s="243"/>
    </row>
    <row r="2" spans="1:14" ht="27" customHeight="1" x14ac:dyDescent="0.2">
      <c r="A2" s="371" t="str">
        <f>Overview!B4&amp;" - Effective from "&amp;TEXT(Overview!$D$4,"d mmmm yyyy")&amp;" - Final LV and HV charges in UKPN EPN Area (GSP Group _A)"</f>
        <v>Leep Electricity Networks Limited - Effective from 1 April 2026 - Final LV and HV charges in UKPN EPN Area (GSP Group _A)</v>
      </c>
      <c r="B2" s="371"/>
      <c r="C2" s="371"/>
      <c r="D2" s="371"/>
      <c r="E2" s="371"/>
      <c r="F2" s="371"/>
      <c r="G2" s="371"/>
      <c r="H2" s="371"/>
      <c r="I2" s="371"/>
      <c r="J2" s="371"/>
      <c r="K2" s="371"/>
    </row>
    <row r="3" spans="1:14" s="41" customFormat="1" ht="15" customHeight="1" x14ac:dyDescent="0.2">
      <c r="A3" s="46"/>
      <c r="B3" s="46"/>
      <c r="C3" s="46"/>
      <c r="D3" s="46"/>
      <c r="E3" s="46"/>
      <c r="F3" s="46"/>
      <c r="G3" s="46"/>
      <c r="H3" s="46"/>
      <c r="I3" s="46"/>
      <c r="J3" s="46"/>
      <c r="K3" s="46"/>
      <c r="L3" s="31"/>
      <c r="M3" s="344"/>
    </row>
    <row r="4" spans="1:14" ht="27" customHeight="1" x14ac:dyDescent="0.2">
      <c r="A4" s="371" t="s">
        <v>308</v>
      </c>
      <c r="B4" s="371"/>
      <c r="C4" s="371"/>
      <c r="D4" s="371"/>
      <c r="E4" s="371"/>
      <c r="F4" s="46"/>
      <c r="G4" s="371" t="s">
        <v>307</v>
      </c>
      <c r="H4" s="371"/>
      <c r="I4" s="371"/>
      <c r="J4" s="371"/>
      <c r="K4" s="371"/>
    </row>
    <row r="5" spans="1:14" ht="28.5" customHeight="1" x14ac:dyDescent="0.2">
      <c r="A5" s="40" t="s">
        <v>13</v>
      </c>
      <c r="B5" s="258" t="s">
        <v>299</v>
      </c>
      <c r="C5" s="366" t="s">
        <v>300</v>
      </c>
      <c r="D5" s="367"/>
      <c r="E5" s="42" t="s">
        <v>301</v>
      </c>
      <c r="F5" s="46"/>
      <c r="G5" s="368"/>
      <c r="H5" s="369"/>
      <c r="I5" s="44" t="s">
        <v>305</v>
      </c>
      <c r="J5" s="45" t="s">
        <v>306</v>
      </c>
      <c r="K5" s="42" t="s">
        <v>301</v>
      </c>
      <c r="L5" s="46"/>
    </row>
    <row r="6" spans="1:14" ht="65.25" customHeight="1" x14ac:dyDescent="0.2">
      <c r="A6" s="115" t="s">
        <v>837</v>
      </c>
      <c r="B6" s="13" t="s">
        <v>469</v>
      </c>
      <c r="C6" s="378" t="s">
        <v>838</v>
      </c>
      <c r="D6" s="378"/>
      <c r="E6" s="97" t="s">
        <v>839</v>
      </c>
      <c r="F6" s="46" t="s">
        <v>840</v>
      </c>
      <c r="G6" s="374" t="s">
        <v>303</v>
      </c>
      <c r="H6" s="374"/>
      <c r="I6" s="13" t="s">
        <v>469</v>
      </c>
      <c r="J6" s="250" t="s">
        <v>838</v>
      </c>
      <c r="K6" s="97" t="s">
        <v>839</v>
      </c>
      <c r="L6" s="46"/>
    </row>
    <row r="7" spans="1:14" ht="65.25" customHeight="1" x14ac:dyDescent="0.2">
      <c r="A7" s="115" t="s">
        <v>841</v>
      </c>
      <c r="B7" s="252" t="s">
        <v>840</v>
      </c>
      <c r="C7" s="379" t="s">
        <v>840</v>
      </c>
      <c r="D7" s="379"/>
      <c r="E7" s="250" t="s">
        <v>842</v>
      </c>
      <c r="F7" s="46" t="s">
        <v>840</v>
      </c>
      <c r="G7" s="374" t="s">
        <v>843</v>
      </c>
      <c r="H7" s="374"/>
      <c r="I7" s="252" t="s">
        <v>840</v>
      </c>
      <c r="J7" s="250" t="s">
        <v>844</v>
      </c>
      <c r="K7" s="97" t="s">
        <v>839</v>
      </c>
      <c r="L7" s="46"/>
    </row>
    <row r="8" spans="1:14" ht="65.25" customHeight="1" x14ac:dyDescent="0.2">
      <c r="A8" s="251" t="s">
        <v>14</v>
      </c>
      <c r="B8" s="375" t="s">
        <v>15</v>
      </c>
      <c r="C8" s="376"/>
      <c r="D8" s="376"/>
      <c r="E8" s="377"/>
      <c r="F8" s="46" t="s">
        <v>840</v>
      </c>
      <c r="G8" s="380" t="s">
        <v>841</v>
      </c>
      <c r="H8" s="381"/>
      <c r="I8" s="252" t="s">
        <v>840</v>
      </c>
      <c r="J8" s="252" t="s">
        <v>840</v>
      </c>
      <c r="K8" s="250" t="s">
        <v>842</v>
      </c>
      <c r="L8" s="46"/>
    </row>
    <row r="9" spans="1:14" s="41" customFormat="1" ht="27" customHeight="1" x14ac:dyDescent="0.2">
      <c r="A9" s="46" t="s">
        <v>840</v>
      </c>
      <c r="B9" s="46" t="s">
        <v>840</v>
      </c>
      <c r="C9" s="46" t="s">
        <v>840</v>
      </c>
      <c r="D9" s="46" t="s">
        <v>840</v>
      </c>
      <c r="E9" s="46" t="s">
        <v>840</v>
      </c>
      <c r="F9" s="46" t="s">
        <v>840</v>
      </c>
      <c r="G9" s="374" t="s">
        <v>14</v>
      </c>
      <c r="H9" s="374"/>
      <c r="I9" s="375" t="s">
        <v>15</v>
      </c>
      <c r="J9" s="376"/>
      <c r="K9" s="377"/>
      <c r="L9" s="31"/>
      <c r="M9" s="344"/>
    </row>
    <row r="10" spans="1:14" s="41" customFormat="1" ht="12.75" customHeight="1" x14ac:dyDescent="0.2">
      <c r="A10" s="46"/>
      <c r="B10" s="46"/>
      <c r="C10" s="46"/>
      <c r="D10" s="46"/>
      <c r="E10" s="46"/>
      <c r="F10" s="46"/>
      <c r="G10" s="46"/>
      <c r="H10" s="46"/>
      <c r="I10" s="46"/>
      <c r="J10" s="46"/>
      <c r="K10" s="46"/>
      <c r="L10" s="31"/>
      <c r="M10" s="344"/>
    </row>
    <row r="11" spans="1:14" s="41" customFormat="1" ht="12.75" customHeight="1" x14ac:dyDescent="0.2">
      <c r="A11" s="46"/>
      <c r="B11" s="46"/>
      <c r="C11" s="46"/>
      <c r="D11" s="46"/>
      <c r="E11" s="46"/>
      <c r="F11" s="46"/>
      <c r="G11" s="46"/>
      <c r="H11" s="46"/>
      <c r="I11" s="46"/>
      <c r="J11" s="46"/>
      <c r="K11" s="46"/>
      <c r="L11" s="31"/>
      <c r="M11" s="344"/>
    </row>
    <row r="12" spans="1:14" s="41" customFormat="1" ht="12.75" customHeight="1" x14ac:dyDescent="0.2">
      <c r="A12" s="46"/>
      <c r="B12" s="46"/>
      <c r="C12" s="46"/>
      <c r="D12" s="46"/>
      <c r="E12" s="46"/>
      <c r="F12" s="46"/>
      <c r="G12" s="46"/>
      <c r="H12" s="46"/>
      <c r="I12" s="46"/>
      <c r="J12" s="46"/>
      <c r="K12" s="46"/>
      <c r="L12" s="31"/>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860</v>
      </c>
      <c r="C14" s="313" t="s">
        <v>845</v>
      </c>
      <c r="D14" s="92">
        <v>15.491</v>
      </c>
      <c r="E14" s="93">
        <v>1.907</v>
      </c>
      <c r="F14" s="94">
        <v>0.24399999999999999</v>
      </c>
      <c r="G14" s="29">
        <v>9.0500000000000007</v>
      </c>
      <c r="H14" s="30" t="s">
        <v>840</v>
      </c>
      <c r="I14" s="30" t="s">
        <v>840</v>
      </c>
      <c r="J14" s="27" t="s">
        <v>840</v>
      </c>
      <c r="K14" s="28"/>
    </row>
    <row r="15" spans="1:14" ht="32.25" customHeight="1" x14ac:dyDescent="0.2">
      <c r="A15" s="10" t="s">
        <v>594</v>
      </c>
      <c r="B15" s="334" t="s">
        <v>840</v>
      </c>
      <c r="C15" s="313">
        <v>2</v>
      </c>
      <c r="D15" s="92">
        <v>15.491</v>
      </c>
      <c r="E15" s="93">
        <v>1.907</v>
      </c>
      <c r="F15" s="94">
        <v>0.24399999999999999</v>
      </c>
      <c r="G15" s="30" t="s">
        <v>840</v>
      </c>
      <c r="H15" s="30" t="s">
        <v>840</v>
      </c>
      <c r="I15" s="30" t="s">
        <v>840</v>
      </c>
      <c r="J15" s="27" t="s">
        <v>840</v>
      </c>
      <c r="K15" s="28"/>
    </row>
    <row r="16" spans="1:14" ht="32.25" customHeight="1" x14ac:dyDescent="0.2">
      <c r="A16" s="10" t="s">
        <v>774</v>
      </c>
      <c r="B16" s="334" t="s">
        <v>861</v>
      </c>
      <c r="C16" s="313" t="s">
        <v>846</v>
      </c>
      <c r="D16" s="92">
        <v>11.715999999999999</v>
      </c>
      <c r="E16" s="93">
        <v>1.4419999999999999</v>
      </c>
      <c r="F16" s="94">
        <v>0.184</v>
      </c>
      <c r="G16" s="29">
        <v>9.42</v>
      </c>
      <c r="H16" s="30" t="s">
        <v>840</v>
      </c>
      <c r="I16" s="30" t="s">
        <v>840</v>
      </c>
      <c r="J16" s="27" t="s">
        <v>840</v>
      </c>
      <c r="K16" s="28"/>
    </row>
    <row r="17" spans="1:11" ht="32.25" customHeight="1" x14ac:dyDescent="0.2">
      <c r="A17" s="10" t="s">
        <v>775</v>
      </c>
      <c r="B17" s="334" t="s">
        <v>862</v>
      </c>
      <c r="C17" s="313" t="s">
        <v>846</v>
      </c>
      <c r="D17" s="92">
        <v>11.715999999999999</v>
      </c>
      <c r="E17" s="93">
        <v>1.4419999999999999</v>
      </c>
      <c r="F17" s="94">
        <v>0.184</v>
      </c>
      <c r="G17" s="29">
        <v>9.65</v>
      </c>
      <c r="H17" s="30" t="s">
        <v>840</v>
      </c>
      <c r="I17" s="30" t="s">
        <v>840</v>
      </c>
      <c r="J17" s="27" t="s">
        <v>840</v>
      </c>
      <c r="K17" s="28"/>
    </row>
    <row r="18" spans="1:11" ht="32.25" customHeight="1" x14ac:dyDescent="0.2">
      <c r="A18" s="10" t="s">
        <v>776</v>
      </c>
      <c r="B18" s="334" t="s">
        <v>863</v>
      </c>
      <c r="C18" s="313" t="s">
        <v>846</v>
      </c>
      <c r="D18" s="92">
        <v>11.715999999999999</v>
      </c>
      <c r="E18" s="93">
        <v>1.4419999999999999</v>
      </c>
      <c r="F18" s="94">
        <v>0.184</v>
      </c>
      <c r="G18" s="29">
        <v>10.08</v>
      </c>
      <c r="H18" s="30" t="s">
        <v>840</v>
      </c>
      <c r="I18" s="30" t="s">
        <v>840</v>
      </c>
      <c r="J18" s="27" t="s">
        <v>840</v>
      </c>
      <c r="K18" s="28"/>
    </row>
    <row r="19" spans="1:11" ht="32.25" customHeight="1" x14ac:dyDescent="0.2">
      <c r="A19" s="10" t="s">
        <v>777</v>
      </c>
      <c r="B19" s="334" t="s">
        <v>864</v>
      </c>
      <c r="C19" s="313" t="s">
        <v>846</v>
      </c>
      <c r="D19" s="92">
        <v>11.715999999999999</v>
      </c>
      <c r="E19" s="93">
        <v>1.4419999999999999</v>
      </c>
      <c r="F19" s="94">
        <v>0.184</v>
      </c>
      <c r="G19" s="29">
        <v>10.82</v>
      </c>
      <c r="H19" s="30" t="s">
        <v>840</v>
      </c>
      <c r="I19" s="30" t="s">
        <v>840</v>
      </c>
      <c r="J19" s="27" t="s">
        <v>840</v>
      </c>
      <c r="K19" s="28"/>
    </row>
    <row r="20" spans="1:11" ht="32.25" customHeight="1" x14ac:dyDescent="0.2">
      <c r="A20" s="10" t="s">
        <v>778</v>
      </c>
      <c r="B20" s="334" t="s">
        <v>865</v>
      </c>
      <c r="C20" s="313" t="s">
        <v>846</v>
      </c>
      <c r="D20" s="92">
        <v>11.715999999999999</v>
      </c>
      <c r="E20" s="93">
        <v>1.4419999999999999</v>
      </c>
      <c r="F20" s="94">
        <v>0.184</v>
      </c>
      <c r="G20" s="29">
        <v>13.03</v>
      </c>
      <c r="H20" s="30" t="s">
        <v>840</v>
      </c>
      <c r="I20" s="30" t="s">
        <v>840</v>
      </c>
      <c r="J20" s="27" t="s">
        <v>840</v>
      </c>
      <c r="K20" s="28"/>
    </row>
    <row r="21" spans="1:11" ht="32.25" customHeight="1" x14ac:dyDescent="0.2">
      <c r="A21" s="10" t="s">
        <v>575</v>
      </c>
      <c r="B21" s="334" t="s">
        <v>840</v>
      </c>
      <c r="C21" s="313">
        <v>4</v>
      </c>
      <c r="D21" s="92">
        <v>11.715999999999999</v>
      </c>
      <c r="E21" s="93">
        <v>1.4419999999999999</v>
      </c>
      <c r="F21" s="94">
        <v>0.184</v>
      </c>
      <c r="G21" s="30" t="s">
        <v>840</v>
      </c>
      <c r="H21" s="30" t="s">
        <v>840</v>
      </c>
      <c r="I21" s="30" t="s">
        <v>840</v>
      </c>
      <c r="J21" s="27" t="s">
        <v>840</v>
      </c>
      <c r="K21" s="28"/>
    </row>
    <row r="22" spans="1:11" ht="32.25" customHeight="1" x14ac:dyDescent="0.2">
      <c r="A22" s="10" t="s">
        <v>595</v>
      </c>
      <c r="B22" s="334" t="s">
        <v>866</v>
      </c>
      <c r="C22" s="313">
        <v>0</v>
      </c>
      <c r="D22" s="92">
        <v>8.1489999999999991</v>
      </c>
      <c r="E22" s="93">
        <v>0.93700000000000006</v>
      </c>
      <c r="F22" s="94">
        <v>0.108</v>
      </c>
      <c r="G22" s="29">
        <v>21.5</v>
      </c>
      <c r="H22" s="29">
        <v>8.0399999999999991</v>
      </c>
      <c r="I22" s="91">
        <v>8.0399999999999991</v>
      </c>
      <c r="J22" s="26">
        <v>0.36899999999999999</v>
      </c>
      <c r="K22" s="28"/>
    </row>
    <row r="23" spans="1:11" ht="32.25" customHeight="1" x14ac:dyDescent="0.2">
      <c r="A23" s="10" t="s">
        <v>596</v>
      </c>
      <c r="B23" s="334" t="s">
        <v>867</v>
      </c>
      <c r="C23" s="313">
        <v>0</v>
      </c>
      <c r="D23" s="92">
        <v>8.1489999999999991</v>
      </c>
      <c r="E23" s="93">
        <v>0.93700000000000006</v>
      </c>
      <c r="F23" s="94">
        <v>0.108</v>
      </c>
      <c r="G23" s="29">
        <v>28.67</v>
      </c>
      <c r="H23" s="29">
        <v>8.0399999999999991</v>
      </c>
      <c r="I23" s="91">
        <v>8.0399999999999991</v>
      </c>
      <c r="J23" s="26">
        <v>0.36899999999999999</v>
      </c>
      <c r="K23" s="28"/>
    </row>
    <row r="24" spans="1:11" ht="32.25" customHeight="1" x14ac:dyDescent="0.2">
      <c r="A24" s="10" t="s">
        <v>597</v>
      </c>
      <c r="B24" s="334" t="s">
        <v>868</v>
      </c>
      <c r="C24" s="313">
        <v>0</v>
      </c>
      <c r="D24" s="92">
        <v>8.1489999999999991</v>
      </c>
      <c r="E24" s="93">
        <v>0.93700000000000006</v>
      </c>
      <c r="F24" s="94">
        <v>0.108</v>
      </c>
      <c r="G24" s="29">
        <v>33.090000000000003</v>
      </c>
      <c r="H24" s="29">
        <v>8.0399999999999991</v>
      </c>
      <c r="I24" s="91">
        <v>8.0399999999999991</v>
      </c>
      <c r="J24" s="26">
        <v>0.36899999999999999</v>
      </c>
      <c r="K24" s="28"/>
    </row>
    <row r="25" spans="1:11" ht="32.25" customHeight="1" x14ac:dyDescent="0.2">
      <c r="A25" s="10" t="s">
        <v>598</v>
      </c>
      <c r="B25" s="334" t="s">
        <v>869</v>
      </c>
      <c r="C25" s="313">
        <v>0</v>
      </c>
      <c r="D25" s="92">
        <v>8.1489999999999991</v>
      </c>
      <c r="E25" s="93">
        <v>0.93700000000000006</v>
      </c>
      <c r="F25" s="94">
        <v>0.108</v>
      </c>
      <c r="G25" s="29">
        <v>37.450000000000003</v>
      </c>
      <c r="H25" s="29">
        <v>8.0399999999999991</v>
      </c>
      <c r="I25" s="91">
        <v>8.0399999999999991</v>
      </c>
      <c r="J25" s="26">
        <v>0.36899999999999999</v>
      </c>
      <c r="K25" s="28"/>
    </row>
    <row r="26" spans="1:11" ht="32.25" customHeight="1" x14ac:dyDescent="0.2">
      <c r="A26" s="10" t="s">
        <v>599</v>
      </c>
      <c r="B26" s="334" t="s">
        <v>870</v>
      </c>
      <c r="C26" s="313">
        <v>0</v>
      </c>
      <c r="D26" s="92">
        <v>8.1489999999999991</v>
      </c>
      <c r="E26" s="93">
        <v>0.93700000000000006</v>
      </c>
      <c r="F26" s="94">
        <v>0.108</v>
      </c>
      <c r="G26" s="29">
        <v>66.66</v>
      </c>
      <c r="H26" s="29">
        <v>8.0399999999999991</v>
      </c>
      <c r="I26" s="91">
        <v>8.0399999999999991</v>
      </c>
      <c r="J26" s="26">
        <v>0.36899999999999999</v>
      </c>
      <c r="K26" s="28"/>
    </row>
    <row r="27" spans="1:11" ht="32.25" customHeight="1" x14ac:dyDescent="0.2">
      <c r="A27" s="10" t="s">
        <v>600</v>
      </c>
      <c r="B27" s="334" t="s">
        <v>871</v>
      </c>
      <c r="C27" s="313">
        <v>0</v>
      </c>
      <c r="D27" s="92">
        <v>5.5060000000000002</v>
      </c>
      <c r="E27" s="93">
        <v>0.56299999999999994</v>
      </c>
      <c r="F27" s="94">
        <v>5.1999999999999998E-2</v>
      </c>
      <c r="G27" s="29">
        <v>17.95</v>
      </c>
      <c r="H27" s="29">
        <v>6.06</v>
      </c>
      <c r="I27" s="91">
        <v>6.06</v>
      </c>
      <c r="J27" s="26">
        <v>0.22</v>
      </c>
      <c r="K27" s="28"/>
    </row>
    <row r="28" spans="1:11" ht="32.25" customHeight="1" x14ac:dyDescent="0.2">
      <c r="A28" s="10" t="s">
        <v>601</v>
      </c>
      <c r="B28" s="334" t="s">
        <v>872</v>
      </c>
      <c r="C28" s="313">
        <v>0</v>
      </c>
      <c r="D28" s="92">
        <v>5.5060000000000002</v>
      </c>
      <c r="E28" s="93">
        <v>0.56299999999999994</v>
      </c>
      <c r="F28" s="94">
        <v>5.1999999999999998E-2</v>
      </c>
      <c r="G28" s="29">
        <v>25.12</v>
      </c>
      <c r="H28" s="29">
        <v>6.06</v>
      </c>
      <c r="I28" s="91">
        <v>6.06</v>
      </c>
      <c r="J28" s="26">
        <v>0.22</v>
      </c>
      <c r="K28" s="28"/>
    </row>
    <row r="29" spans="1:11" ht="32.25" customHeight="1" x14ac:dyDescent="0.2">
      <c r="A29" s="10" t="s">
        <v>602</v>
      </c>
      <c r="B29" s="334" t="s">
        <v>873</v>
      </c>
      <c r="C29" s="313">
        <v>0</v>
      </c>
      <c r="D29" s="92">
        <v>5.5060000000000002</v>
      </c>
      <c r="E29" s="93">
        <v>0.56299999999999994</v>
      </c>
      <c r="F29" s="94">
        <v>5.1999999999999998E-2</v>
      </c>
      <c r="G29" s="29">
        <v>29.54</v>
      </c>
      <c r="H29" s="29">
        <v>6.06</v>
      </c>
      <c r="I29" s="91">
        <v>6.06</v>
      </c>
      <c r="J29" s="26">
        <v>0.22</v>
      </c>
      <c r="K29" s="28"/>
    </row>
    <row r="30" spans="1:11" ht="32.25" customHeight="1" x14ac:dyDescent="0.2">
      <c r="A30" s="10" t="s">
        <v>603</v>
      </c>
      <c r="B30" s="334" t="s">
        <v>874</v>
      </c>
      <c r="C30" s="313">
        <v>0</v>
      </c>
      <c r="D30" s="92">
        <v>5.5060000000000002</v>
      </c>
      <c r="E30" s="93">
        <v>0.56299999999999994</v>
      </c>
      <c r="F30" s="94">
        <v>5.1999999999999998E-2</v>
      </c>
      <c r="G30" s="29">
        <v>33.9</v>
      </c>
      <c r="H30" s="29">
        <v>6.06</v>
      </c>
      <c r="I30" s="91">
        <v>6.06</v>
      </c>
      <c r="J30" s="26">
        <v>0.22</v>
      </c>
      <c r="K30" s="28"/>
    </row>
    <row r="31" spans="1:11" ht="32.25" customHeight="1" x14ac:dyDescent="0.2">
      <c r="A31" s="10" t="s">
        <v>604</v>
      </c>
      <c r="B31" s="334" t="s">
        <v>875</v>
      </c>
      <c r="C31" s="313">
        <v>0</v>
      </c>
      <c r="D31" s="92">
        <v>5.5060000000000002</v>
      </c>
      <c r="E31" s="93">
        <v>0.56299999999999994</v>
      </c>
      <c r="F31" s="94">
        <v>5.1999999999999998E-2</v>
      </c>
      <c r="G31" s="29">
        <v>63.12</v>
      </c>
      <c r="H31" s="29">
        <v>6.06</v>
      </c>
      <c r="I31" s="91">
        <v>6.06</v>
      </c>
      <c r="J31" s="26">
        <v>0.22</v>
      </c>
      <c r="K31" s="28"/>
    </row>
    <row r="32" spans="1:11" ht="32.25" customHeight="1" x14ac:dyDescent="0.2">
      <c r="A32" s="10" t="s">
        <v>605</v>
      </c>
      <c r="B32" s="334" t="s">
        <v>876</v>
      </c>
      <c r="C32" s="313">
        <v>0</v>
      </c>
      <c r="D32" s="92">
        <v>4.8369999999999997</v>
      </c>
      <c r="E32" s="93">
        <v>0.45700000000000002</v>
      </c>
      <c r="F32" s="94">
        <v>3.7999999999999999E-2</v>
      </c>
      <c r="G32" s="29">
        <v>181.7</v>
      </c>
      <c r="H32" s="29">
        <v>5.31</v>
      </c>
      <c r="I32" s="91">
        <v>5.31</v>
      </c>
      <c r="J32" s="26">
        <v>0.183</v>
      </c>
      <c r="K32" s="28"/>
    </row>
    <row r="33" spans="1:11" ht="32.25" customHeight="1" x14ac:dyDescent="0.2">
      <c r="A33" s="10" t="s">
        <v>606</v>
      </c>
      <c r="B33" s="334" t="s">
        <v>877</v>
      </c>
      <c r="C33" s="313">
        <v>0</v>
      </c>
      <c r="D33" s="92">
        <v>4.8369999999999997</v>
      </c>
      <c r="E33" s="93">
        <v>0.45700000000000002</v>
      </c>
      <c r="F33" s="94">
        <v>3.7999999999999999E-2</v>
      </c>
      <c r="G33" s="29">
        <v>240.75</v>
      </c>
      <c r="H33" s="29">
        <v>5.31</v>
      </c>
      <c r="I33" s="91">
        <v>5.31</v>
      </c>
      <c r="J33" s="26">
        <v>0.183</v>
      </c>
      <c r="K33" s="28"/>
    </row>
    <row r="34" spans="1:11" ht="32.25" customHeight="1" x14ac:dyDescent="0.2">
      <c r="A34" s="10" t="s">
        <v>607</v>
      </c>
      <c r="B34" s="334" t="s">
        <v>878</v>
      </c>
      <c r="C34" s="313">
        <v>0</v>
      </c>
      <c r="D34" s="92">
        <v>4.8369999999999997</v>
      </c>
      <c r="E34" s="93">
        <v>0.45700000000000002</v>
      </c>
      <c r="F34" s="94">
        <v>3.7999999999999999E-2</v>
      </c>
      <c r="G34" s="29">
        <v>305.47000000000003</v>
      </c>
      <c r="H34" s="29">
        <v>5.31</v>
      </c>
      <c r="I34" s="91">
        <v>5.31</v>
      </c>
      <c r="J34" s="26">
        <v>0.183</v>
      </c>
      <c r="K34" s="28"/>
    </row>
    <row r="35" spans="1:11" ht="32.25" customHeight="1" x14ac:dyDescent="0.2">
      <c r="A35" s="10" t="s">
        <v>608</v>
      </c>
      <c r="B35" s="334" t="s">
        <v>879</v>
      </c>
      <c r="C35" s="313">
        <v>0</v>
      </c>
      <c r="D35" s="92">
        <v>4.8369999999999997</v>
      </c>
      <c r="E35" s="93">
        <v>0.45700000000000002</v>
      </c>
      <c r="F35" s="94">
        <v>3.7999999999999999E-2</v>
      </c>
      <c r="G35" s="29">
        <v>408.23</v>
      </c>
      <c r="H35" s="29">
        <v>5.31</v>
      </c>
      <c r="I35" s="91">
        <v>5.31</v>
      </c>
      <c r="J35" s="26">
        <v>0.183</v>
      </c>
      <c r="K35" s="28"/>
    </row>
    <row r="36" spans="1:11" ht="32.25" customHeight="1" x14ac:dyDescent="0.2">
      <c r="A36" s="10" t="s">
        <v>609</v>
      </c>
      <c r="B36" s="334" t="s">
        <v>880</v>
      </c>
      <c r="C36" s="313">
        <v>0</v>
      </c>
      <c r="D36" s="92">
        <v>4.8369999999999997</v>
      </c>
      <c r="E36" s="93">
        <v>0.45700000000000002</v>
      </c>
      <c r="F36" s="94">
        <v>3.7999999999999999E-2</v>
      </c>
      <c r="G36" s="29">
        <v>855.53</v>
      </c>
      <c r="H36" s="29">
        <v>5.31</v>
      </c>
      <c r="I36" s="91">
        <v>5.31</v>
      </c>
      <c r="J36" s="26">
        <v>0.183</v>
      </c>
      <c r="K36" s="28"/>
    </row>
    <row r="37" spans="1:11" ht="32.25" customHeight="1" x14ac:dyDescent="0.2">
      <c r="A37" s="10" t="s">
        <v>576</v>
      </c>
      <c r="B37" s="334" t="s">
        <v>881</v>
      </c>
      <c r="C37" s="313" t="s">
        <v>847</v>
      </c>
      <c r="D37" s="95">
        <v>39.966999999999999</v>
      </c>
      <c r="E37" s="96">
        <v>3.3849999999999998</v>
      </c>
      <c r="F37" s="94">
        <v>2.0510000000000002</v>
      </c>
      <c r="G37" s="30" t="s">
        <v>840</v>
      </c>
      <c r="H37" s="30" t="s">
        <v>840</v>
      </c>
      <c r="I37" s="30" t="s">
        <v>840</v>
      </c>
      <c r="J37" s="27" t="s">
        <v>840</v>
      </c>
      <c r="K37" s="28"/>
    </row>
    <row r="38" spans="1:11" ht="32.25" customHeight="1" x14ac:dyDescent="0.2">
      <c r="A38" s="10" t="s">
        <v>765</v>
      </c>
      <c r="B38" s="334" t="s">
        <v>882</v>
      </c>
      <c r="C38" s="313" t="s">
        <v>848</v>
      </c>
      <c r="D38" s="92">
        <v>-9.1349999999999998</v>
      </c>
      <c r="E38" s="93">
        <v>-1.1240000000000001</v>
      </c>
      <c r="F38" s="94">
        <v>-0.14399999999999999</v>
      </c>
      <c r="G38" s="29" t="s">
        <v>840</v>
      </c>
      <c r="H38" s="30" t="s">
        <v>840</v>
      </c>
      <c r="I38" s="30" t="s">
        <v>840</v>
      </c>
      <c r="J38" s="27" t="s">
        <v>840</v>
      </c>
      <c r="K38" s="28"/>
    </row>
    <row r="39" spans="1:11" ht="32.25" customHeight="1" x14ac:dyDescent="0.2">
      <c r="A39" s="10" t="s">
        <v>766</v>
      </c>
      <c r="B39" s="334" t="s">
        <v>883</v>
      </c>
      <c r="C39" s="313">
        <v>0</v>
      </c>
      <c r="D39" s="92">
        <v>-7.3689999999999998</v>
      </c>
      <c r="E39" s="93">
        <v>-0.86499999999999999</v>
      </c>
      <c r="F39" s="94">
        <v>-0.10299999999999999</v>
      </c>
      <c r="G39" s="29" t="s">
        <v>840</v>
      </c>
      <c r="H39" s="30" t="s">
        <v>840</v>
      </c>
      <c r="I39" s="30" t="s">
        <v>840</v>
      </c>
      <c r="J39" s="27" t="s">
        <v>840</v>
      </c>
      <c r="K39" s="28"/>
    </row>
    <row r="40" spans="1:11" ht="32.25" customHeight="1" x14ac:dyDescent="0.2">
      <c r="A40" s="10" t="s">
        <v>767</v>
      </c>
      <c r="B40" s="334" t="s">
        <v>884</v>
      </c>
      <c r="C40" s="313">
        <v>0</v>
      </c>
      <c r="D40" s="92">
        <v>-9.1349999999999998</v>
      </c>
      <c r="E40" s="93">
        <v>-1.1240000000000001</v>
      </c>
      <c r="F40" s="94">
        <v>-0.14399999999999999</v>
      </c>
      <c r="G40" s="29" t="s">
        <v>840</v>
      </c>
      <c r="H40" s="30" t="s">
        <v>840</v>
      </c>
      <c r="I40" s="30" t="s">
        <v>840</v>
      </c>
      <c r="J40" s="26">
        <v>0.45900000000000002</v>
      </c>
      <c r="K40" s="28"/>
    </row>
    <row r="41" spans="1:11" ht="32.25" customHeight="1" x14ac:dyDescent="0.2">
      <c r="A41" s="10" t="s">
        <v>768</v>
      </c>
      <c r="B41" s="334" t="s">
        <v>840</v>
      </c>
      <c r="C41" s="313">
        <v>0</v>
      </c>
      <c r="D41" s="92">
        <v>-9.1349999999999998</v>
      </c>
      <c r="E41" s="93">
        <v>-1.1240000000000001</v>
      </c>
      <c r="F41" s="94">
        <v>-0.14399999999999999</v>
      </c>
      <c r="G41" s="29" t="s">
        <v>840</v>
      </c>
      <c r="H41" s="30" t="s">
        <v>840</v>
      </c>
      <c r="I41" s="30" t="s">
        <v>840</v>
      </c>
      <c r="J41" s="27" t="s">
        <v>840</v>
      </c>
      <c r="K41" s="28"/>
    </row>
    <row r="42" spans="1:11" ht="32.25" customHeight="1" x14ac:dyDescent="0.2">
      <c r="A42" s="10" t="s">
        <v>769</v>
      </c>
      <c r="B42" s="334" t="s">
        <v>840</v>
      </c>
      <c r="C42" s="313">
        <v>0</v>
      </c>
      <c r="D42" s="92">
        <v>-7.3689999999999998</v>
      </c>
      <c r="E42" s="93">
        <v>-0.86499999999999999</v>
      </c>
      <c r="F42" s="94">
        <v>-0.10299999999999999</v>
      </c>
      <c r="G42" s="29" t="s">
        <v>840</v>
      </c>
      <c r="H42" s="30" t="s">
        <v>840</v>
      </c>
      <c r="I42" s="30" t="s">
        <v>840</v>
      </c>
      <c r="J42" s="26">
        <v>0.32800000000000001</v>
      </c>
      <c r="K42" s="28"/>
    </row>
    <row r="43" spans="1:11" ht="32.25" customHeight="1" x14ac:dyDescent="0.2">
      <c r="A43" s="10" t="s">
        <v>770</v>
      </c>
      <c r="B43" s="334" t="s">
        <v>840</v>
      </c>
      <c r="C43" s="313">
        <v>0</v>
      </c>
      <c r="D43" s="92">
        <v>-7.3689999999999998</v>
      </c>
      <c r="E43" s="93">
        <v>-0.86499999999999999</v>
      </c>
      <c r="F43" s="94">
        <v>-0.10299999999999999</v>
      </c>
      <c r="G43" s="29" t="s">
        <v>840</v>
      </c>
      <c r="H43" s="30" t="s">
        <v>840</v>
      </c>
      <c r="I43" s="30" t="s">
        <v>840</v>
      </c>
      <c r="J43" s="27" t="s">
        <v>840</v>
      </c>
      <c r="K43" s="28"/>
    </row>
    <row r="44" spans="1:11" ht="32.25" customHeight="1" x14ac:dyDescent="0.2">
      <c r="A44" s="10" t="s">
        <v>771</v>
      </c>
      <c r="B44" s="334" t="s">
        <v>885</v>
      </c>
      <c r="C44" s="313">
        <v>0</v>
      </c>
      <c r="D44" s="92">
        <v>-5.4660000000000002</v>
      </c>
      <c r="E44" s="93">
        <v>-0.55900000000000005</v>
      </c>
      <c r="F44" s="94">
        <v>-5.1999999999999998E-2</v>
      </c>
      <c r="G44" s="29">
        <v>12.88</v>
      </c>
      <c r="H44" s="30" t="s">
        <v>840</v>
      </c>
      <c r="I44" s="30" t="s">
        <v>840</v>
      </c>
      <c r="J44" s="26">
        <v>0.27700000000000002</v>
      </c>
      <c r="K44" s="28"/>
    </row>
    <row r="45" spans="1:11" ht="32.25" customHeight="1" x14ac:dyDescent="0.2">
      <c r="A45" s="10" t="s">
        <v>772</v>
      </c>
      <c r="B45" s="334" t="s">
        <v>840</v>
      </c>
      <c r="C45" s="313">
        <v>0</v>
      </c>
      <c r="D45" s="92">
        <v>-5.4660000000000002</v>
      </c>
      <c r="E45" s="93">
        <v>-0.55900000000000005</v>
      </c>
      <c r="F45" s="94">
        <v>-5.1999999999999998E-2</v>
      </c>
      <c r="G45" s="29">
        <v>12.88</v>
      </c>
      <c r="H45" s="30" t="s">
        <v>840</v>
      </c>
      <c r="I45" s="30" t="s">
        <v>840</v>
      </c>
      <c r="J45" s="27" t="s">
        <v>840</v>
      </c>
      <c r="K45" s="28"/>
    </row>
    <row r="46" spans="1:11" ht="32.25" customHeight="1" x14ac:dyDescent="0.2">
      <c r="A46" s="10" t="s">
        <v>834</v>
      </c>
      <c r="B46" s="334" t="s">
        <v>1226</v>
      </c>
      <c r="C46" s="313">
        <v>0</v>
      </c>
      <c r="D46" s="92">
        <v>2.819</v>
      </c>
      <c r="E46" s="93">
        <v>0.21199999999999999</v>
      </c>
      <c r="F46" s="94">
        <v>6.0000000000000001E-3</v>
      </c>
      <c r="G46" s="29">
        <v>76631.902158402634</v>
      </c>
      <c r="H46" s="29">
        <v>2.4</v>
      </c>
      <c r="I46" s="91">
        <v>5.08</v>
      </c>
      <c r="J46" s="26">
        <v>9.8000000000000004E-2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charges_A'; based on connection level, credits may therefore be lower than stated above.</v>
      </c>
    </row>
    <row r="48" spans="1:11" ht="27.75" customHeight="1" x14ac:dyDescent="0.2">
      <c r="A48" s="332" t="s">
        <v>516</v>
      </c>
    </row>
  </sheetData>
  <mergeCells count="15">
    <mergeCell ref="G9:H9"/>
    <mergeCell ref="I9:K9"/>
    <mergeCell ref="C6:D6"/>
    <mergeCell ref="G6:H6"/>
    <mergeCell ref="C7:D7"/>
    <mergeCell ref="G7:H7"/>
    <mergeCell ref="B8:E8"/>
    <mergeCell ref="G8:H8"/>
    <mergeCell ref="C5:D5"/>
    <mergeCell ref="G5:H5"/>
    <mergeCell ref="E1:K1"/>
    <mergeCell ref="A2:K2"/>
    <mergeCell ref="A4:E4"/>
    <mergeCell ref="G4:K4"/>
    <mergeCell ref="B1:D1"/>
  </mergeCells>
  <hyperlinks>
    <hyperlink ref="A1" location="Overview!A1" display="Back to Overview" xr:uid="{5F42CA90-15C8-4C56-998E-8E1826D9162D}"/>
    <hyperlink ref="A48" location="'Annex 1 LV and HV charges_A'!A1" display="Annex 4 LDNO charges_A" xr:uid="{4437E904-E8FB-4D32-8435-BB65893DB37F}"/>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zoomScale="70" zoomScaleNormal="70" workbookViewId="0"/>
  </sheetViews>
  <sheetFormatPr defaultColWidth="9.140625" defaultRowHeight="27.75" customHeight="1" x14ac:dyDescent="0.2"/>
  <cols>
    <col min="1" max="1" width="49" style="98" customWidth="1"/>
    <col min="2" max="2" width="40.5703125" style="111" customWidth="1"/>
    <col min="3" max="3" width="12.7109375" style="98" customWidth="1"/>
    <col min="4" max="4" width="17.5703125" style="98" customWidth="1"/>
    <col min="5" max="5" width="20" style="111" bestFit="1" customWidth="1"/>
    <col min="6" max="7" width="17.5703125" style="111" customWidth="1"/>
    <col min="8" max="8" width="17.5703125" style="112" customWidth="1"/>
    <col min="9" max="9" width="19.42578125" style="112" bestFit="1" customWidth="1"/>
    <col min="10" max="10" width="19.140625" style="113" bestFit="1" customWidth="1"/>
    <col min="11" max="11" width="18.42578125" style="114" bestFit="1" customWidth="1"/>
    <col min="12" max="12" width="1.42578125" style="99" customWidth="1"/>
    <col min="13" max="13" width="15.5703125" style="343" customWidth="1"/>
    <col min="14" max="18" width="15.5703125" style="98" customWidth="1"/>
    <col min="19" max="16384" width="9.140625" style="98"/>
  </cols>
  <sheetData>
    <row r="1" spans="1:14" ht="27.75" customHeight="1" x14ac:dyDescent="0.2">
      <c r="A1" s="32" t="s">
        <v>19</v>
      </c>
      <c r="B1" s="46"/>
      <c r="C1" s="46"/>
      <c r="D1" s="46"/>
      <c r="E1" s="370" t="s">
        <v>466</v>
      </c>
      <c r="F1" s="370"/>
      <c r="G1" s="370"/>
      <c r="H1" s="370"/>
      <c r="I1" s="370"/>
      <c r="J1" s="370"/>
      <c r="K1" s="370"/>
      <c r="L1" s="243"/>
      <c r="M1" s="342"/>
      <c r="N1" s="243"/>
    </row>
    <row r="2" spans="1:14" ht="27" customHeight="1" x14ac:dyDescent="0.2">
      <c r="A2" s="371" t="str">
        <f>Overview!B4&amp;" - Effective from "&amp;TEXT(Overview!$D$4,"d mmmm yyyy")&amp;" - Final LV and HV charges in WPD EM Area (GSP Group _B)"</f>
        <v>Leep Electricity Networks Limited - Effective from 1 April 2026 - Final LV and HV charges in WPD EM Area (GSP Group _B)</v>
      </c>
      <c r="B2" s="371"/>
      <c r="C2" s="371"/>
      <c r="D2" s="371"/>
      <c r="E2" s="371"/>
      <c r="F2" s="371"/>
      <c r="G2" s="371"/>
      <c r="H2" s="371"/>
      <c r="I2" s="371"/>
      <c r="J2" s="371"/>
      <c r="K2" s="371"/>
    </row>
    <row r="3" spans="1:14" s="101" customFormat="1" ht="15" customHeight="1" x14ac:dyDescent="0.2">
      <c r="A3" s="46"/>
      <c r="B3" s="46"/>
      <c r="C3" s="46"/>
      <c r="D3" s="46"/>
      <c r="E3" s="46"/>
      <c r="F3" s="46"/>
      <c r="G3" s="46"/>
      <c r="H3" s="46"/>
      <c r="I3" s="46"/>
      <c r="J3" s="46"/>
      <c r="K3" s="46"/>
      <c r="L3" s="100"/>
      <c r="M3" s="344"/>
    </row>
    <row r="4" spans="1:14" ht="18" customHeight="1" x14ac:dyDescent="0.2">
      <c r="A4" s="382" t="s">
        <v>308</v>
      </c>
      <c r="B4" s="383"/>
      <c r="C4" s="383"/>
      <c r="D4" s="383"/>
      <c r="E4" s="384"/>
      <c r="F4" s="46"/>
      <c r="G4" s="382" t="s">
        <v>307</v>
      </c>
      <c r="H4" s="383"/>
      <c r="I4" s="383"/>
      <c r="J4" s="383"/>
      <c r="K4" s="384"/>
    </row>
    <row r="5" spans="1:14" ht="41.25" customHeight="1" x14ac:dyDescent="0.2">
      <c r="A5" s="40" t="s">
        <v>13</v>
      </c>
      <c r="B5" s="258" t="s">
        <v>299</v>
      </c>
      <c r="C5" s="366" t="s">
        <v>300</v>
      </c>
      <c r="D5" s="367"/>
      <c r="E5" s="42" t="s">
        <v>301</v>
      </c>
      <c r="F5" s="46"/>
      <c r="G5" s="368"/>
      <c r="H5" s="369"/>
      <c r="I5" s="44" t="s">
        <v>305</v>
      </c>
      <c r="J5" s="45" t="s">
        <v>306</v>
      </c>
      <c r="K5" s="42" t="s">
        <v>301</v>
      </c>
      <c r="L5" s="46"/>
    </row>
    <row r="6" spans="1:14" ht="37.5" customHeight="1" x14ac:dyDescent="0.2">
      <c r="A6" s="315" t="s">
        <v>837</v>
      </c>
      <c r="B6" s="13" t="s">
        <v>469</v>
      </c>
      <c r="C6" s="389" t="s">
        <v>2068</v>
      </c>
      <c r="D6" s="391"/>
      <c r="E6" s="97" t="s">
        <v>2069</v>
      </c>
      <c r="F6" s="46" t="s">
        <v>840</v>
      </c>
      <c r="G6" s="387" t="s">
        <v>2070</v>
      </c>
      <c r="H6" s="388"/>
      <c r="I6" s="13" t="s">
        <v>471</v>
      </c>
      <c r="J6" s="250" t="s">
        <v>2068</v>
      </c>
      <c r="K6" s="250" t="s">
        <v>2069</v>
      </c>
      <c r="L6" s="46"/>
    </row>
    <row r="7" spans="1:14" ht="39" customHeight="1" x14ac:dyDescent="0.2">
      <c r="A7" s="269" t="s">
        <v>841</v>
      </c>
      <c r="B7" s="252" t="s">
        <v>840</v>
      </c>
      <c r="C7" s="392" t="s">
        <v>840</v>
      </c>
      <c r="D7" s="393"/>
      <c r="E7" s="250" t="s">
        <v>2071</v>
      </c>
      <c r="F7" s="46" t="s">
        <v>840</v>
      </c>
      <c r="G7" s="387" t="s">
        <v>2072</v>
      </c>
      <c r="H7" s="388"/>
      <c r="I7" s="252" t="s">
        <v>840</v>
      </c>
      <c r="J7" s="250" t="s">
        <v>2073</v>
      </c>
      <c r="K7" s="250" t="s">
        <v>2069</v>
      </c>
      <c r="L7" s="46"/>
    </row>
    <row r="8" spans="1:14" ht="33.75" customHeight="1" x14ac:dyDescent="0.2">
      <c r="A8" s="255" t="s">
        <v>14</v>
      </c>
      <c r="B8" s="389" t="s">
        <v>15</v>
      </c>
      <c r="C8" s="390"/>
      <c r="D8" s="390"/>
      <c r="E8" s="391"/>
      <c r="F8" s="46" t="s">
        <v>840</v>
      </c>
      <c r="G8" s="387" t="s">
        <v>2074</v>
      </c>
      <c r="H8" s="388"/>
      <c r="I8" s="252" t="s">
        <v>840</v>
      </c>
      <c r="J8" s="252" t="s">
        <v>840</v>
      </c>
      <c r="K8" s="250" t="s">
        <v>2071</v>
      </c>
      <c r="L8" s="46"/>
    </row>
    <row r="9" spans="1:14" s="101" customFormat="1" ht="40.5" customHeight="1" x14ac:dyDescent="0.2">
      <c r="A9" s="256" t="s">
        <v>840</v>
      </c>
      <c r="B9" s="256" t="s">
        <v>840</v>
      </c>
      <c r="C9" s="385" t="s">
        <v>840</v>
      </c>
      <c r="D9" s="386"/>
      <c r="E9" s="256" t="s">
        <v>840</v>
      </c>
      <c r="F9" s="46" t="s">
        <v>840</v>
      </c>
      <c r="G9" s="387" t="s">
        <v>14</v>
      </c>
      <c r="H9" s="388"/>
      <c r="I9" s="389" t="s">
        <v>15</v>
      </c>
      <c r="J9" s="390"/>
      <c r="K9" s="391"/>
      <c r="L9" s="46"/>
      <c r="M9" s="344"/>
    </row>
    <row r="10" spans="1:14" s="101" customFormat="1" ht="18" x14ac:dyDescent="0.2">
      <c r="A10" s="298"/>
      <c r="B10" s="298"/>
      <c r="C10" s="298"/>
      <c r="D10" s="298"/>
      <c r="E10" s="298"/>
      <c r="F10" s="46"/>
      <c r="G10" s="297"/>
      <c r="H10" s="297"/>
      <c r="I10" s="298"/>
      <c r="J10" s="298"/>
      <c r="K10" s="298"/>
      <c r="L10" s="46"/>
      <c r="M10" s="344"/>
    </row>
    <row r="11" spans="1:14" s="101" customFormat="1" ht="18" x14ac:dyDescent="0.2">
      <c r="A11" s="298"/>
      <c r="B11" s="298"/>
      <c r="C11" s="298"/>
      <c r="D11" s="298"/>
      <c r="E11" s="298"/>
      <c r="F11" s="46"/>
      <c r="G11" s="297"/>
      <c r="H11" s="297"/>
      <c r="I11" s="298"/>
      <c r="J11" s="298"/>
      <c r="K11" s="298"/>
      <c r="L11" s="46"/>
      <c r="M11" s="344"/>
    </row>
    <row r="12" spans="1:14" s="101" customFormat="1" ht="13.5" customHeight="1" x14ac:dyDescent="0.2">
      <c r="A12" s="46"/>
      <c r="B12" s="46"/>
      <c r="C12" s="46"/>
      <c r="D12" s="46"/>
      <c r="E12" s="46"/>
      <c r="F12" s="46"/>
      <c r="G12" s="49"/>
      <c r="H12" s="49"/>
      <c r="I12" s="50"/>
      <c r="J12" s="50"/>
      <c r="K12" s="50"/>
      <c r="L12" s="100"/>
      <c r="M12" s="344"/>
    </row>
    <row r="13" spans="1:14"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4" ht="32.25" customHeight="1" x14ac:dyDescent="0.2">
      <c r="A14" s="10" t="s">
        <v>773</v>
      </c>
      <c r="B14" s="334" t="s">
        <v>886</v>
      </c>
      <c r="C14" s="313" t="s">
        <v>845</v>
      </c>
      <c r="D14" s="92">
        <v>11.88</v>
      </c>
      <c r="E14" s="93">
        <v>1.538</v>
      </c>
      <c r="F14" s="94">
        <v>9.1999999999999998E-2</v>
      </c>
      <c r="G14" s="29">
        <v>8.51</v>
      </c>
      <c r="H14" s="30" t="s">
        <v>840</v>
      </c>
      <c r="I14" s="30" t="s">
        <v>840</v>
      </c>
      <c r="J14" s="27" t="s">
        <v>840</v>
      </c>
      <c r="K14" s="28"/>
    </row>
    <row r="15" spans="1:14" ht="32.25" customHeight="1" x14ac:dyDescent="0.2">
      <c r="A15" s="10" t="s">
        <v>594</v>
      </c>
      <c r="B15" s="334" t="s">
        <v>840</v>
      </c>
      <c r="C15" s="313" t="s">
        <v>2075</v>
      </c>
      <c r="D15" s="92">
        <v>11.88</v>
      </c>
      <c r="E15" s="93">
        <v>1.538</v>
      </c>
      <c r="F15" s="94">
        <v>9.1999999999999998E-2</v>
      </c>
      <c r="G15" s="30" t="s">
        <v>840</v>
      </c>
      <c r="H15" s="30" t="s">
        <v>840</v>
      </c>
      <c r="I15" s="30" t="s">
        <v>840</v>
      </c>
      <c r="J15" s="27" t="s">
        <v>840</v>
      </c>
      <c r="K15" s="28"/>
    </row>
    <row r="16" spans="1:14" ht="32.25" customHeight="1" x14ac:dyDescent="0.2">
      <c r="A16" s="10" t="s">
        <v>774</v>
      </c>
      <c r="B16" s="334" t="s">
        <v>887</v>
      </c>
      <c r="C16" s="313" t="s">
        <v>846</v>
      </c>
      <c r="D16" s="92">
        <v>12.031000000000001</v>
      </c>
      <c r="E16" s="93">
        <v>1.5569999999999999</v>
      </c>
      <c r="F16" s="94">
        <v>9.2999999999999999E-2</v>
      </c>
      <c r="G16" s="29">
        <v>11.53</v>
      </c>
      <c r="H16" s="30" t="s">
        <v>840</v>
      </c>
      <c r="I16" s="30" t="s">
        <v>840</v>
      </c>
      <c r="J16" s="27" t="s">
        <v>840</v>
      </c>
      <c r="K16" s="28"/>
    </row>
    <row r="17" spans="1:11" ht="32.25" customHeight="1" x14ac:dyDescent="0.2">
      <c r="A17" s="10" t="s">
        <v>775</v>
      </c>
      <c r="B17" s="334" t="s">
        <v>888</v>
      </c>
      <c r="C17" s="313" t="s">
        <v>846</v>
      </c>
      <c r="D17" s="92">
        <v>12.031000000000001</v>
      </c>
      <c r="E17" s="93">
        <v>1.5569999999999999</v>
      </c>
      <c r="F17" s="94">
        <v>9.2999999999999999E-2</v>
      </c>
      <c r="G17" s="29">
        <v>12.6</v>
      </c>
      <c r="H17" s="30" t="s">
        <v>840</v>
      </c>
      <c r="I17" s="30" t="s">
        <v>840</v>
      </c>
      <c r="J17" s="27" t="s">
        <v>840</v>
      </c>
      <c r="K17" s="28"/>
    </row>
    <row r="18" spans="1:11" ht="32.25" customHeight="1" x14ac:dyDescent="0.2">
      <c r="A18" s="10" t="s">
        <v>776</v>
      </c>
      <c r="B18" s="334" t="s">
        <v>889</v>
      </c>
      <c r="C18" s="313" t="s">
        <v>846</v>
      </c>
      <c r="D18" s="92">
        <v>12.031000000000001</v>
      </c>
      <c r="E18" s="93">
        <v>1.5569999999999999</v>
      </c>
      <c r="F18" s="94">
        <v>9.2999999999999999E-2</v>
      </c>
      <c r="G18" s="29">
        <v>15.58</v>
      </c>
      <c r="H18" s="30" t="s">
        <v>840</v>
      </c>
      <c r="I18" s="30" t="s">
        <v>840</v>
      </c>
      <c r="J18" s="27" t="s">
        <v>840</v>
      </c>
      <c r="K18" s="28"/>
    </row>
    <row r="19" spans="1:11" ht="32.25" customHeight="1" x14ac:dyDescent="0.2">
      <c r="A19" s="10" t="s">
        <v>777</v>
      </c>
      <c r="B19" s="334" t="s">
        <v>890</v>
      </c>
      <c r="C19" s="313" t="s">
        <v>846</v>
      </c>
      <c r="D19" s="92">
        <v>12.031000000000001</v>
      </c>
      <c r="E19" s="93">
        <v>1.5569999999999999</v>
      </c>
      <c r="F19" s="94">
        <v>9.2999999999999999E-2</v>
      </c>
      <c r="G19" s="29">
        <v>20.43</v>
      </c>
      <c r="H19" s="30" t="s">
        <v>840</v>
      </c>
      <c r="I19" s="30" t="s">
        <v>840</v>
      </c>
      <c r="J19" s="27" t="s">
        <v>840</v>
      </c>
      <c r="K19" s="28"/>
    </row>
    <row r="20" spans="1:11" ht="32.25" customHeight="1" x14ac:dyDescent="0.2">
      <c r="A20" s="10" t="s">
        <v>778</v>
      </c>
      <c r="B20" s="334" t="s">
        <v>891</v>
      </c>
      <c r="C20" s="313" t="s">
        <v>846</v>
      </c>
      <c r="D20" s="92">
        <v>12.031000000000001</v>
      </c>
      <c r="E20" s="93">
        <v>1.5569999999999999</v>
      </c>
      <c r="F20" s="94">
        <v>9.2999999999999999E-2</v>
      </c>
      <c r="G20" s="29">
        <v>35.01</v>
      </c>
      <c r="H20" s="30" t="s">
        <v>840</v>
      </c>
      <c r="I20" s="30" t="s">
        <v>840</v>
      </c>
      <c r="J20" s="27" t="s">
        <v>840</v>
      </c>
      <c r="K20" s="28"/>
    </row>
    <row r="21" spans="1:11" ht="32.25" customHeight="1" x14ac:dyDescent="0.2">
      <c r="A21" s="10" t="s">
        <v>575</v>
      </c>
      <c r="B21" s="334" t="s">
        <v>840</v>
      </c>
      <c r="C21" s="313" t="s">
        <v>2076</v>
      </c>
      <c r="D21" s="92">
        <v>12.031000000000001</v>
      </c>
      <c r="E21" s="93">
        <v>1.5569999999999999</v>
      </c>
      <c r="F21" s="94">
        <v>9.2999999999999999E-2</v>
      </c>
      <c r="G21" s="30" t="s">
        <v>840</v>
      </c>
      <c r="H21" s="30" t="s">
        <v>840</v>
      </c>
      <c r="I21" s="30" t="s">
        <v>840</v>
      </c>
      <c r="J21" s="27" t="s">
        <v>840</v>
      </c>
      <c r="K21" s="28"/>
    </row>
    <row r="22" spans="1:11" ht="32.25" customHeight="1" x14ac:dyDescent="0.2">
      <c r="A22" s="10" t="s">
        <v>595</v>
      </c>
      <c r="B22" s="334" t="s">
        <v>892</v>
      </c>
      <c r="C22" s="313">
        <v>0</v>
      </c>
      <c r="D22" s="92">
        <v>7.7770000000000001</v>
      </c>
      <c r="E22" s="93">
        <v>0.95799999999999996</v>
      </c>
      <c r="F22" s="94">
        <v>5.3999999999999999E-2</v>
      </c>
      <c r="G22" s="29">
        <v>13.64</v>
      </c>
      <c r="H22" s="29">
        <v>7.68</v>
      </c>
      <c r="I22" s="91">
        <v>7.68</v>
      </c>
      <c r="J22" s="26">
        <v>0.24399999999999999</v>
      </c>
      <c r="K22" s="28"/>
    </row>
    <row r="23" spans="1:11" ht="32.25" customHeight="1" x14ac:dyDescent="0.2">
      <c r="A23" s="10" t="s">
        <v>596</v>
      </c>
      <c r="B23" s="334" t="s">
        <v>893</v>
      </c>
      <c r="C23" s="313">
        <v>0</v>
      </c>
      <c r="D23" s="92">
        <v>7.7770000000000001</v>
      </c>
      <c r="E23" s="93">
        <v>0.95799999999999996</v>
      </c>
      <c r="F23" s="94">
        <v>5.3999999999999999E-2</v>
      </c>
      <c r="G23" s="29">
        <v>55.73</v>
      </c>
      <c r="H23" s="29">
        <v>7.68</v>
      </c>
      <c r="I23" s="91">
        <v>7.68</v>
      </c>
      <c r="J23" s="26">
        <v>0.24399999999999999</v>
      </c>
      <c r="K23" s="28"/>
    </row>
    <row r="24" spans="1:11" ht="32.25" customHeight="1" x14ac:dyDescent="0.2">
      <c r="A24" s="10" t="s">
        <v>597</v>
      </c>
      <c r="B24" s="334" t="s">
        <v>894</v>
      </c>
      <c r="C24" s="313">
        <v>0</v>
      </c>
      <c r="D24" s="92">
        <v>7.7770000000000001</v>
      </c>
      <c r="E24" s="93">
        <v>0.95799999999999996</v>
      </c>
      <c r="F24" s="94">
        <v>5.3999999999999999E-2</v>
      </c>
      <c r="G24" s="29">
        <v>85.08</v>
      </c>
      <c r="H24" s="29">
        <v>7.68</v>
      </c>
      <c r="I24" s="91">
        <v>7.68</v>
      </c>
      <c r="J24" s="26">
        <v>0.24399999999999999</v>
      </c>
      <c r="K24" s="28"/>
    </row>
    <row r="25" spans="1:11" ht="32.25" customHeight="1" x14ac:dyDescent="0.2">
      <c r="A25" s="10" t="s">
        <v>598</v>
      </c>
      <c r="B25" s="334" t="s">
        <v>895</v>
      </c>
      <c r="C25" s="313">
        <v>0</v>
      </c>
      <c r="D25" s="92">
        <v>7.7770000000000001</v>
      </c>
      <c r="E25" s="93">
        <v>0.95799999999999996</v>
      </c>
      <c r="F25" s="94">
        <v>5.3999999999999999E-2</v>
      </c>
      <c r="G25" s="29">
        <v>129</v>
      </c>
      <c r="H25" s="29">
        <v>7.68</v>
      </c>
      <c r="I25" s="91">
        <v>7.68</v>
      </c>
      <c r="J25" s="26">
        <v>0.24399999999999999</v>
      </c>
      <c r="K25" s="28"/>
    </row>
    <row r="26" spans="1:11" ht="32.25" customHeight="1" x14ac:dyDescent="0.2">
      <c r="A26" s="10" t="s">
        <v>599</v>
      </c>
      <c r="B26" s="334" t="s">
        <v>896</v>
      </c>
      <c r="C26" s="313">
        <v>0</v>
      </c>
      <c r="D26" s="92">
        <v>7.7770000000000001</v>
      </c>
      <c r="E26" s="93">
        <v>0.95799999999999996</v>
      </c>
      <c r="F26" s="94">
        <v>5.3999999999999999E-2</v>
      </c>
      <c r="G26" s="29">
        <v>239.73</v>
      </c>
      <c r="H26" s="29">
        <v>7.68</v>
      </c>
      <c r="I26" s="91">
        <v>7.68</v>
      </c>
      <c r="J26" s="26">
        <v>0.24399999999999999</v>
      </c>
      <c r="K26" s="28"/>
    </row>
    <row r="27" spans="1:11" ht="32.25" customHeight="1" x14ac:dyDescent="0.2">
      <c r="A27" s="10" t="s">
        <v>600</v>
      </c>
      <c r="B27" s="334" t="s">
        <v>897</v>
      </c>
      <c r="C27" s="313">
        <v>0</v>
      </c>
      <c r="D27" s="92">
        <v>5.1470000000000002</v>
      </c>
      <c r="E27" s="93">
        <v>0.56000000000000005</v>
      </c>
      <c r="F27" s="94">
        <v>2.7E-2</v>
      </c>
      <c r="G27" s="29">
        <v>10.65</v>
      </c>
      <c r="H27" s="29">
        <v>7.4</v>
      </c>
      <c r="I27" s="91">
        <v>7.4</v>
      </c>
      <c r="J27" s="26">
        <v>0.155</v>
      </c>
      <c r="K27" s="28"/>
    </row>
    <row r="28" spans="1:11" ht="32.25" customHeight="1" x14ac:dyDescent="0.2">
      <c r="A28" s="10" t="s">
        <v>601</v>
      </c>
      <c r="B28" s="334" t="s">
        <v>898</v>
      </c>
      <c r="C28" s="313">
        <v>0</v>
      </c>
      <c r="D28" s="92">
        <v>5.1470000000000002</v>
      </c>
      <c r="E28" s="93">
        <v>0.56000000000000005</v>
      </c>
      <c r="F28" s="94">
        <v>2.7E-2</v>
      </c>
      <c r="G28" s="29">
        <v>52.73</v>
      </c>
      <c r="H28" s="29">
        <v>7.4</v>
      </c>
      <c r="I28" s="91">
        <v>7.4</v>
      </c>
      <c r="J28" s="26">
        <v>0.155</v>
      </c>
      <c r="K28" s="28"/>
    </row>
    <row r="29" spans="1:11" ht="32.25" customHeight="1" x14ac:dyDescent="0.2">
      <c r="A29" s="10" t="s">
        <v>602</v>
      </c>
      <c r="B29" s="334" t="s">
        <v>899</v>
      </c>
      <c r="C29" s="313">
        <v>0</v>
      </c>
      <c r="D29" s="92">
        <v>5.1470000000000002</v>
      </c>
      <c r="E29" s="93">
        <v>0.56000000000000005</v>
      </c>
      <c r="F29" s="94">
        <v>2.7E-2</v>
      </c>
      <c r="G29" s="29">
        <v>82.09</v>
      </c>
      <c r="H29" s="29">
        <v>7.4</v>
      </c>
      <c r="I29" s="91">
        <v>7.4</v>
      </c>
      <c r="J29" s="26">
        <v>0.155</v>
      </c>
      <c r="K29" s="28"/>
    </row>
    <row r="30" spans="1:11" ht="32.25" customHeight="1" x14ac:dyDescent="0.2">
      <c r="A30" s="10" t="s">
        <v>603</v>
      </c>
      <c r="B30" s="334" t="s">
        <v>900</v>
      </c>
      <c r="C30" s="313">
        <v>0</v>
      </c>
      <c r="D30" s="92">
        <v>5.1470000000000002</v>
      </c>
      <c r="E30" s="93">
        <v>0.56000000000000005</v>
      </c>
      <c r="F30" s="94">
        <v>2.7E-2</v>
      </c>
      <c r="G30" s="29">
        <v>126.01</v>
      </c>
      <c r="H30" s="29">
        <v>7.4</v>
      </c>
      <c r="I30" s="91">
        <v>7.4</v>
      </c>
      <c r="J30" s="26">
        <v>0.155</v>
      </c>
      <c r="K30" s="28"/>
    </row>
    <row r="31" spans="1:11" ht="32.25" customHeight="1" x14ac:dyDescent="0.2">
      <c r="A31" s="10" t="s">
        <v>604</v>
      </c>
      <c r="B31" s="334" t="s">
        <v>901</v>
      </c>
      <c r="C31" s="313">
        <v>0</v>
      </c>
      <c r="D31" s="92">
        <v>5.1470000000000002</v>
      </c>
      <c r="E31" s="93">
        <v>0.56000000000000005</v>
      </c>
      <c r="F31" s="94">
        <v>2.7E-2</v>
      </c>
      <c r="G31" s="29">
        <v>236.74</v>
      </c>
      <c r="H31" s="29">
        <v>7.4</v>
      </c>
      <c r="I31" s="91">
        <v>7.4</v>
      </c>
      <c r="J31" s="26">
        <v>0.155</v>
      </c>
      <c r="K31" s="28"/>
    </row>
    <row r="32" spans="1:11" ht="32.25" customHeight="1" x14ac:dyDescent="0.2">
      <c r="A32" s="10" t="s">
        <v>605</v>
      </c>
      <c r="B32" s="334" t="s">
        <v>902</v>
      </c>
      <c r="C32" s="313">
        <v>0</v>
      </c>
      <c r="D32" s="92">
        <v>2.8370000000000002</v>
      </c>
      <c r="E32" s="93">
        <v>0.25700000000000001</v>
      </c>
      <c r="F32" s="94">
        <v>8.9999999999999993E-3</v>
      </c>
      <c r="G32" s="29">
        <v>98.28</v>
      </c>
      <c r="H32" s="29">
        <v>8.57</v>
      </c>
      <c r="I32" s="91">
        <v>8.57</v>
      </c>
      <c r="J32" s="26">
        <v>7.5999999999999998E-2</v>
      </c>
      <c r="K32" s="28"/>
    </row>
    <row r="33" spans="1:11" ht="32.25" customHeight="1" x14ac:dyDescent="0.2">
      <c r="A33" s="10" t="s">
        <v>606</v>
      </c>
      <c r="B33" s="334" t="s">
        <v>903</v>
      </c>
      <c r="C33" s="313">
        <v>0</v>
      </c>
      <c r="D33" s="92">
        <v>2.8370000000000002</v>
      </c>
      <c r="E33" s="93">
        <v>0.25700000000000001</v>
      </c>
      <c r="F33" s="94">
        <v>8.9999999999999993E-3</v>
      </c>
      <c r="G33" s="29">
        <v>360.65</v>
      </c>
      <c r="H33" s="29">
        <v>8.57</v>
      </c>
      <c r="I33" s="91">
        <v>8.57</v>
      </c>
      <c r="J33" s="26">
        <v>7.5999999999999998E-2</v>
      </c>
      <c r="K33" s="28"/>
    </row>
    <row r="34" spans="1:11" ht="32.25" customHeight="1" x14ac:dyDescent="0.2">
      <c r="A34" s="10" t="s">
        <v>607</v>
      </c>
      <c r="B34" s="334" t="s">
        <v>904</v>
      </c>
      <c r="C34" s="313">
        <v>0</v>
      </c>
      <c r="D34" s="92">
        <v>2.8370000000000002</v>
      </c>
      <c r="E34" s="93">
        <v>0.25700000000000001</v>
      </c>
      <c r="F34" s="94">
        <v>8.9999999999999993E-3</v>
      </c>
      <c r="G34" s="29">
        <v>866.35</v>
      </c>
      <c r="H34" s="29">
        <v>8.57</v>
      </c>
      <c r="I34" s="91">
        <v>8.57</v>
      </c>
      <c r="J34" s="26">
        <v>7.5999999999999998E-2</v>
      </c>
      <c r="K34" s="28"/>
    </row>
    <row r="35" spans="1:11" ht="32.25" customHeight="1" x14ac:dyDescent="0.2">
      <c r="A35" s="10" t="s">
        <v>608</v>
      </c>
      <c r="B35" s="334" t="s">
        <v>905</v>
      </c>
      <c r="C35" s="313">
        <v>0</v>
      </c>
      <c r="D35" s="92">
        <v>2.8370000000000002</v>
      </c>
      <c r="E35" s="93">
        <v>0.25700000000000001</v>
      </c>
      <c r="F35" s="94">
        <v>8.9999999999999993E-3</v>
      </c>
      <c r="G35" s="29">
        <v>1543.02</v>
      </c>
      <c r="H35" s="29">
        <v>8.57</v>
      </c>
      <c r="I35" s="91">
        <v>8.57</v>
      </c>
      <c r="J35" s="26">
        <v>7.5999999999999998E-2</v>
      </c>
      <c r="K35" s="28"/>
    </row>
    <row r="36" spans="1:11" ht="32.25" customHeight="1" x14ac:dyDescent="0.2">
      <c r="A36" s="10" t="s">
        <v>609</v>
      </c>
      <c r="B36" s="334" t="s">
        <v>906</v>
      </c>
      <c r="C36" s="313">
        <v>0</v>
      </c>
      <c r="D36" s="92">
        <v>2.8370000000000002</v>
      </c>
      <c r="E36" s="93">
        <v>0.25700000000000001</v>
      </c>
      <c r="F36" s="94">
        <v>8.9999999999999993E-3</v>
      </c>
      <c r="G36" s="29">
        <v>3736.24</v>
      </c>
      <c r="H36" s="29">
        <v>8.57</v>
      </c>
      <c r="I36" s="91">
        <v>8.57</v>
      </c>
      <c r="J36" s="26">
        <v>7.5999999999999998E-2</v>
      </c>
      <c r="K36" s="28"/>
    </row>
    <row r="37" spans="1:11" ht="32.25" customHeight="1" x14ac:dyDescent="0.2">
      <c r="A37" s="10" t="s">
        <v>576</v>
      </c>
      <c r="B37" s="334" t="s">
        <v>907</v>
      </c>
      <c r="C37" s="313" t="s">
        <v>847</v>
      </c>
      <c r="D37" s="95">
        <v>32.874000000000002</v>
      </c>
      <c r="E37" s="96">
        <v>3.0179999999999998</v>
      </c>
      <c r="F37" s="94">
        <v>1.2290000000000001</v>
      </c>
      <c r="G37" s="30" t="s">
        <v>840</v>
      </c>
      <c r="H37" s="30" t="s">
        <v>840</v>
      </c>
      <c r="I37" s="30" t="s">
        <v>840</v>
      </c>
      <c r="J37" s="27" t="s">
        <v>840</v>
      </c>
      <c r="K37" s="28"/>
    </row>
    <row r="38" spans="1:11" ht="32.25" customHeight="1" x14ac:dyDescent="0.2">
      <c r="A38" s="10" t="s">
        <v>765</v>
      </c>
      <c r="B38" s="334" t="s">
        <v>908</v>
      </c>
      <c r="C38" s="313">
        <v>0</v>
      </c>
      <c r="D38" s="92">
        <v>-7.7110000000000003</v>
      </c>
      <c r="E38" s="93">
        <v>-0.998</v>
      </c>
      <c r="F38" s="94">
        <v>-0.06</v>
      </c>
      <c r="G38" s="29" t="s">
        <v>840</v>
      </c>
      <c r="H38" s="30" t="s">
        <v>840</v>
      </c>
      <c r="I38" s="30" t="s">
        <v>840</v>
      </c>
      <c r="J38" s="27" t="s">
        <v>840</v>
      </c>
      <c r="K38" s="28"/>
    </row>
    <row r="39" spans="1:11" ht="32.25" customHeight="1" x14ac:dyDescent="0.2">
      <c r="A39" s="10" t="s">
        <v>766</v>
      </c>
      <c r="B39" s="334" t="s">
        <v>909</v>
      </c>
      <c r="C39" s="313">
        <v>0</v>
      </c>
      <c r="D39" s="92">
        <v>-6.4219999999999997</v>
      </c>
      <c r="E39" s="93">
        <v>-0.80500000000000005</v>
      </c>
      <c r="F39" s="94">
        <v>-4.7E-2</v>
      </c>
      <c r="G39" s="29" t="s">
        <v>840</v>
      </c>
      <c r="H39" s="30" t="s">
        <v>840</v>
      </c>
      <c r="I39" s="30" t="s">
        <v>840</v>
      </c>
      <c r="J39" s="27" t="s">
        <v>840</v>
      </c>
      <c r="K39" s="28"/>
    </row>
    <row r="40" spans="1:11" ht="32.25" customHeight="1" x14ac:dyDescent="0.2">
      <c r="A40" s="10" t="s">
        <v>767</v>
      </c>
      <c r="B40" s="334" t="s">
        <v>910</v>
      </c>
      <c r="C40" s="313">
        <v>0</v>
      </c>
      <c r="D40" s="92">
        <v>-7.7110000000000003</v>
      </c>
      <c r="E40" s="93">
        <v>-0.998</v>
      </c>
      <c r="F40" s="94">
        <v>-0.06</v>
      </c>
      <c r="G40" s="29" t="s">
        <v>840</v>
      </c>
      <c r="H40" s="30" t="s">
        <v>840</v>
      </c>
      <c r="I40" s="30" t="s">
        <v>840</v>
      </c>
      <c r="J40" s="26">
        <v>0.27900000000000003</v>
      </c>
      <c r="K40" s="28"/>
    </row>
    <row r="41" spans="1:11" ht="32.25" customHeight="1" x14ac:dyDescent="0.2">
      <c r="A41" s="10" t="s">
        <v>768</v>
      </c>
      <c r="B41" s="334" t="s">
        <v>840</v>
      </c>
      <c r="C41" s="313">
        <v>0</v>
      </c>
      <c r="D41" s="92">
        <v>-7.7110000000000003</v>
      </c>
      <c r="E41" s="93">
        <v>-0.998</v>
      </c>
      <c r="F41" s="94">
        <v>-0.06</v>
      </c>
      <c r="G41" s="29" t="s">
        <v>840</v>
      </c>
      <c r="H41" s="30" t="s">
        <v>840</v>
      </c>
      <c r="I41" s="30" t="s">
        <v>840</v>
      </c>
      <c r="J41" s="27" t="s">
        <v>840</v>
      </c>
      <c r="K41" s="28"/>
    </row>
    <row r="42" spans="1:11" ht="32.25" customHeight="1" x14ac:dyDescent="0.2">
      <c r="A42" s="10" t="s">
        <v>769</v>
      </c>
      <c r="B42" s="334" t="s">
        <v>840</v>
      </c>
      <c r="C42" s="313">
        <v>0</v>
      </c>
      <c r="D42" s="92">
        <v>-6.4219999999999997</v>
      </c>
      <c r="E42" s="93">
        <v>-0.80500000000000005</v>
      </c>
      <c r="F42" s="94">
        <v>-4.7E-2</v>
      </c>
      <c r="G42" s="29" t="s">
        <v>840</v>
      </c>
      <c r="H42" s="30" t="s">
        <v>840</v>
      </c>
      <c r="I42" s="30" t="s">
        <v>840</v>
      </c>
      <c r="J42" s="26">
        <v>0.20699999999999999</v>
      </c>
      <c r="K42" s="28"/>
    </row>
    <row r="43" spans="1:11" ht="32.25" customHeight="1" x14ac:dyDescent="0.2">
      <c r="A43" s="10" t="s">
        <v>770</v>
      </c>
      <c r="B43" s="334" t="s">
        <v>840</v>
      </c>
      <c r="C43" s="313">
        <v>0</v>
      </c>
      <c r="D43" s="92">
        <v>-6.4219999999999997</v>
      </c>
      <c r="E43" s="93">
        <v>-0.80500000000000005</v>
      </c>
      <c r="F43" s="94">
        <v>-4.7E-2</v>
      </c>
      <c r="G43" s="29" t="s">
        <v>840</v>
      </c>
      <c r="H43" s="30" t="s">
        <v>840</v>
      </c>
      <c r="I43" s="30" t="s">
        <v>840</v>
      </c>
      <c r="J43" s="27" t="s">
        <v>840</v>
      </c>
      <c r="K43" s="28"/>
    </row>
    <row r="44" spans="1:11" ht="32.25" customHeight="1" x14ac:dyDescent="0.2">
      <c r="A44" s="10" t="s">
        <v>771</v>
      </c>
      <c r="B44" s="334" t="s">
        <v>911</v>
      </c>
      <c r="C44" s="313">
        <v>0</v>
      </c>
      <c r="D44" s="92">
        <v>-3.9580000000000002</v>
      </c>
      <c r="E44" s="93">
        <v>-0.43099999999999999</v>
      </c>
      <c r="F44" s="94">
        <v>-2.1000000000000001E-2</v>
      </c>
      <c r="G44" s="29">
        <v>61.51</v>
      </c>
      <c r="H44" s="30" t="s">
        <v>840</v>
      </c>
      <c r="I44" s="30" t="s">
        <v>840</v>
      </c>
      <c r="J44" s="26">
        <v>0.17199999999999999</v>
      </c>
      <c r="K44" s="28"/>
    </row>
    <row r="45" spans="1:11" ht="32.25" customHeight="1" x14ac:dyDescent="0.2">
      <c r="A45" s="10" t="s">
        <v>772</v>
      </c>
      <c r="B45" s="334" t="s">
        <v>840</v>
      </c>
      <c r="C45" s="313">
        <v>0</v>
      </c>
      <c r="D45" s="92">
        <v>-3.9580000000000002</v>
      </c>
      <c r="E45" s="93">
        <v>-0.43099999999999999</v>
      </c>
      <c r="F45" s="94">
        <v>-2.1000000000000001E-2</v>
      </c>
      <c r="G45" s="29">
        <v>61.51</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charges_B'; based on connection level, credits may therefore be lower than stated above.</v>
      </c>
    </row>
    <row r="47" spans="1:11" ht="27.75" customHeight="1" x14ac:dyDescent="0.2">
      <c r="A47" s="332" t="s">
        <v>517</v>
      </c>
    </row>
  </sheetData>
  <mergeCells count="15">
    <mergeCell ref="C9:D9"/>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C3E1C08E-0CBB-49CF-B4FD-45A65EE7C2EF}"/>
    <hyperlink ref="A47" location="'Annex 4 LDNO charges_B'!A1" display="Annex 4 LDNO charges_B" xr:uid="{2907C78B-A3BA-49F0-B0B8-5BD3D9E3BBD3}"/>
  </hyperlinks>
  <pageMargins left="0.39370078740157483" right="0.39370078740157483" top="0.51181102362204722" bottom="0.74803149606299213" header="0.27559055118110237" footer="0.27559055118110237"/>
  <pageSetup paperSize="9" scale="39"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5" width="15.5703125" style="1" customWidth="1"/>
    <col min="16" max="16384" width="9.140625" style="1"/>
  </cols>
  <sheetData>
    <row r="1" spans="1:20" ht="27.75" customHeight="1" x14ac:dyDescent="0.2">
      <c r="A1" s="32" t="s">
        <v>19</v>
      </c>
      <c r="B1" s="46"/>
      <c r="C1" s="46"/>
      <c r="D1" s="46"/>
      <c r="E1" s="370" t="s">
        <v>466</v>
      </c>
      <c r="F1" s="370"/>
      <c r="G1" s="370"/>
      <c r="H1" s="370"/>
      <c r="I1" s="370"/>
      <c r="J1" s="370"/>
      <c r="K1" s="370"/>
      <c r="L1" s="243"/>
      <c r="M1" s="342"/>
    </row>
    <row r="2" spans="1:20" ht="27" customHeight="1" x14ac:dyDescent="0.2">
      <c r="A2" s="382" t="str">
        <f>Overview!B4&amp;" - Effective from "&amp;TEXT(Overview!$D$4,"d mmmm yyyy")&amp;" - Final LV and HV charges in UKPN LPN Area (GSP Group _C)"</f>
        <v>Leep Electricity Networks Limited - Effective from 1 April 2026 - Final LV and HV charges in UKPN LPN Area (GSP Group _C)</v>
      </c>
      <c r="B2" s="383"/>
      <c r="C2" s="383"/>
      <c r="D2" s="383"/>
      <c r="E2" s="383"/>
      <c r="F2" s="383"/>
      <c r="G2" s="383"/>
      <c r="H2" s="383"/>
      <c r="I2" s="383"/>
      <c r="J2" s="383"/>
      <c r="K2" s="384"/>
    </row>
    <row r="3" spans="1:20" s="41" customFormat="1" ht="15" customHeight="1" x14ac:dyDescent="0.2">
      <c r="A3" s="46"/>
      <c r="B3" s="46"/>
      <c r="C3" s="46"/>
      <c r="D3" s="46"/>
      <c r="E3" s="46"/>
      <c r="F3" s="46"/>
      <c r="G3" s="46"/>
      <c r="H3" s="46"/>
      <c r="I3" s="46"/>
      <c r="J3" s="46"/>
      <c r="K3" s="46"/>
      <c r="L3" s="100"/>
      <c r="M3" s="344"/>
    </row>
    <row r="4" spans="1:20" ht="27" customHeight="1" x14ac:dyDescent="0.2">
      <c r="A4" s="382" t="s">
        <v>308</v>
      </c>
      <c r="B4" s="383"/>
      <c r="C4" s="383"/>
      <c r="D4" s="383"/>
      <c r="E4" s="384"/>
      <c r="F4" s="46"/>
      <c r="G4" s="382" t="s">
        <v>307</v>
      </c>
      <c r="H4" s="383"/>
      <c r="I4" s="383"/>
      <c r="J4" s="383"/>
      <c r="K4" s="384"/>
      <c r="N4" s="395"/>
      <c r="O4" s="396"/>
      <c r="P4" s="396"/>
      <c r="Q4" s="396"/>
      <c r="R4" s="396"/>
      <c r="S4" s="396"/>
      <c r="T4" s="397"/>
    </row>
    <row r="5" spans="1:20" ht="28.5" customHeight="1" x14ac:dyDescent="0.2">
      <c r="A5" s="40" t="s">
        <v>13</v>
      </c>
      <c r="B5" s="258" t="s">
        <v>299</v>
      </c>
      <c r="C5" s="398" t="s">
        <v>300</v>
      </c>
      <c r="D5" s="399"/>
      <c r="E5" s="42" t="s">
        <v>301</v>
      </c>
      <c r="F5" s="46"/>
      <c r="G5" s="368"/>
      <c r="H5" s="369"/>
      <c r="I5" s="44" t="s">
        <v>305</v>
      </c>
      <c r="J5" s="45" t="s">
        <v>306</v>
      </c>
      <c r="K5" s="42" t="s">
        <v>301</v>
      </c>
      <c r="L5" s="46"/>
      <c r="N5" s="396"/>
      <c r="O5" s="396"/>
      <c r="P5" s="396"/>
      <c r="Q5" s="396"/>
      <c r="R5" s="396"/>
      <c r="S5" s="396"/>
      <c r="T5" s="397"/>
    </row>
    <row r="6" spans="1:20" ht="65.25" customHeight="1" x14ac:dyDescent="0.2">
      <c r="A6" s="115" t="s">
        <v>837</v>
      </c>
      <c r="B6" s="13" t="s">
        <v>2088</v>
      </c>
      <c r="C6" s="389" t="s">
        <v>2089</v>
      </c>
      <c r="D6" s="391"/>
      <c r="E6" s="97" t="s">
        <v>839</v>
      </c>
      <c r="F6" s="46" t="s">
        <v>840</v>
      </c>
      <c r="G6" s="380" t="s">
        <v>302</v>
      </c>
      <c r="H6" s="381"/>
      <c r="I6" s="13" t="s">
        <v>473</v>
      </c>
      <c r="J6" s="250" t="s">
        <v>2090</v>
      </c>
      <c r="K6" s="97" t="s">
        <v>839</v>
      </c>
      <c r="L6" s="46"/>
      <c r="N6" s="353"/>
      <c r="O6" s="353"/>
      <c r="P6" s="353"/>
      <c r="Q6" s="353"/>
      <c r="R6" s="353"/>
      <c r="S6" s="353"/>
      <c r="T6" s="41"/>
    </row>
    <row r="7" spans="1:20" ht="65.25" customHeight="1" x14ac:dyDescent="0.2">
      <c r="A7" s="115" t="s">
        <v>841</v>
      </c>
      <c r="B7" s="252" t="s">
        <v>840</v>
      </c>
      <c r="C7" s="392" t="s">
        <v>840</v>
      </c>
      <c r="D7" s="393"/>
      <c r="E7" s="250" t="s">
        <v>842</v>
      </c>
      <c r="F7" s="46" t="s">
        <v>840</v>
      </c>
      <c r="G7" s="380" t="s">
        <v>303</v>
      </c>
      <c r="H7" s="381"/>
      <c r="I7" s="13" t="s">
        <v>469</v>
      </c>
      <c r="J7" s="250" t="s">
        <v>838</v>
      </c>
      <c r="K7" s="97" t="s">
        <v>839</v>
      </c>
      <c r="L7" s="46"/>
      <c r="N7" s="41"/>
      <c r="O7" s="41"/>
      <c r="P7" s="41"/>
      <c r="Q7" s="41"/>
      <c r="R7" s="41"/>
      <c r="S7" s="41"/>
      <c r="T7" s="41"/>
    </row>
    <row r="8" spans="1:20" ht="65.25" customHeight="1" x14ac:dyDescent="0.2">
      <c r="A8" s="251" t="s">
        <v>14</v>
      </c>
      <c r="B8" s="380" t="s">
        <v>15</v>
      </c>
      <c r="C8" s="394"/>
      <c r="D8" s="394"/>
      <c r="E8" s="381"/>
      <c r="F8" s="46" t="s">
        <v>840</v>
      </c>
      <c r="G8" s="380" t="s">
        <v>2091</v>
      </c>
      <c r="H8" s="381"/>
      <c r="I8" s="252" t="s">
        <v>840</v>
      </c>
      <c r="J8" s="250" t="s">
        <v>844</v>
      </c>
      <c r="K8" s="97" t="s">
        <v>839</v>
      </c>
      <c r="L8" s="46"/>
      <c r="N8" s="41"/>
      <c r="O8" s="41"/>
      <c r="P8" s="41"/>
      <c r="Q8" s="41"/>
      <c r="R8" s="41"/>
      <c r="S8" s="41"/>
      <c r="T8" s="41"/>
    </row>
    <row r="9" spans="1:20" s="41" customFormat="1" ht="65.25" customHeight="1" x14ac:dyDescent="0.2">
      <c r="A9" s="41" t="s">
        <v>840</v>
      </c>
      <c r="B9" s="41" t="s">
        <v>840</v>
      </c>
      <c r="C9" s="41" t="s">
        <v>840</v>
      </c>
      <c r="D9" s="41" t="s">
        <v>840</v>
      </c>
      <c r="E9" s="41" t="s">
        <v>840</v>
      </c>
      <c r="F9" s="46" t="s">
        <v>840</v>
      </c>
      <c r="G9" s="380" t="s">
        <v>2074</v>
      </c>
      <c r="H9" s="381"/>
      <c r="I9" s="252" t="s">
        <v>840</v>
      </c>
      <c r="J9" s="252" t="s">
        <v>840</v>
      </c>
      <c r="K9" s="250" t="s">
        <v>842</v>
      </c>
      <c r="L9" s="46"/>
      <c r="M9" s="344"/>
    </row>
    <row r="10" spans="1:20" s="41" customFormat="1" ht="32.25" customHeight="1" x14ac:dyDescent="0.2">
      <c r="A10" s="46" t="s">
        <v>840</v>
      </c>
      <c r="B10" s="46" t="s">
        <v>840</v>
      </c>
      <c r="C10" s="46" t="s">
        <v>840</v>
      </c>
      <c r="D10" s="46" t="s">
        <v>840</v>
      </c>
      <c r="E10" s="46" t="s">
        <v>840</v>
      </c>
      <c r="F10" s="46" t="s">
        <v>840</v>
      </c>
      <c r="G10" s="380" t="s">
        <v>14</v>
      </c>
      <c r="H10" s="381"/>
      <c r="I10" s="380" t="s">
        <v>15</v>
      </c>
      <c r="J10" s="394"/>
      <c r="K10" s="381"/>
      <c r="L10" s="46"/>
      <c r="M10" s="344"/>
    </row>
    <row r="11" spans="1:20" ht="13.5" customHeight="1" x14ac:dyDescent="0.2">
      <c r="A11" s="46"/>
      <c r="B11" s="46"/>
      <c r="C11" s="46"/>
      <c r="D11" s="46"/>
      <c r="E11" s="46"/>
      <c r="F11" s="46"/>
      <c r="G11" s="46"/>
      <c r="H11" s="46"/>
      <c r="I11" s="46"/>
      <c r="J11" s="46"/>
      <c r="K11" s="46"/>
      <c r="L11" s="46"/>
      <c r="M11" s="344"/>
    </row>
    <row r="12" spans="1:20" ht="13.5" customHeight="1" x14ac:dyDescent="0.2">
      <c r="A12" s="46"/>
      <c r="B12" s="46"/>
      <c r="C12" s="46"/>
      <c r="D12" s="46"/>
      <c r="E12" s="46"/>
      <c r="F12" s="46"/>
      <c r="G12" s="46"/>
      <c r="H12" s="46"/>
      <c r="I12" s="46"/>
      <c r="J12" s="46"/>
      <c r="K12" s="46"/>
      <c r="L12" s="100"/>
      <c r="M12" s="344"/>
    </row>
    <row r="13" spans="1:20" ht="69"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20" ht="39.950000000000003" customHeight="1" x14ac:dyDescent="0.2">
      <c r="A14" s="10" t="s">
        <v>773</v>
      </c>
      <c r="B14" s="334" t="s">
        <v>912</v>
      </c>
      <c r="C14" s="313" t="s">
        <v>845</v>
      </c>
      <c r="D14" s="92">
        <v>10.891999999999999</v>
      </c>
      <c r="E14" s="93">
        <v>0.48899999999999999</v>
      </c>
      <c r="F14" s="94" t="s">
        <v>840</v>
      </c>
      <c r="G14" s="29" t="s">
        <v>840</v>
      </c>
      <c r="H14" s="30" t="s">
        <v>840</v>
      </c>
      <c r="I14" s="30" t="s">
        <v>840</v>
      </c>
      <c r="J14" s="27" t="s">
        <v>840</v>
      </c>
      <c r="K14" s="28"/>
    </row>
    <row r="15" spans="1:20" ht="32.85" customHeight="1" x14ac:dyDescent="0.2">
      <c r="A15" s="10" t="s">
        <v>594</v>
      </c>
      <c r="B15" s="334" t="s">
        <v>840</v>
      </c>
      <c r="C15" s="313">
        <v>2</v>
      </c>
      <c r="D15" s="92">
        <v>11.164</v>
      </c>
      <c r="E15" s="93">
        <v>0.76100000000000001</v>
      </c>
      <c r="F15" s="94">
        <v>6.4000000000000001E-2</v>
      </c>
      <c r="G15" s="30" t="s">
        <v>840</v>
      </c>
      <c r="H15" s="30" t="s">
        <v>840</v>
      </c>
      <c r="I15" s="30" t="s">
        <v>840</v>
      </c>
      <c r="J15" s="27" t="s">
        <v>840</v>
      </c>
      <c r="K15" s="28"/>
    </row>
    <row r="16" spans="1:20" ht="32.85" customHeight="1" x14ac:dyDescent="0.2">
      <c r="A16" s="10" t="s">
        <v>774</v>
      </c>
      <c r="B16" s="334" t="s">
        <v>913</v>
      </c>
      <c r="C16" s="313" t="s">
        <v>846</v>
      </c>
      <c r="D16" s="92">
        <v>9.8810000000000002</v>
      </c>
      <c r="E16" s="93">
        <v>0.67300000000000004</v>
      </c>
      <c r="F16" s="94">
        <v>5.7000000000000002E-2</v>
      </c>
      <c r="G16" s="29">
        <v>5.87</v>
      </c>
      <c r="H16" s="30" t="s">
        <v>840</v>
      </c>
      <c r="I16" s="30" t="s">
        <v>840</v>
      </c>
      <c r="J16" s="27" t="s">
        <v>840</v>
      </c>
      <c r="K16" s="28"/>
    </row>
    <row r="17" spans="1:11" ht="39.950000000000003" customHeight="1" x14ac:dyDescent="0.2">
      <c r="A17" s="10" t="s">
        <v>775</v>
      </c>
      <c r="B17" s="334" t="s">
        <v>914</v>
      </c>
      <c r="C17" s="313" t="s">
        <v>846</v>
      </c>
      <c r="D17" s="92">
        <v>9.7420000000000009</v>
      </c>
      <c r="E17" s="93">
        <v>0.53500000000000003</v>
      </c>
      <c r="F17" s="94" t="s">
        <v>840</v>
      </c>
      <c r="G17" s="29" t="s">
        <v>840</v>
      </c>
      <c r="H17" s="30" t="s">
        <v>840</v>
      </c>
      <c r="I17" s="30" t="s">
        <v>840</v>
      </c>
      <c r="J17" s="27" t="s">
        <v>840</v>
      </c>
      <c r="K17" s="28"/>
    </row>
    <row r="18" spans="1:11" ht="39.950000000000003" customHeight="1" x14ac:dyDescent="0.2">
      <c r="A18" s="10" t="s">
        <v>776</v>
      </c>
      <c r="B18" s="334" t="s">
        <v>915</v>
      </c>
      <c r="C18" s="313" t="s">
        <v>846</v>
      </c>
      <c r="D18" s="92">
        <v>8.516</v>
      </c>
      <c r="E18" s="93" t="s">
        <v>840</v>
      </c>
      <c r="F18" s="94" t="s">
        <v>840</v>
      </c>
      <c r="G18" s="29" t="s">
        <v>840</v>
      </c>
      <c r="H18" s="30" t="s">
        <v>840</v>
      </c>
      <c r="I18" s="30" t="s">
        <v>840</v>
      </c>
      <c r="J18" s="27" t="s">
        <v>840</v>
      </c>
      <c r="K18" s="28"/>
    </row>
    <row r="19" spans="1:11" ht="39.950000000000003" customHeight="1" x14ac:dyDescent="0.2">
      <c r="A19" s="10" t="s">
        <v>777</v>
      </c>
      <c r="B19" s="334" t="s">
        <v>916</v>
      </c>
      <c r="C19" s="313" t="s">
        <v>846</v>
      </c>
      <c r="D19" s="92">
        <v>7.992</v>
      </c>
      <c r="E19" s="93" t="s">
        <v>840</v>
      </c>
      <c r="F19" s="94" t="s">
        <v>840</v>
      </c>
      <c r="G19" s="29" t="s">
        <v>840</v>
      </c>
      <c r="H19" s="30" t="s">
        <v>840</v>
      </c>
      <c r="I19" s="30" t="s">
        <v>840</v>
      </c>
      <c r="J19" s="27" t="s">
        <v>840</v>
      </c>
      <c r="K19" s="28"/>
    </row>
    <row r="20" spans="1:11" ht="39.950000000000003" customHeight="1" x14ac:dyDescent="0.2">
      <c r="A20" s="10" t="s">
        <v>778</v>
      </c>
      <c r="B20" s="334" t="s">
        <v>917</v>
      </c>
      <c r="C20" s="313" t="s">
        <v>846</v>
      </c>
      <c r="D20" s="92">
        <v>7.6349999999999998</v>
      </c>
      <c r="E20" s="93" t="s">
        <v>840</v>
      </c>
      <c r="F20" s="94" t="s">
        <v>840</v>
      </c>
      <c r="G20" s="29" t="s">
        <v>840</v>
      </c>
      <c r="H20" s="30" t="s">
        <v>840</v>
      </c>
      <c r="I20" s="30" t="s">
        <v>840</v>
      </c>
      <c r="J20" s="27" t="s">
        <v>840</v>
      </c>
      <c r="K20" s="28"/>
    </row>
    <row r="21" spans="1:11" ht="32.85" customHeight="1" x14ac:dyDescent="0.2">
      <c r="A21" s="10" t="s">
        <v>575</v>
      </c>
      <c r="B21" s="334" t="s">
        <v>840</v>
      </c>
      <c r="C21" s="313">
        <v>4</v>
      </c>
      <c r="D21" s="92">
        <v>9.8810000000000002</v>
      </c>
      <c r="E21" s="93">
        <v>0.67300000000000004</v>
      </c>
      <c r="F21" s="94">
        <v>5.7000000000000002E-2</v>
      </c>
      <c r="G21" s="30" t="s">
        <v>840</v>
      </c>
      <c r="H21" s="30" t="s">
        <v>840</v>
      </c>
      <c r="I21" s="30" t="s">
        <v>840</v>
      </c>
      <c r="J21" s="27" t="s">
        <v>840</v>
      </c>
      <c r="K21" s="28"/>
    </row>
    <row r="22" spans="1:11" ht="32.85" customHeight="1" x14ac:dyDescent="0.2">
      <c r="A22" s="10" t="s">
        <v>595</v>
      </c>
      <c r="B22" s="334" t="s">
        <v>918</v>
      </c>
      <c r="C22" s="313">
        <v>0</v>
      </c>
      <c r="D22" s="92">
        <v>7.4139999999999997</v>
      </c>
      <c r="E22" s="93">
        <v>0.52400000000000002</v>
      </c>
      <c r="F22" s="94">
        <v>3.5000000000000003E-2</v>
      </c>
      <c r="G22" s="29">
        <v>14.26</v>
      </c>
      <c r="H22" s="29">
        <v>7.23</v>
      </c>
      <c r="I22" s="91">
        <v>7.23</v>
      </c>
      <c r="J22" s="26">
        <v>0.52200000000000002</v>
      </c>
      <c r="K22" s="28"/>
    </row>
    <row r="23" spans="1:11" ht="32.85" customHeight="1" x14ac:dyDescent="0.2">
      <c r="A23" s="10" t="s">
        <v>596</v>
      </c>
      <c r="B23" s="334" t="s">
        <v>919</v>
      </c>
      <c r="C23" s="313">
        <v>0</v>
      </c>
      <c r="D23" s="92">
        <v>4.444</v>
      </c>
      <c r="E23" s="93">
        <v>0.16200000000000001</v>
      </c>
      <c r="F23" s="94">
        <v>2.4E-2</v>
      </c>
      <c r="G23" s="29">
        <v>2.35</v>
      </c>
      <c r="H23" s="29">
        <v>7.23</v>
      </c>
      <c r="I23" s="91">
        <v>7.23</v>
      </c>
      <c r="J23" s="26">
        <v>0.52200000000000002</v>
      </c>
      <c r="K23" s="28"/>
    </row>
    <row r="24" spans="1:11" ht="32.85" customHeight="1" x14ac:dyDescent="0.2">
      <c r="A24" s="10" t="s">
        <v>597</v>
      </c>
      <c r="B24" s="334" t="s">
        <v>920</v>
      </c>
      <c r="C24" s="313">
        <v>0</v>
      </c>
      <c r="D24" s="92">
        <v>4.3879999999999999</v>
      </c>
      <c r="E24" s="93">
        <v>0.16200000000000001</v>
      </c>
      <c r="F24" s="94">
        <v>2.4E-2</v>
      </c>
      <c r="G24" s="29">
        <v>2.35</v>
      </c>
      <c r="H24" s="29">
        <v>7.23</v>
      </c>
      <c r="I24" s="91">
        <v>7.23</v>
      </c>
      <c r="J24" s="26">
        <v>0.52200000000000002</v>
      </c>
      <c r="K24" s="28"/>
    </row>
    <row r="25" spans="1:11" ht="32.85" customHeight="1" x14ac:dyDescent="0.2">
      <c r="A25" s="10" t="s">
        <v>598</v>
      </c>
      <c r="B25" s="334" t="s">
        <v>921</v>
      </c>
      <c r="C25" s="313">
        <v>0</v>
      </c>
      <c r="D25" s="92">
        <v>4.3259999999999996</v>
      </c>
      <c r="E25" s="93">
        <v>0.16200000000000001</v>
      </c>
      <c r="F25" s="94">
        <v>2.4E-2</v>
      </c>
      <c r="G25" s="29">
        <v>2.35</v>
      </c>
      <c r="H25" s="29">
        <v>7.23</v>
      </c>
      <c r="I25" s="91">
        <v>7.23</v>
      </c>
      <c r="J25" s="26">
        <v>0.52200000000000002</v>
      </c>
      <c r="K25" s="28"/>
    </row>
    <row r="26" spans="1:11" ht="32.85" customHeight="1" x14ac:dyDescent="0.2">
      <c r="A26" s="10" t="s">
        <v>599</v>
      </c>
      <c r="B26" s="334" t="s">
        <v>922</v>
      </c>
      <c r="C26" s="313">
        <v>0</v>
      </c>
      <c r="D26" s="92">
        <v>4.2569999999999997</v>
      </c>
      <c r="E26" s="93">
        <v>0.16200000000000001</v>
      </c>
      <c r="F26" s="94">
        <v>2.4E-2</v>
      </c>
      <c r="G26" s="29">
        <v>2.35</v>
      </c>
      <c r="H26" s="29">
        <v>7.23</v>
      </c>
      <c r="I26" s="91">
        <v>7.23</v>
      </c>
      <c r="J26" s="26">
        <v>0.52200000000000002</v>
      </c>
      <c r="K26" s="28"/>
    </row>
    <row r="27" spans="1:11" ht="32.85" customHeight="1" x14ac:dyDescent="0.2">
      <c r="A27" s="10" t="s">
        <v>600</v>
      </c>
      <c r="B27" s="334" t="s">
        <v>923</v>
      </c>
      <c r="C27" s="313">
        <v>0</v>
      </c>
      <c r="D27" s="92">
        <v>4.7370000000000001</v>
      </c>
      <c r="E27" s="93">
        <v>0.36199999999999999</v>
      </c>
      <c r="F27" s="94">
        <v>1.2E-2</v>
      </c>
      <c r="G27" s="29">
        <v>11.91</v>
      </c>
      <c r="H27" s="29">
        <v>8.9499999999999993</v>
      </c>
      <c r="I27" s="91">
        <v>8.9499999999999993</v>
      </c>
      <c r="J27" s="26">
        <v>0.32300000000000001</v>
      </c>
      <c r="K27" s="28"/>
    </row>
    <row r="28" spans="1:11" ht="32.85" customHeight="1" x14ac:dyDescent="0.2">
      <c r="A28" s="10" t="s">
        <v>601</v>
      </c>
      <c r="B28" s="334" t="s">
        <v>924</v>
      </c>
      <c r="C28" s="313">
        <v>0</v>
      </c>
      <c r="D28" s="92">
        <v>1.7669999999999999</v>
      </c>
      <c r="E28" s="93" t="s">
        <v>840</v>
      </c>
      <c r="F28" s="94" t="s">
        <v>840</v>
      </c>
      <c r="G28" s="29" t="s">
        <v>840</v>
      </c>
      <c r="H28" s="29">
        <v>8.9499999999999993</v>
      </c>
      <c r="I28" s="91">
        <v>8.9499999999999993</v>
      </c>
      <c r="J28" s="26">
        <v>0.32300000000000001</v>
      </c>
      <c r="K28" s="28"/>
    </row>
    <row r="29" spans="1:11" ht="32.85" customHeight="1" x14ac:dyDescent="0.2">
      <c r="A29" s="10" t="s">
        <v>602</v>
      </c>
      <c r="B29" s="334" t="s">
        <v>925</v>
      </c>
      <c r="C29" s="313">
        <v>0</v>
      </c>
      <c r="D29" s="92">
        <v>1.7110000000000001</v>
      </c>
      <c r="E29" s="93" t="s">
        <v>840</v>
      </c>
      <c r="F29" s="94" t="s">
        <v>840</v>
      </c>
      <c r="G29" s="29" t="s">
        <v>840</v>
      </c>
      <c r="H29" s="29">
        <v>8.9499999999999993</v>
      </c>
      <c r="I29" s="91">
        <v>8.9499999999999993</v>
      </c>
      <c r="J29" s="26">
        <v>0.32300000000000001</v>
      </c>
      <c r="K29" s="28"/>
    </row>
    <row r="30" spans="1:11" ht="32.85" customHeight="1" x14ac:dyDescent="0.2">
      <c r="A30" s="10" t="s">
        <v>603</v>
      </c>
      <c r="B30" s="334" t="s">
        <v>926</v>
      </c>
      <c r="C30" s="313">
        <v>0</v>
      </c>
      <c r="D30" s="92">
        <v>1.649</v>
      </c>
      <c r="E30" s="93" t="s">
        <v>840</v>
      </c>
      <c r="F30" s="94" t="s">
        <v>840</v>
      </c>
      <c r="G30" s="29" t="s">
        <v>840</v>
      </c>
      <c r="H30" s="29">
        <v>8.9499999999999993</v>
      </c>
      <c r="I30" s="91">
        <v>8.9499999999999993</v>
      </c>
      <c r="J30" s="26">
        <v>0.32300000000000001</v>
      </c>
      <c r="K30" s="28"/>
    </row>
    <row r="31" spans="1:11" ht="32.85" customHeight="1" x14ac:dyDescent="0.2">
      <c r="A31" s="10" t="s">
        <v>604</v>
      </c>
      <c r="B31" s="334" t="s">
        <v>927</v>
      </c>
      <c r="C31" s="313">
        <v>0</v>
      </c>
      <c r="D31" s="92">
        <v>1.58</v>
      </c>
      <c r="E31" s="93" t="s">
        <v>840</v>
      </c>
      <c r="F31" s="94" t="s">
        <v>840</v>
      </c>
      <c r="G31" s="29" t="s">
        <v>840</v>
      </c>
      <c r="H31" s="29">
        <v>8.9499999999999993</v>
      </c>
      <c r="I31" s="91">
        <v>8.9499999999999993</v>
      </c>
      <c r="J31" s="26">
        <v>0.32300000000000001</v>
      </c>
      <c r="K31" s="28"/>
    </row>
    <row r="32" spans="1:11" ht="32.85" customHeight="1" x14ac:dyDescent="0.2">
      <c r="A32" s="10" t="s">
        <v>605</v>
      </c>
      <c r="B32" s="334" t="s">
        <v>928</v>
      </c>
      <c r="C32" s="313">
        <v>0</v>
      </c>
      <c r="D32" s="92">
        <v>3.44</v>
      </c>
      <c r="E32" s="93">
        <v>0.26200000000000001</v>
      </c>
      <c r="F32" s="94">
        <v>8.0000000000000002E-3</v>
      </c>
      <c r="G32" s="29">
        <v>120.55</v>
      </c>
      <c r="H32" s="29">
        <v>9.19</v>
      </c>
      <c r="I32" s="91">
        <v>9.19</v>
      </c>
      <c r="J32" s="26">
        <v>0.24399999999999999</v>
      </c>
      <c r="K32" s="28"/>
    </row>
    <row r="33" spans="1:11" ht="32.85" customHeight="1" x14ac:dyDescent="0.2">
      <c r="A33" s="10" t="s">
        <v>606</v>
      </c>
      <c r="B33" s="334" t="s">
        <v>929</v>
      </c>
      <c r="C33" s="313">
        <v>0</v>
      </c>
      <c r="D33" s="92">
        <v>0.23</v>
      </c>
      <c r="E33" s="93" t="s">
        <v>840</v>
      </c>
      <c r="F33" s="94" t="s">
        <v>840</v>
      </c>
      <c r="G33" s="29" t="s">
        <v>840</v>
      </c>
      <c r="H33" s="29">
        <v>9.19</v>
      </c>
      <c r="I33" s="91">
        <v>9.19</v>
      </c>
      <c r="J33" s="26">
        <v>0.24399999999999999</v>
      </c>
      <c r="K33" s="28"/>
    </row>
    <row r="34" spans="1:11" ht="32.85" customHeight="1" x14ac:dyDescent="0.2">
      <c r="A34" s="10" t="s">
        <v>607</v>
      </c>
      <c r="B34" s="334" t="s">
        <v>930</v>
      </c>
      <c r="C34" s="313">
        <v>0</v>
      </c>
      <c r="D34" s="92">
        <v>8.9999999999999993E-3</v>
      </c>
      <c r="E34" s="93" t="s">
        <v>840</v>
      </c>
      <c r="F34" s="94" t="s">
        <v>840</v>
      </c>
      <c r="G34" s="29" t="s">
        <v>840</v>
      </c>
      <c r="H34" s="29">
        <v>9.19</v>
      </c>
      <c r="I34" s="91">
        <v>9.19</v>
      </c>
      <c r="J34" s="26">
        <v>0.24399999999999999</v>
      </c>
      <c r="K34" s="28"/>
    </row>
    <row r="35" spans="1:11" ht="32.85" customHeight="1" x14ac:dyDescent="0.2">
      <c r="A35" s="10" t="s">
        <v>608</v>
      </c>
      <c r="B35" s="334" t="s">
        <v>931</v>
      </c>
      <c r="C35" s="313">
        <v>0</v>
      </c>
      <c r="D35" s="92">
        <v>0.104</v>
      </c>
      <c r="E35" s="93" t="s">
        <v>840</v>
      </c>
      <c r="F35" s="94" t="s">
        <v>840</v>
      </c>
      <c r="G35" s="29" t="s">
        <v>840</v>
      </c>
      <c r="H35" s="29">
        <v>9.19</v>
      </c>
      <c r="I35" s="91">
        <v>9.19</v>
      </c>
      <c r="J35" s="26">
        <v>0.24399999999999999</v>
      </c>
      <c r="K35" s="28"/>
    </row>
    <row r="36" spans="1:11" ht="32.85" customHeight="1" x14ac:dyDescent="0.2">
      <c r="A36" s="10" t="s">
        <v>609</v>
      </c>
      <c r="B36" s="334" t="s">
        <v>932</v>
      </c>
      <c r="C36" s="313">
        <v>0</v>
      </c>
      <c r="D36" s="92">
        <v>2.1000000000000001E-2</v>
      </c>
      <c r="E36" s="93" t="s">
        <v>840</v>
      </c>
      <c r="F36" s="94" t="s">
        <v>840</v>
      </c>
      <c r="G36" s="29" t="s">
        <v>840</v>
      </c>
      <c r="H36" s="29">
        <v>9.19</v>
      </c>
      <c r="I36" s="91">
        <v>9.19</v>
      </c>
      <c r="J36" s="26">
        <v>0.24399999999999999</v>
      </c>
      <c r="K36" s="28"/>
    </row>
    <row r="37" spans="1:11" ht="32.85" customHeight="1" x14ac:dyDescent="0.2">
      <c r="A37" s="10" t="s">
        <v>576</v>
      </c>
      <c r="B37" s="334" t="s">
        <v>933</v>
      </c>
      <c r="C37" s="313" t="s">
        <v>847</v>
      </c>
      <c r="D37" s="95">
        <v>41.914000000000001</v>
      </c>
      <c r="E37" s="96">
        <v>2.677</v>
      </c>
      <c r="F37" s="94">
        <v>0.44400000000000001</v>
      </c>
      <c r="G37" s="30" t="s">
        <v>840</v>
      </c>
      <c r="H37" s="30" t="s">
        <v>840</v>
      </c>
      <c r="I37" s="30" t="s">
        <v>840</v>
      </c>
      <c r="J37" s="27" t="s">
        <v>840</v>
      </c>
      <c r="K37" s="28"/>
    </row>
    <row r="38" spans="1:11" ht="32.85" customHeight="1" x14ac:dyDescent="0.2">
      <c r="A38" s="10" t="s">
        <v>765</v>
      </c>
      <c r="B38" s="334" t="s">
        <v>934</v>
      </c>
      <c r="C38" s="313" t="s">
        <v>848</v>
      </c>
      <c r="D38" s="92">
        <v>-7.5780000000000003</v>
      </c>
      <c r="E38" s="93">
        <v>-0.51600000000000001</v>
      </c>
      <c r="F38" s="94">
        <v>-4.2999999999999997E-2</v>
      </c>
      <c r="G38" s="29" t="s">
        <v>840</v>
      </c>
      <c r="H38" s="30" t="s">
        <v>840</v>
      </c>
      <c r="I38" s="30" t="s">
        <v>840</v>
      </c>
      <c r="J38" s="27" t="s">
        <v>840</v>
      </c>
      <c r="K38" s="28"/>
    </row>
    <row r="39" spans="1:11" ht="32.85" customHeight="1" x14ac:dyDescent="0.2">
      <c r="A39" s="10" t="s">
        <v>766</v>
      </c>
      <c r="B39" s="334" t="s">
        <v>935</v>
      </c>
      <c r="C39" s="313">
        <v>0</v>
      </c>
      <c r="D39" s="92">
        <v>-6.2629999999999999</v>
      </c>
      <c r="E39" s="93">
        <v>-0.436</v>
      </c>
      <c r="F39" s="94">
        <v>-3.2000000000000001E-2</v>
      </c>
      <c r="G39" s="29" t="s">
        <v>840</v>
      </c>
      <c r="H39" s="30" t="s">
        <v>840</v>
      </c>
      <c r="I39" s="30" t="s">
        <v>840</v>
      </c>
      <c r="J39" s="27" t="s">
        <v>840</v>
      </c>
      <c r="K39" s="28"/>
    </row>
    <row r="40" spans="1:11" ht="32.85" customHeight="1" x14ac:dyDescent="0.2">
      <c r="A40" s="10" t="s">
        <v>767</v>
      </c>
      <c r="B40" s="334" t="s">
        <v>936</v>
      </c>
      <c r="C40" s="313">
        <v>0</v>
      </c>
      <c r="D40" s="92">
        <v>-7.5780000000000003</v>
      </c>
      <c r="E40" s="93">
        <v>-0.51600000000000001</v>
      </c>
      <c r="F40" s="94">
        <v>-4.2999999999999997E-2</v>
      </c>
      <c r="G40" s="29" t="s">
        <v>840</v>
      </c>
      <c r="H40" s="30" t="s">
        <v>840</v>
      </c>
      <c r="I40" s="30" t="s">
        <v>840</v>
      </c>
      <c r="J40" s="26">
        <v>0.48</v>
      </c>
      <c r="K40" s="28"/>
    </row>
    <row r="41" spans="1:11" ht="32.85" customHeight="1" x14ac:dyDescent="0.2">
      <c r="A41" s="10" t="s">
        <v>768</v>
      </c>
      <c r="B41" s="334" t="s">
        <v>840</v>
      </c>
      <c r="C41" s="313">
        <v>0</v>
      </c>
      <c r="D41" s="92">
        <v>-7.5780000000000003</v>
      </c>
      <c r="E41" s="93">
        <v>-0.51600000000000001</v>
      </c>
      <c r="F41" s="94">
        <v>-4.2999999999999997E-2</v>
      </c>
      <c r="G41" s="29" t="s">
        <v>840</v>
      </c>
      <c r="H41" s="30" t="s">
        <v>840</v>
      </c>
      <c r="I41" s="30" t="s">
        <v>840</v>
      </c>
      <c r="J41" s="27" t="s">
        <v>840</v>
      </c>
      <c r="K41" s="28"/>
    </row>
    <row r="42" spans="1:11" ht="32.85" customHeight="1" x14ac:dyDescent="0.2">
      <c r="A42" s="10" t="s">
        <v>769</v>
      </c>
      <c r="B42" s="334" t="s">
        <v>840</v>
      </c>
      <c r="C42" s="313">
        <v>0</v>
      </c>
      <c r="D42" s="92">
        <v>-6.2629999999999999</v>
      </c>
      <c r="E42" s="93">
        <v>-0.436</v>
      </c>
      <c r="F42" s="94">
        <v>-3.2000000000000001E-2</v>
      </c>
      <c r="G42" s="29" t="s">
        <v>840</v>
      </c>
      <c r="H42" s="30" t="s">
        <v>840</v>
      </c>
      <c r="I42" s="30" t="s">
        <v>840</v>
      </c>
      <c r="J42" s="26">
        <v>0.38200000000000001</v>
      </c>
      <c r="K42" s="28"/>
    </row>
    <row r="43" spans="1:11" ht="32.85" customHeight="1" x14ac:dyDescent="0.2">
      <c r="A43" s="10" t="s">
        <v>770</v>
      </c>
      <c r="B43" s="334" t="s">
        <v>840</v>
      </c>
      <c r="C43" s="313">
        <v>0</v>
      </c>
      <c r="D43" s="92">
        <v>-6.2629999999999999</v>
      </c>
      <c r="E43" s="93">
        <v>-0.436</v>
      </c>
      <c r="F43" s="94">
        <v>-3.2000000000000001E-2</v>
      </c>
      <c r="G43" s="29" t="s">
        <v>840</v>
      </c>
      <c r="H43" s="30" t="s">
        <v>840</v>
      </c>
      <c r="I43" s="30" t="s">
        <v>840</v>
      </c>
      <c r="J43" s="27" t="s">
        <v>840</v>
      </c>
      <c r="K43" s="28"/>
    </row>
    <row r="44" spans="1:11" ht="32.85" customHeight="1" x14ac:dyDescent="0.2">
      <c r="A44" s="10" t="s">
        <v>771</v>
      </c>
      <c r="B44" s="334" t="s">
        <v>937</v>
      </c>
      <c r="C44" s="313">
        <v>0</v>
      </c>
      <c r="D44" s="92">
        <v>-4.0940000000000003</v>
      </c>
      <c r="E44" s="93">
        <v>-0.313</v>
      </c>
      <c r="F44" s="94">
        <v>-0.01</v>
      </c>
      <c r="G44" s="29">
        <v>8.5500000000000007</v>
      </c>
      <c r="H44" s="30" t="s">
        <v>840</v>
      </c>
      <c r="I44" s="30" t="s">
        <v>840</v>
      </c>
      <c r="J44" s="26">
        <v>0.33800000000000002</v>
      </c>
      <c r="K44" s="28"/>
    </row>
    <row r="45" spans="1:11" ht="32.85" customHeight="1" x14ac:dyDescent="0.2">
      <c r="A45" s="10" t="s">
        <v>772</v>
      </c>
      <c r="B45" s="334" t="s">
        <v>840</v>
      </c>
      <c r="C45" s="313">
        <v>0</v>
      </c>
      <c r="D45" s="92">
        <v>-4.0940000000000003</v>
      </c>
      <c r="E45" s="93">
        <v>-0.313</v>
      </c>
      <c r="F45" s="94">
        <v>-0.01</v>
      </c>
      <c r="G45" s="29">
        <v>8.5500000000000007</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charges_C'; based on connection level, credits may therefore be lower than stated above.</v>
      </c>
    </row>
    <row r="47" spans="1:11" ht="27.75" customHeight="1" x14ac:dyDescent="0.2">
      <c r="A47" s="332" t="s">
        <v>518</v>
      </c>
    </row>
  </sheetData>
  <mergeCells count="16">
    <mergeCell ref="N4:T5"/>
    <mergeCell ref="C5:D5"/>
    <mergeCell ref="G5:H5"/>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444205A9-D5A9-47CC-BEE6-1E2B016AF6FE}"/>
    <hyperlink ref="A47" location="'Annex 4 LDNO charges_C'!A1" display="Annex 4 LDNO charges_C" xr:uid="{4F76C063-DE26-49D4-8CDB-D5B4BB814566}"/>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1"/>
      <c r="C1" s="41"/>
      <c r="D1" s="41"/>
      <c r="E1" s="370" t="s">
        <v>466</v>
      </c>
      <c r="F1" s="370"/>
      <c r="G1" s="370"/>
      <c r="H1" s="370"/>
      <c r="I1" s="370"/>
      <c r="J1" s="370"/>
      <c r="K1" s="370"/>
      <c r="L1" s="243"/>
      <c r="M1" s="342"/>
      <c r="N1" s="243"/>
      <c r="O1" s="243"/>
    </row>
    <row r="2" spans="1:15" ht="27" customHeight="1" x14ac:dyDescent="0.2">
      <c r="A2" s="371" t="str">
        <f>Overview!B4&amp;" - Effective from "&amp;TEXT(Overview!$D$4,"d mmmm yyyy")&amp;" - Final LV and HV charges in SP Manweb Area (GSP Group _D)"</f>
        <v>Leep Electricity Networks Limited - Effective from 1 April 2026 - Final LV and HV charges in SP Manweb Area (GSP Group _D)</v>
      </c>
      <c r="B2" s="371"/>
      <c r="C2" s="371"/>
      <c r="D2" s="371"/>
      <c r="E2" s="371"/>
      <c r="F2" s="371"/>
      <c r="G2" s="371"/>
      <c r="H2" s="371"/>
      <c r="I2" s="371"/>
      <c r="J2" s="371"/>
      <c r="K2" s="371"/>
    </row>
    <row r="3" spans="1:15" s="41" customFormat="1" ht="15" customHeight="1" x14ac:dyDescent="0.2">
      <c r="A3" s="46"/>
      <c r="B3" s="46"/>
      <c r="C3" s="46"/>
      <c r="D3" s="46"/>
      <c r="E3" s="46"/>
      <c r="F3" s="46"/>
      <c r="G3" s="46"/>
      <c r="H3" s="46"/>
      <c r="I3" s="46"/>
      <c r="J3" s="46"/>
      <c r="K3" s="46"/>
      <c r="L3" s="100"/>
      <c r="M3" s="344"/>
    </row>
    <row r="4" spans="1:15" ht="27" customHeight="1" x14ac:dyDescent="0.2">
      <c r="A4" s="382" t="s">
        <v>308</v>
      </c>
      <c r="B4" s="383"/>
      <c r="C4" s="383"/>
      <c r="D4" s="383"/>
      <c r="E4" s="384"/>
      <c r="F4" s="46"/>
      <c r="G4" s="382" t="s">
        <v>307</v>
      </c>
      <c r="H4" s="383"/>
      <c r="I4" s="383"/>
      <c r="J4" s="383"/>
      <c r="K4" s="384"/>
    </row>
    <row r="5" spans="1:15" ht="28.5" customHeight="1" x14ac:dyDescent="0.2">
      <c r="A5" s="40" t="s">
        <v>13</v>
      </c>
      <c r="B5" s="258" t="s">
        <v>299</v>
      </c>
      <c r="C5" s="366" t="s">
        <v>300</v>
      </c>
      <c r="D5" s="367"/>
      <c r="E5" s="42" t="s">
        <v>301</v>
      </c>
      <c r="F5" s="46"/>
      <c r="G5" s="368"/>
      <c r="H5" s="369"/>
      <c r="I5" s="44" t="s">
        <v>305</v>
      </c>
      <c r="J5" s="45" t="s">
        <v>306</v>
      </c>
      <c r="K5" s="42" t="s">
        <v>301</v>
      </c>
      <c r="L5" s="46"/>
      <c r="N5" s="3"/>
    </row>
    <row r="6" spans="1:15" ht="65.25" customHeight="1" x14ac:dyDescent="0.2">
      <c r="A6" s="316" t="s">
        <v>837</v>
      </c>
      <c r="B6" s="13" t="s">
        <v>2092</v>
      </c>
      <c r="C6" s="389" t="s">
        <v>2093</v>
      </c>
      <c r="D6" s="391"/>
      <c r="E6" s="13" t="s">
        <v>2094</v>
      </c>
      <c r="F6" s="46" t="s">
        <v>840</v>
      </c>
      <c r="G6" s="380" t="s">
        <v>302</v>
      </c>
      <c r="H6" s="381"/>
      <c r="I6" s="119" t="s">
        <v>840</v>
      </c>
      <c r="J6" s="13" t="s">
        <v>2095</v>
      </c>
      <c r="K6" s="250" t="s">
        <v>2094</v>
      </c>
      <c r="L6" s="46"/>
      <c r="N6" s="3"/>
    </row>
    <row r="7" spans="1:15" ht="65.25" customHeight="1" x14ac:dyDescent="0.2">
      <c r="A7" s="43" t="s">
        <v>841</v>
      </c>
      <c r="B7" s="252" t="s">
        <v>840</v>
      </c>
      <c r="C7" s="389" t="s">
        <v>2096</v>
      </c>
      <c r="D7" s="391"/>
      <c r="E7" s="13" t="s">
        <v>2097</v>
      </c>
      <c r="F7" s="46" t="s">
        <v>840</v>
      </c>
      <c r="G7" s="380" t="s">
        <v>303</v>
      </c>
      <c r="H7" s="381"/>
      <c r="I7" s="13" t="s">
        <v>2092</v>
      </c>
      <c r="J7" s="250" t="s">
        <v>2093</v>
      </c>
      <c r="K7" s="97" t="s">
        <v>2094</v>
      </c>
      <c r="L7" s="46"/>
      <c r="N7" s="3"/>
    </row>
    <row r="8" spans="1:15" ht="65.25" customHeight="1" x14ac:dyDescent="0.2">
      <c r="A8" s="259" t="s">
        <v>14</v>
      </c>
      <c r="B8" s="402" t="s">
        <v>15</v>
      </c>
      <c r="C8" s="403"/>
      <c r="D8" s="403"/>
      <c r="E8" s="404"/>
      <c r="F8" s="46" t="s">
        <v>840</v>
      </c>
      <c r="G8" s="380" t="s">
        <v>2091</v>
      </c>
      <c r="H8" s="381"/>
      <c r="I8" s="311" t="s">
        <v>2098</v>
      </c>
      <c r="J8" s="250" t="s">
        <v>2095</v>
      </c>
      <c r="K8" s="97" t="s">
        <v>2094</v>
      </c>
      <c r="L8" s="46"/>
      <c r="N8" s="3"/>
    </row>
    <row r="9" spans="1:15" s="41" customFormat="1" ht="65.25" customHeight="1" x14ac:dyDescent="0.2">
      <c r="A9" s="41" t="s">
        <v>840</v>
      </c>
      <c r="B9" s="41" t="s">
        <v>840</v>
      </c>
      <c r="C9" s="41" t="s">
        <v>840</v>
      </c>
      <c r="D9" s="41" t="s">
        <v>840</v>
      </c>
      <c r="E9" s="41" t="s">
        <v>840</v>
      </c>
      <c r="F9" s="46" t="s">
        <v>840</v>
      </c>
      <c r="G9" s="380" t="s">
        <v>2074</v>
      </c>
      <c r="H9" s="381"/>
      <c r="I9" s="252" t="s">
        <v>840</v>
      </c>
      <c r="J9" s="97" t="s">
        <v>2096</v>
      </c>
      <c r="K9" s="13" t="s">
        <v>2099</v>
      </c>
      <c r="L9" s="46"/>
      <c r="M9" s="344"/>
      <c r="N9" s="31"/>
    </row>
    <row r="10" spans="1:15" s="41" customFormat="1" ht="36" customHeight="1" x14ac:dyDescent="0.2">
      <c r="A10" s="46" t="s">
        <v>840</v>
      </c>
      <c r="B10" s="46" t="s">
        <v>840</v>
      </c>
      <c r="C10" s="46" t="s">
        <v>840</v>
      </c>
      <c r="D10" s="46" t="s">
        <v>840</v>
      </c>
      <c r="E10" s="46" t="s">
        <v>840</v>
      </c>
      <c r="F10" s="46" t="s">
        <v>840</v>
      </c>
      <c r="G10" s="400" t="s">
        <v>14</v>
      </c>
      <c r="H10" s="401"/>
      <c r="I10" s="402" t="s">
        <v>15</v>
      </c>
      <c r="J10" s="403"/>
      <c r="K10" s="404"/>
      <c r="L10" s="46"/>
      <c r="M10" s="344"/>
      <c r="N10" s="31"/>
    </row>
    <row r="11" spans="1:15" s="41" customFormat="1" ht="13.5" customHeight="1" x14ac:dyDescent="0.2">
      <c r="A11" s="46"/>
      <c r="B11" s="46"/>
      <c r="C11" s="46"/>
      <c r="D11" s="46"/>
      <c r="E11" s="46"/>
      <c r="F11" s="46"/>
      <c r="G11" s="49"/>
      <c r="H11" s="49"/>
      <c r="I11" s="50"/>
      <c r="J11" s="50"/>
      <c r="K11" s="50"/>
      <c r="L11" s="46"/>
      <c r="M11" s="344"/>
      <c r="N11" s="31"/>
    </row>
    <row r="12" spans="1:15" s="41" customFormat="1" ht="13.5" customHeight="1" x14ac:dyDescent="0.2">
      <c r="A12" s="46"/>
      <c r="B12" s="46"/>
      <c r="C12" s="46"/>
      <c r="D12" s="46"/>
      <c r="E12" s="46"/>
      <c r="F12" s="46"/>
      <c r="G12" s="46"/>
      <c r="H12" s="46"/>
      <c r="I12" s="46"/>
      <c r="J12" s="46"/>
      <c r="K12" s="46"/>
      <c r="L12" s="100"/>
      <c r="M12" s="344"/>
    </row>
    <row r="13" spans="1:15" s="41" customFormat="1" ht="72" customHeight="1" x14ac:dyDescent="0.2">
      <c r="A13" s="19" t="s">
        <v>458</v>
      </c>
      <c r="B13" s="16" t="s">
        <v>23</v>
      </c>
      <c r="C13" s="16" t="s">
        <v>24</v>
      </c>
      <c r="D13" s="128" t="s">
        <v>577</v>
      </c>
      <c r="E13" s="128" t="s">
        <v>578</v>
      </c>
      <c r="F13" s="128" t="s">
        <v>579</v>
      </c>
      <c r="G13" s="16" t="s">
        <v>25</v>
      </c>
      <c r="H13" s="16" t="s">
        <v>26</v>
      </c>
      <c r="I13" s="19" t="s">
        <v>459</v>
      </c>
      <c r="J13" s="16" t="s">
        <v>270</v>
      </c>
      <c r="K13" s="16" t="s">
        <v>0</v>
      </c>
      <c r="L13" s="99"/>
      <c r="M13" s="343"/>
    </row>
    <row r="14" spans="1:15" ht="39.950000000000003" customHeight="1" x14ac:dyDescent="0.2">
      <c r="A14" s="10" t="s">
        <v>773</v>
      </c>
      <c r="B14" s="334" t="s">
        <v>938</v>
      </c>
      <c r="C14" s="313" t="s">
        <v>845</v>
      </c>
      <c r="D14" s="92">
        <v>15.388999999999999</v>
      </c>
      <c r="E14" s="93">
        <v>3.36</v>
      </c>
      <c r="F14" s="94">
        <v>0.48399999999999999</v>
      </c>
      <c r="G14" s="29">
        <v>23.5</v>
      </c>
      <c r="H14" s="30" t="s">
        <v>840</v>
      </c>
      <c r="I14" s="30" t="s">
        <v>840</v>
      </c>
      <c r="J14" s="27" t="s">
        <v>840</v>
      </c>
      <c r="K14" s="28"/>
    </row>
    <row r="15" spans="1:15" ht="32.85" customHeight="1" x14ac:dyDescent="0.2">
      <c r="A15" s="10" t="s">
        <v>594</v>
      </c>
      <c r="B15" s="334" t="s">
        <v>840</v>
      </c>
      <c r="C15" s="313" t="s">
        <v>2075</v>
      </c>
      <c r="D15" s="92">
        <v>15.388999999999999</v>
      </c>
      <c r="E15" s="93">
        <v>3.36</v>
      </c>
      <c r="F15" s="94">
        <v>0.48399999999999999</v>
      </c>
      <c r="G15" s="30" t="s">
        <v>840</v>
      </c>
      <c r="H15" s="30" t="s">
        <v>840</v>
      </c>
      <c r="I15" s="30" t="s">
        <v>840</v>
      </c>
      <c r="J15" s="27" t="s">
        <v>840</v>
      </c>
      <c r="K15" s="28"/>
    </row>
    <row r="16" spans="1:15" ht="32.85" customHeight="1" x14ac:dyDescent="0.2">
      <c r="A16" s="10" t="s">
        <v>774</v>
      </c>
      <c r="B16" s="334" t="s">
        <v>939</v>
      </c>
      <c r="C16" s="313" t="s">
        <v>846</v>
      </c>
      <c r="D16" s="92">
        <v>16.454999999999998</v>
      </c>
      <c r="E16" s="93">
        <v>3.5920000000000001</v>
      </c>
      <c r="F16" s="94">
        <v>0.51800000000000002</v>
      </c>
      <c r="G16" s="29">
        <v>7.3</v>
      </c>
      <c r="H16" s="30" t="s">
        <v>840</v>
      </c>
      <c r="I16" s="30" t="s">
        <v>840</v>
      </c>
      <c r="J16" s="27" t="s">
        <v>840</v>
      </c>
      <c r="K16" s="28"/>
    </row>
    <row r="17" spans="1:11" ht="39.950000000000003" customHeight="1" x14ac:dyDescent="0.2">
      <c r="A17" s="10" t="s">
        <v>775</v>
      </c>
      <c r="B17" s="334" t="s">
        <v>940</v>
      </c>
      <c r="C17" s="313" t="s">
        <v>846</v>
      </c>
      <c r="D17" s="92">
        <v>16.454999999999998</v>
      </c>
      <c r="E17" s="93">
        <v>3.5920000000000001</v>
      </c>
      <c r="F17" s="94">
        <v>0.51800000000000002</v>
      </c>
      <c r="G17" s="29">
        <v>26.74</v>
      </c>
      <c r="H17" s="30" t="s">
        <v>840</v>
      </c>
      <c r="I17" s="30" t="s">
        <v>840</v>
      </c>
      <c r="J17" s="27" t="s">
        <v>840</v>
      </c>
      <c r="K17" s="28"/>
    </row>
    <row r="18" spans="1:11" ht="39.950000000000003" customHeight="1" x14ac:dyDescent="0.2">
      <c r="A18" s="10" t="s">
        <v>776</v>
      </c>
      <c r="B18" s="334" t="s">
        <v>941</v>
      </c>
      <c r="C18" s="313" t="s">
        <v>846</v>
      </c>
      <c r="D18" s="92">
        <v>16.454999999999998</v>
      </c>
      <c r="E18" s="93">
        <v>3.5920000000000001</v>
      </c>
      <c r="F18" s="94">
        <v>0.51800000000000002</v>
      </c>
      <c r="G18" s="29">
        <v>49.76</v>
      </c>
      <c r="H18" s="30" t="s">
        <v>840</v>
      </c>
      <c r="I18" s="30" t="s">
        <v>840</v>
      </c>
      <c r="J18" s="27" t="s">
        <v>840</v>
      </c>
      <c r="K18" s="28"/>
    </row>
    <row r="19" spans="1:11" ht="39.950000000000003" customHeight="1" x14ac:dyDescent="0.2">
      <c r="A19" s="10" t="s">
        <v>777</v>
      </c>
      <c r="B19" s="334" t="s">
        <v>942</v>
      </c>
      <c r="C19" s="313" t="s">
        <v>846</v>
      </c>
      <c r="D19" s="92">
        <v>16.454999999999998</v>
      </c>
      <c r="E19" s="93">
        <v>3.5920000000000001</v>
      </c>
      <c r="F19" s="94">
        <v>0.51800000000000002</v>
      </c>
      <c r="G19" s="29">
        <v>97.89</v>
      </c>
      <c r="H19" s="30" t="s">
        <v>840</v>
      </c>
      <c r="I19" s="30" t="s">
        <v>840</v>
      </c>
      <c r="J19" s="27" t="s">
        <v>840</v>
      </c>
      <c r="K19" s="28"/>
    </row>
    <row r="20" spans="1:11" ht="39.950000000000003" customHeight="1" x14ac:dyDescent="0.2">
      <c r="A20" s="10" t="s">
        <v>778</v>
      </c>
      <c r="B20" s="334" t="s">
        <v>943</v>
      </c>
      <c r="C20" s="313" t="s">
        <v>846</v>
      </c>
      <c r="D20" s="92">
        <v>16.454999999999998</v>
      </c>
      <c r="E20" s="93">
        <v>3.5920000000000001</v>
      </c>
      <c r="F20" s="94">
        <v>0.51800000000000002</v>
      </c>
      <c r="G20" s="29">
        <v>270.24</v>
      </c>
      <c r="H20" s="30" t="s">
        <v>840</v>
      </c>
      <c r="I20" s="30" t="s">
        <v>840</v>
      </c>
      <c r="J20" s="27" t="s">
        <v>840</v>
      </c>
      <c r="K20" s="28"/>
    </row>
    <row r="21" spans="1:11" ht="32.85" customHeight="1" x14ac:dyDescent="0.2">
      <c r="A21" s="10" t="s">
        <v>575</v>
      </c>
      <c r="B21" s="334" t="s">
        <v>840</v>
      </c>
      <c r="C21" s="313" t="s">
        <v>2076</v>
      </c>
      <c r="D21" s="92">
        <v>16.454999999999998</v>
      </c>
      <c r="E21" s="93">
        <v>3.5920000000000001</v>
      </c>
      <c r="F21" s="94">
        <v>0.51800000000000002</v>
      </c>
      <c r="G21" s="30" t="s">
        <v>840</v>
      </c>
      <c r="H21" s="30" t="s">
        <v>840</v>
      </c>
      <c r="I21" s="30" t="s">
        <v>840</v>
      </c>
      <c r="J21" s="27" t="s">
        <v>840</v>
      </c>
      <c r="K21" s="28"/>
    </row>
    <row r="22" spans="1:11" ht="32.85" customHeight="1" x14ac:dyDescent="0.2">
      <c r="A22" s="10" t="s">
        <v>595</v>
      </c>
      <c r="B22" s="334" t="s">
        <v>944</v>
      </c>
      <c r="C22" s="313">
        <v>0</v>
      </c>
      <c r="D22" s="92">
        <v>11.785</v>
      </c>
      <c r="E22" s="93">
        <v>2.3010000000000002</v>
      </c>
      <c r="F22" s="94">
        <v>0.315</v>
      </c>
      <c r="G22" s="29">
        <v>24.41</v>
      </c>
      <c r="H22" s="29">
        <v>6.87</v>
      </c>
      <c r="I22" s="91">
        <v>6.87</v>
      </c>
      <c r="J22" s="26">
        <v>0.628</v>
      </c>
      <c r="K22" s="28"/>
    </row>
    <row r="23" spans="1:11" ht="32.85" customHeight="1" x14ac:dyDescent="0.2">
      <c r="A23" s="10" t="s">
        <v>596</v>
      </c>
      <c r="B23" s="334" t="s">
        <v>945</v>
      </c>
      <c r="C23" s="313">
        <v>0</v>
      </c>
      <c r="D23" s="92">
        <v>11.785</v>
      </c>
      <c r="E23" s="93">
        <v>2.3010000000000002</v>
      </c>
      <c r="F23" s="94">
        <v>0.315</v>
      </c>
      <c r="G23" s="29">
        <v>547.49</v>
      </c>
      <c r="H23" s="29">
        <v>6.87</v>
      </c>
      <c r="I23" s="91">
        <v>6.87</v>
      </c>
      <c r="J23" s="26">
        <v>0.628</v>
      </c>
      <c r="K23" s="28"/>
    </row>
    <row r="24" spans="1:11" ht="32.85" customHeight="1" x14ac:dyDescent="0.2">
      <c r="A24" s="10" t="s">
        <v>597</v>
      </c>
      <c r="B24" s="334" t="s">
        <v>946</v>
      </c>
      <c r="C24" s="313">
        <v>0</v>
      </c>
      <c r="D24" s="92">
        <v>11.785</v>
      </c>
      <c r="E24" s="93">
        <v>2.3010000000000002</v>
      </c>
      <c r="F24" s="94">
        <v>0.315</v>
      </c>
      <c r="G24" s="29">
        <v>1021.63</v>
      </c>
      <c r="H24" s="29">
        <v>6.87</v>
      </c>
      <c r="I24" s="91">
        <v>6.87</v>
      </c>
      <c r="J24" s="26">
        <v>0.628</v>
      </c>
      <c r="K24" s="28"/>
    </row>
    <row r="25" spans="1:11" ht="32.85" customHeight="1" x14ac:dyDescent="0.2">
      <c r="A25" s="10" t="s">
        <v>598</v>
      </c>
      <c r="B25" s="334" t="s">
        <v>947</v>
      </c>
      <c r="C25" s="313">
        <v>0</v>
      </c>
      <c r="D25" s="92">
        <v>11.785</v>
      </c>
      <c r="E25" s="93">
        <v>2.3010000000000002</v>
      </c>
      <c r="F25" s="94">
        <v>0.315</v>
      </c>
      <c r="G25" s="29">
        <v>1572.65</v>
      </c>
      <c r="H25" s="29">
        <v>6.87</v>
      </c>
      <c r="I25" s="91">
        <v>6.87</v>
      </c>
      <c r="J25" s="26">
        <v>0.628</v>
      </c>
      <c r="K25" s="28"/>
    </row>
    <row r="26" spans="1:11" ht="32.85" customHeight="1" x14ac:dyDescent="0.2">
      <c r="A26" s="10" t="s">
        <v>599</v>
      </c>
      <c r="B26" s="334" t="s">
        <v>948</v>
      </c>
      <c r="C26" s="313">
        <v>0</v>
      </c>
      <c r="D26" s="92">
        <v>11.785</v>
      </c>
      <c r="E26" s="93">
        <v>2.3010000000000002</v>
      </c>
      <c r="F26" s="94">
        <v>0.315</v>
      </c>
      <c r="G26" s="29">
        <v>3592.14</v>
      </c>
      <c r="H26" s="29">
        <v>6.87</v>
      </c>
      <c r="I26" s="91">
        <v>6.87</v>
      </c>
      <c r="J26" s="26">
        <v>0.628</v>
      </c>
      <c r="K26" s="28"/>
    </row>
    <row r="27" spans="1:11" ht="32.85" customHeight="1" x14ac:dyDescent="0.2">
      <c r="A27" s="10" t="s">
        <v>600</v>
      </c>
      <c r="B27" s="334" t="s">
        <v>949</v>
      </c>
      <c r="C27" s="313">
        <v>0</v>
      </c>
      <c r="D27" s="92">
        <v>9.0679999999999996</v>
      </c>
      <c r="E27" s="93">
        <v>1.3759999999999999</v>
      </c>
      <c r="F27" s="94">
        <v>0.16200000000000001</v>
      </c>
      <c r="G27" s="29">
        <v>8.61</v>
      </c>
      <c r="H27" s="29">
        <v>10.76</v>
      </c>
      <c r="I27" s="91">
        <v>10.76</v>
      </c>
      <c r="J27" s="26">
        <v>0.34699999999999998</v>
      </c>
      <c r="K27" s="28"/>
    </row>
    <row r="28" spans="1:11" ht="32.85" customHeight="1" x14ac:dyDescent="0.2">
      <c r="A28" s="10" t="s">
        <v>601</v>
      </c>
      <c r="B28" s="334" t="s">
        <v>950</v>
      </c>
      <c r="C28" s="313">
        <v>0</v>
      </c>
      <c r="D28" s="92">
        <v>9.0679999999999996</v>
      </c>
      <c r="E28" s="93">
        <v>1.3759999999999999</v>
      </c>
      <c r="F28" s="94">
        <v>0.16200000000000001</v>
      </c>
      <c r="G28" s="29">
        <v>531.70000000000005</v>
      </c>
      <c r="H28" s="29">
        <v>10.76</v>
      </c>
      <c r="I28" s="91">
        <v>10.76</v>
      </c>
      <c r="J28" s="26">
        <v>0.34699999999999998</v>
      </c>
      <c r="K28" s="28"/>
    </row>
    <row r="29" spans="1:11" ht="32.85" customHeight="1" x14ac:dyDescent="0.2">
      <c r="A29" s="10" t="s">
        <v>602</v>
      </c>
      <c r="B29" s="334" t="s">
        <v>951</v>
      </c>
      <c r="C29" s="313">
        <v>0</v>
      </c>
      <c r="D29" s="92">
        <v>9.0679999999999996</v>
      </c>
      <c r="E29" s="93">
        <v>1.3759999999999999</v>
      </c>
      <c r="F29" s="94">
        <v>0.16200000000000001</v>
      </c>
      <c r="G29" s="29">
        <v>1005.83</v>
      </c>
      <c r="H29" s="29">
        <v>10.76</v>
      </c>
      <c r="I29" s="91">
        <v>10.76</v>
      </c>
      <c r="J29" s="26">
        <v>0.34699999999999998</v>
      </c>
      <c r="K29" s="28"/>
    </row>
    <row r="30" spans="1:11" ht="32.85" customHeight="1" x14ac:dyDescent="0.2">
      <c r="A30" s="10" t="s">
        <v>603</v>
      </c>
      <c r="B30" s="334" t="s">
        <v>952</v>
      </c>
      <c r="C30" s="313">
        <v>0</v>
      </c>
      <c r="D30" s="92">
        <v>9.0679999999999996</v>
      </c>
      <c r="E30" s="93">
        <v>1.3759999999999999</v>
      </c>
      <c r="F30" s="94">
        <v>0.16200000000000001</v>
      </c>
      <c r="G30" s="29">
        <v>1556.86</v>
      </c>
      <c r="H30" s="29">
        <v>10.76</v>
      </c>
      <c r="I30" s="91">
        <v>10.76</v>
      </c>
      <c r="J30" s="26">
        <v>0.34699999999999998</v>
      </c>
      <c r="K30" s="28"/>
    </row>
    <row r="31" spans="1:11" ht="32.85" customHeight="1" x14ac:dyDescent="0.2">
      <c r="A31" s="10" t="s">
        <v>604</v>
      </c>
      <c r="B31" s="334" t="s">
        <v>953</v>
      </c>
      <c r="C31" s="313">
        <v>0</v>
      </c>
      <c r="D31" s="92">
        <v>9.0679999999999996</v>
      </c>
      <c r="E31" s="93">
        <v>1.3759999999999999</v>
      </c>
      <c r="F31" s="94">
        <v>0.16200000000000001</v>
      </c>
      <c r="G31" s="29">
        <v>3576.35</v>
      </c>
      <c r="H31" s="29">
        <v>10.76</v>
      </c>
      <c r="I31" s="91">
        <v>10.76</v>
      </c>
      <c r="J31" s="26">
        <v>0.34699999999999998</v>
      </c>
      <c r="K31" s="28"/>
    </row>
    <row r="32" spans="1:11" ht="32.85" customHeight="1" x14ac:dyDescent="0.2">
      <c r="A32" s="10" t="s">
        <v>605</v>
      </c>
      <c r="B32" s="334" t="s">
        <v>954</v>
      </c>
      <c r="C32" s="313">
        <v>0</v>
      </c>
      <c r="D32" s="92">
        <v>7.1509999999999998</v>
      </c>
      <c r="E32" s="93">
        <v>0.97399999999999998</v>
      </c>
      <c r="F32" s="94">
        <v>0.10199999999999999</v>
      </c>
      <c r="G32" s="29">
        <v>130.43</v>
      </c>
      <c r="H32" s="29">
        <v>10</v>
      </c>
      <c r="I32" s="91">
        <v>10</v>
      </c>
      <c r="J32" s="26">
        <v>0.24099999999999999</v>
      </c>
      <c r="K32" s="28"/>
    </row>
    <row r="33" spans="1:11" ht="32.85" customHeight="1" x14ac:dyDescent="0.2">
      <c r="A33" s="10" t="s">
        <v>606</v>
      </c>
      <c r="B33" s="334" t="s">
        <v>955</v>
      </c>
      <c r="C33" s="313">
        <v>0</v>
      </c>
      <c r="D33" s="92">
        <v>7.1509999999999998</v>
      </c>
      <c r="E33" s="93">
        <v>0.97399999999999998</v>
      </c>
      <c r="F33" s="94">
        <v>0.10199999999999999</v>
      </c>
      <c r="G33" s="29">
        <v>2890.46</v>
      </c>
      <c r="H33" s="29">
        <v>10</v>
      </c>
      <c r="I33" s="91">
        <v>10</v>
      </c>
      <c r="J33" s="26">
        <v>0.24099999999999999</v>
      </c>
      <c r="K33" s="28"/>
    </row>
    <row r="34" spans="1:11" ht="32.85" customHeight="1" x14ac:dyDescent="0.2">
      <c r="A34" s="10" t="s">
        <v>607</v>
      </c>
      <c r="B34" s="334" t="s">
        <v>956</v>
      </c>
      <c r="C34" s="313">
        <v>0</v>
      </c>
      <c r="D34" s="92">
        <v>7.1509999999999998</v>
      </c>
      <c r="E34" s="93">
        <v>0.97399999999999998</v>
      </c>
      <c r="F34" s="94">
        <v>0.10199999999999999</v>
      </c>
      <c r="G34" s="29">
        <v>8585.39</v>
      </c>
      <c r="H34" s="29">
        <v>10</v>
      </c>
      <c r="I34" s="91">
        <v>10</v>
      </c>
      <c r="J34" s="26">
        <v>0.24099999999999999</v>
      </c>
      <c r="K34" s="28"/>
    </row>
    <row r="35" spans="1:11" ht="32.85" customHeight="1" x14ac:dyDescent="0.2">
      <c r="A35" s="10" t="s">
        <v>608</v>
      </c>
      <c r="B35" s="334" t="s">
        <v>957</v>
      </c>
      <c r="C35" s="313">
        <v>0</v>
      </c>
      <c r="D35" s="92">
        <v>7.1509999999999998</v>
      </c>
      <c r="E35" s="93">
        <v>0.97399999999999998</v>
      </c>
      <c r="F35" s="94">
        <v>0.10199999999999999</v>
      </c>
      <c r="G35" s="29">
        <v>18470.93</v>
      </c>
      <c r="H35" s="29">
        <v>10</v>
      </c>
      <c r="I35" s="91">
        <v>10</v>
      </c>
      <c r="J35" s="26">
        <v>0.24099999999999999</v>
      </c>
      <c r="K35" s="28"/>
    </row>
    <row r="36" spans="1:11" ht="32.85" customHeight="1" x14ac:dyDescent="0.2">
      <c r="A36" s="10" t="s">
        <v>609</v>
      </c>
      <c r="B36" s="334" t="s">
        <v>958</v>
      </c>
      <c r="C36" s="313">
        <v>0</v>
      </c>
      <c r="D36" s="92">
        <v>7.1509999999999998</v>
      </c>
      <c r="E36" s="93">
        <v>0.97399999999999998</v>
      </c>
      <c r="F36" s="94">
        <v>0.10199999999999999</v>
      </c>
      <c r="G36" s="29">
        <v>33825.46</v>
      </c>
      <c r="H36" s="29">
        <v>10</v>
      </c>
      <c r="I36" s="91">
        <v>10</v>
      </c>
      <c r="J36" s="26">
        <v>0.24099999999999999</v>
      </c>
      <c r="K36" s="28"/>
    </row>
    <row r="37" spans="1:11" ht="32.85" customHeight="1" x14ac:dyDescent="0.2">
      <c r="A37" s="10" t="s">
        <v>576</v>
      </c>
      <c r="B37" s="334" t="s">
        <v>959</v>
      </c>
      <c r="C37" s="313" t="s">
        <v>847</v>
      </c>
      <c r="D37" s="95">
        <v>34.246000000000002</v>
      </c>
      <c r="E37" s="96">
        <v>5.1680000000000001</v>
      </c>
      <c r="F37" s="94">
        <v>2.8570000000000002</v>
      </c>
      <c r="G37" s="30" t="s">
        <v>840</v>
      </c>
      <c r="H37" s="30" t="s">
        <v>840</v>
      </c>
      <c r="I37" s="30" t="s">
        <v>840</v>
      </c>
      <c r="J37" s="27" t="s">
        <v>840</v>
      </c>
      <c r="K37" s="28"/>
    </row>
    <row r="38" spans="1:11" ht="32.85" customHeight="1" x14ac:dyDescent="0.2">
      <c r="A38" s="10" t="s">
        <v>765</v>
      </c>
      <c r="B38" s="334" t="s">
        <v>960</v>
      </c>
      <c r="C38" s="313">
        <v>0</v>
      </c>
      <c r="D38" s="92">
        <v>-10.986000000000001</v>
      </c>
      <c r="E38" s="93">
        <v>-2.3980000000000001</v>
      </c>
      <c r="F38" s="94">
        <v>-0.34599999999999997</v>
      </c>
      <c r="G38" s="29" t="s">
        <v>840</v>
      </c>
      <c r="H38" s="30" t="s">
        <v>840</v>
      </c>
      <c r="I38" s="30" t="s">
        <v>840</v>
      </c>
      <c r="J38" s="27" t="s">
        <v>840</v>
      </c>
      <c r="K38" s="28"/>
    </row>
    <row r="39" spans="1:11" ht="32.85" customHeight="1" x14ac:dyDescent="0.2">
      <c r="A39" s="10" t="s">
        <v>766</v>
      </c>
      <c r="B39" s="334" t="s">
        <v>961</v>
      </c>
      <c r="C39" s="313">
        <v>0</v>
      </c>
      <c r="D39" s="92">
        <v>-9.5470000000000006</v>
      </c>
      <c r="E39" s="93">
        <v>-1.9450000000000001</v>
      </c>
      <c r="F39" s="94">
        <v>-0.27200000000000002</v>
      </c>
      <c r="G39" s="29" t="s">
        <v>840</v>
      </c>
      <c r="H39" s="30" t="s">
        <v>840</v>
      </c>
      <c r="I39" s="30" t="s">
        <v>840</v>
      </c>
      <c r="J39" s="27" t="s">
        <v>840</v>
      </c>
      <c r="K39" s="28"/>
    </row>
    <row r="40" spans="1:11" ht="32.85" customHeight="1" x14ac:dyDescent="0.2">
      <c r="A40" s="10" t="s">
        <v>767</v>
      </c>
      <c r="B40" s="334" t="s">
        <v>962</v>
      </c>
      <c r="C40" s="313">
        <v>0</v>
      </c>
      <c r="D40" s="92">
        <v>-10.986000000000001</v>
      </c>
      <c r="E40" s="93">
        <v>-2.3980000000000001</v>
      </c>
      <c r="F40" s="94">
        <v>-0.34599999999999997</v>
      </c>
      <c r="G40" s="29" t="s">
        <v>840</v>
      </c>
      <c r="H40" s="30" t="s">
        <v>840</v>
      </c>
      <c r="I40" s="30" t="s">
        <v>840</v>
      </c>
      <c r="J40" s="26">
        <v>0.622</v>
      </c>
      <c r="K40" s="28"/>
    </row>
    <row r="41" spans="1:11" ht="32.85" customHeight="1" x14ac:dyDescent="0.2">
      <c r="A41" s="10" t="s">
        <v>768</v>
      </c>
      <c r="B41" s="334" t="s">
        <v>840</v>
      </c>
      <c r="C41" s="313">
        <v>0</v>
      </c>
      <c r="D41" s="92">
        <v>-10.986000000000001</v>
      </c>
      <c r="E41" s="93">
        <v>-2.3980000000000001</v>
      </c>
      <c r="F41" s="94">
        <v>-0.34599999999999997</v>
      </c>
      <c r="G41" s="29" t="s">
        <v>840</v>
      </c>
      <c r="H41" s="30" t="s">
        <v>840</v>
      </c>
      <c r="I41" s="30" t="s">
        <v>840</v>
      </c>
      <c r="J41" s="27" t="s">
        <v>840</v>
      </c>
      <c r="K41" s="28"/>
    </row>
    <row r="42" spans="1:11" ht="32.85" customHeight="1" x14ac:dyDescent="0.2">
      <c r="A42" s="10" t="s">
        <v>769</v>
      </c>
      <c r="B42" s="334" t="s">
        <v>840</v>
      </c>
      <c r="C42" s="313">
        <v>0</v>
      </c>
      <c r="D42" s="92">
        <v>-9.5470000000000006</v>
      </c>
      <c r="E42" s="93">
        <v>-1.9450000000000001</v>
      </c>
      <c r="F42" s="94">
        <v>-0.27200000000000002</v>
      </c>
      <c r="G42" s="29" t="s">
        <v>840</v>
      </c>
      <c r="H42" s="30" t="s">
        <v>840</v>
      </c>
      <c r="I42" s="30" t="s">
        <v>840</v>
      </c>
      <c r="J42" s="26">
        <v>0.53900000000000003</v>
      </c>
      <c r="K42" s="28"/>
    </row>
    <row r="43" spans="1:11" ht="32.85" customHeight="1" x14ac:dyDescent="0.2">
      <c r="A43" s="10" t="s">
        <v>770</v>
      </c>
      <c r="B43" s="334" t="s">
        <v>840</v>
      </c>
      <c r="C43" s="313">
        <v>0</v>
      </c>
      <c r="D43" s="92">
        <v>-9.5470000000000006</v>
      </c>
      <c r="E43" s="93">
        <v>-1.9450000000000001</v>
      </c>
      <c r="F43" s="94">
        <v>-0.27200000000000002</v>
      </c>
      <c r="G43" s="29" t="s">
        <v>840</v>
      </c>
      <c r="H43" s="30" t="s">
        <v>840</v>
      </c>
      <c r="I43" s="30" t="s">
        <v>840</v>
      </c>
      <c r="J43" s="27" t="s">
        <v>840</v>
      </c>
      <c r="K43" s="28"/>
    </row>
    <row r="44" spans="1:11" ht="32.85" customHeight="1" x14ac:dyDescent="0.2">
      <c r="A44" s="10" t="s">
        <v>771</v>
      </c>
      <c r="B44" s="334" t="s">
        <v>963</v>
      </c>
      <c r="C44" s="313">
        <v>0</v>
      </c>
      <c r="D44" s="92">
        <v>-7.2830000000000004</v>
      </c>
      <c r="E44" s="93">
        <v>-1.105</v>
      </c>
      <c r="F44" s="94">
        <v>-0.13</v>
      </c>
      <c r="G44" s="29">
        <v>95.24</v>
      </c>
      <c r="H44" s="30" t="s">
        <v>840</v>
      </c>
      <c r="I44" s="30" t="s">
        <v>840</v>
      </c>
      <c r="J44" s="26">
        <v>0.45100000000000001</v>
      </c>
      <c r="K44" s="28"/>
    </row>
    <row r="45" spans="1:11" ht="32.85" customHeight="1" x14ac:dyDescent="0.2">
      <c r="A45" s="10" t="s">
        <v>772</v>
      </c>
      <c r="B45" s="334" t="s">
        <v>840</v>
      </c>
      <c r="C45" s="313">
        <v>0</v>
      </c>
      <c r="D45" s="92">
        <v>-7.2830000000000004</v>
      </c>
      <c r="E45" s="93">
        <v>-1.105</v>
      </c>
      <c r="F45" s="94">
        <v>-0.13</v>
      </c>
      <c r="G45" s="29">
        <v>95.24</v>
      </c>
      <c r="H45" s="30" t="s">
        <v>840</v>
      </c>
      <c r="I45" s="30" t="s">
        <v>840</v>
      </c>
      <c r="J45" s="27" t="s">
        <v>840</v>
      </c>
      <c r="K45" s="28"/>
    </row>
    <row r="46" spans="1:11" ht="32.85" customHeight="1" x14ac:dyDescent="0.2">
      <c r="A46" s="10" t="s">
        <v>831</v>
      </c>
      <c r="B46" s="334" t="s">
        <v>1227</v>
      </c>
      <c r="C46" s="313">
        <v>0</v>
      </c>
      <c r="D46" s="92">
        <v>1.089</v>
      </c>
      <c r="E46" s="93">
        <v>9.9000000000000005E-2</v>
      </c>
      <c r="F46" s="94">
        <v>2E-3</v>
      </c>
      <c r="G46" s="29">
        <v>42712.836649686993</v>
      </c>
      <c r="H46" s="29">
        <v>4.1100000000000003</v>
      </c>
      <c r="I46" s="91">
        <v>10.37</v>
      </c>
      <c r="J46" s="26">
        <v>3.3000000000000002E-2</v>
      </c>
      <c r="K46" s="28"/>
    </row>
    <row r="47" spans="1:11"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charges_D'; based on connection level, credits may therefore be lower than stated above.</v>
      </c>
    </row>
    <row r="48" spans="1:11" ht="27.75" customHeight="1" x14ac:dyDescent="0.2">
      <c r="A48" s="332" t="s">
        <v>519</v>
      </c>
    </row>
  </sheetData>
  <mergeCells count="15">
    <mergeCell ref="C5:D5"/>
    <mergeCell ref="G5:H5"/>
    <mergeCell ref="E1:K1"/>
    <mergeCell ref="A2:K2"/>
    <mergeCell ref="A4:E4"/>
    <mergeCell ref="G4:K4"/>
    <mergeCell ref="G9:H9"/>
    <mergeCell ref="G10:H10"/>
    <mergeCell ref="I10:K10"/>
    <mergeCell ref="C6:D6"/>
    <mergeCell ref="G6:H6"/>
    <mergeCell ref="C7:D7"/>
    <mergeCell ref="G7:H7"/>
    <mergeCell ref="B8:E8"/>
    <mergeCell ref="G8:H8"/>
  </mergeCells>
  <hyperlinks>
    <hyperlink ref="A1" location="Overview!A1" display="Back to Overview" xr:uid="{E41867FD-129F-45A9-ACB5-EB2422D86497}"/>
    <hyperlink ref="A48" location="'Annex 4 LDNO charges_D'!A1" display="Annex 4 LDNO charges_D" xr:uid="{B333E519-DFCF-4897-BF03-84AF6AFFE5DA}"/>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372"/>
      <c r="C1" s="373"/>
      <c r="D1" s="373"/>
      <c r="E1" s="411" t="s">
        <v>466</v>
      </c>
      <c r="F1" s="411"/>
      <c r="G1" s="411"/>
      <c r="H1" s="411"/>
      <c r="I1" s="411"/>
      <c r="J1" s="411"/>
      <c r="K1" s="411"/>
      <c r="L1" s="243"/>
      <c r="M1" s="342"/>
      <c r="N1" s="244"/>
      <c r="O1" s="243"/>
    </row>
    <row r="2" spans="1:15" ht="41.25" customHeight="1" x14ac:dyDescent="0.2">
      <c r="A2" s="371" t="str">
        <f>Overview!B4&amp;" - Effective from "&amp;TEXT(Overview!$D$4,"d mmmm yyyy")&amp;" - Final LV and HV charges in WPD West Midlands Area (GSP Group _E)"</f>
        <v>Leep Electricity Networks Limited - Effective from 1 April 2026 - Final LV and HV charges in WPD West Midlands Area (GSP Group _E)</v>
      </c>
      <c r="B2" s="371"/>
      <c r="C2" s="371"/>
      <c r="D2" s="371"/>
      <c r="E2" s="371"/>
      <c r="F2" s="371"/>
      <c r="G2" s="371"/>
      <c r="H2" s="371"/>
      <c r="I2" s="371"/>
      <c r="J2" s="371"/>
      <c r="K2" s="371"/>
    </row>
    <row r="3" spans="1:15" s="41" customFormat="1" ht="15" customHeight="1" x14ac:dyDescent="0.2">
      <c r="A3" s="46"/>
      <c r="B3" s="46"/>
      <c r="C3" s="46"/>
      <c r="D3" s="46"/>
      <c r="E3" s="46"/>
      <c r="F3" s="46"/>
      <c r="G3" s="46"/>
      <c r="H3" s="46"/>
      <c r="I3" s="46"/>
      <c r="J3" s="46"/>
      <c r="K3" s="46"/>
      <c r="L3" s="100"/>
      <c r="M3" s="344"/>
    </row>
    <row r="4" spans="1:15" ht="18" customHeight="1" x14ac:dyDescent="0.2">
      <c r="A4" s="371" t="s">
        <v>308</v>
      </c>
      <c r="B4" s="371"/>
      <c r="C4" s="371"/>
      <c r="D4" s="371"/>
      <c r="E4" s="371"/>
      <c r="F4" s="46"/>
      <c r="G4" s="371" t="s">
        <v>307</v>
      </c>
      <c r="H4" s="371"/>
      <c r="I4" s="371"/>
      <c r="J4" s="371"/>
      <c r="K4" s="371"/>
    </row>
    <row r="5" spans="1:15" ht="25.5" x14ac:dyDescent="0.2">
      <c r="A5" s="40" t="s">
        <v>13</v>
      </c>
      <c r="B5" s="258" t="s">
        <v>299</v>
      </c>
      <c r="C5" s="366" t="s">
        <v>300</v>
      </c>
      <c r="D5" s="367"/>
      <c r="E5" s="42" t="s">
        <v>301</v>
      </c>
      <c r="F5" s="46"/>
      <c r="G5" s="368"/>
      <c r="H5" s="369"/>
      <c r="I5" s="44" t="s">
        <v>305</v>
      </c>
      <c r="J5" s="45" t="s">
        <v>306</v>
      </c>
      <c r="K5" s="42" t="s">
        <v>301</v>
      </c>
      <c r="L5" s="46"/>
      <c r="N5" s="3"/>
    </row>
    <row r="6" spans="1:15" ht="45" customHeight="1" x14ac:dyDescent="0.2">
      <c r="A6" s="269" t="s">
        <v>837</v>
      </c>
      <c r="B6" s="13" t="s">
        <v>469</v>
      </c>
      <c r="C6" s="378" t="s">
        <v>2068</v>
      </c>
      <c r="D6" s="378"/>
      <c r="E6" s="97" t="s">
        <v>2069</v>
      </c>
      <c r="F6" s="46" t="s">
        <v>840</v>
      </c>
      <c r="G6" s="407" t="s">
        <v>2070</v>
      </c>
      <c r="H6" s="407"/>
      <c r="I6" s="13" t="s">
        <v>471</v>
      </c>
      <c r="J6" s="250" t="s">
        <v>2068</v>
      </c>
      <c r="K6" s="250" t="s">
        <v>2069</v>
      </c>
      <c r="L6" s="46"/>
      <c r="N6" s="3"/>
    </row>
    <row r="7" spans="1:15" ht="39" customHeight="1" x14ac:dyDescent="0.2">
      <c r="A7" s="269" t="s">
        <v>841</v>
      </c>
      <c r="B7" s="252" t="s">
        <v>840</v>
      </c>
      <c r="C7" s="392" t="s">
        <v>840</v>
      </c>
      <c r="D7" s="393"/>
      <c r="E7" s="250" t="s">
        <v>2071</v>
      </c>
      <c r="F7" s="46" t="s">
        <v>840</v>
      </c>
      <c r="G7" s="407" t="s">
        <v>2072</v>
      </c>
      <c r="H7" s="407"/>
      <c r="I7" s="252" t="s">
        <v>840</v>
      </c>
      <c r="J7" s="250" t="s">
        <v>2073</v>
      </c>
      <c r="K7" s="250" t="s">
        <v>2069</v>
      </c>
      <c r="L7" s="46"/>
      <c r="N7" s="3"/>
    </row>
    <row r="8" spans="1:15" ht="29.25" customHeight="1" x14ac:dyDescent="0.2">
      <c r="A8" s="255" t="s">
        <v>14</v>
      </c>
      <c r="B8" s="378" t="s">
        <v>15</v>
      </c>
      <c r="C8" s="378"/>
      <c r="D8" s="378"/>
      <c r="E8" s="378"/>
      <c r="F8" s="46" t="s">
        <v>840</v>
      </c>
      <c r="G8" s="407" t="s">
        <v>2074</v>
      </c>
      <c r="H8" s="407"/>
      <c r="I8" s="252" t="s">
        <v>840</v>
      </c>
      <c r="J8" s="252" t="s">
        <v>840</v>
      </c>
      <c r="K8" s="250" t="s">
        <v>2071</v>
      </c>
      <c r="L8" s="46"/>
      <c r="N8" s="3"/>
    </row>
    <row r="9" spans="1:15" s="41" customFormat="1" ht="18" customHeight="1" x14ac:dyDescent="0.2">
      <c r="A9" s="256" t="s">
        <v>840</v>
      </c>
      <c r="B9" s="256" t="s">
        <v>840</v>
      </c>
      <c r="C9" s="408" t="s">
        <v>840</v>
      </c>
      <c r="D9" s="408"/>
      <c r="E9" s="256" t="s">
        <v>840</v>
      </c>
      <c r="F9" s="46" t="s">
        <v>840</v>
      </c>
      <c r="G9" s="407" t="s">
        <v>14</v>
      </c>
      <c r="H9" s="407"/>
      <c r="I9" s="389" t="s">
        <v>15</v>
      </c>
      <c r="J9" s="390"/>
      <c r="K9" s="391"/>
      <c r="L9" s="46"/>
      <c r="M9" s="344"/>
      <c r="N9" s="31"/>
    </row>
    <row r="10" spans="1:15" s="41" customFormat="1" ht="13.5" customHeight="1" x14ac:dyDescent="0.2">
      <c r="A10" s="120"/>
      <c r="B10" s="409"/>
      <c r="C10" s="409"/>
      <c r="D10" s="409"/>
      <c r="E10" s="409"/>
      <c r="F10" s="46"/>
      <c r="G10" s="410"/>
      <c r="H10" s="410"/>
      <c r="I10" s="257"/>
      <c r="J10" s="257"/>
      <c r="K10" s="257"/>
      <c r="L10" s="46"/>
      <c r="M10" s="344"/>
      <c r="N10" s="31"/>
    </row>
    <row r="11" spans="1:15" s="41" customFormat="1" ht="13.5" customHeight="1" x14ac:dyDescent="0.2">
      <c r="A11" s="296"/>
      <c r="B11" s="298"/>
      <c r="C11" s="298"/>
      <c r="D11" s="298"/>
      <c r="E11" s="298"/>
      <c r="F11" s="46"/>
      <c r="G11" s="312"/>
      <c r="H11" s="312"/>
      <c r="I11" s="312"/>
      <c r="J11" s="312"/>
      <c r="K11" s="312"/>
      <c r="L11" s="46"/>
      <c r="M11" s="344"/>
      <c r="N11" s="31"/>
    </row>
    <row r="12" spans="1:15" s="41" customFormat="1" ht="13.5" customHeight="1" x14ac:dyDescent="0.2">
      <c r="A12" s="46"/>
      <c r="B12" s="46"/>
      <c r="C12" s="46"/>
      <c r="D12" s="46"/>
      <c r="E12" s="46"/>
      <c r="F12" s="46"/>
      <c r="G12" s="405"/>
      <c r="H12" s="405"/>
      <c r="I12" s="406"/>
      <c r="J12" s="406"/>
      <c r="K12" s="40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314"/>
    </row>
    <row r="14" spans="1:15" ht="32.85" customHeight="1" x14ac:dyDescent="0.2">
      <c r="A14" s="10" t="s">
        <v>773</v>
      </c>
      <c r="B14" s="334" t="s">
        <v>964</v>
      </c>
      <c r="C14" s="313" t="s">
        <v>845</v>
      </c>
      <c r="D14" s="92">
        <v>11.064</v>
      </c>
      <c r="E14" s="93">
        <v>1.4179999999999999</v>
      </c>
      <c r="F14" s="94">
        <v>0.19400000000000001</v>
      </c>
      <c r="G14" s="29">
        <v>13.84</v>
      </c>
      <c r="H14" s="30" t="s">
        <v>840</v>
      </c>
      <c r="I14" s="30" t="s">
        <v>840</v>
      </c>
      <c r="J14" s="27" t="s">
        <v>840</v>
      </c>
      <c r="K14" s="28"/>
    </row>
    <row r="15" spans="1:15" ht="32.85" customHeight="1" x14ac:dyDescent="0.2">
      <c r="A15" s="10" t="s">
        <v>594</v>
      </c>
      <c r="B15" s="334" t="s">
        <v>840</v>
      </c>
      <c r="C15" s="313" t="s">
        <v>2075</v>
      </c>
      <c r="D15" s="92">
        <v>11.064</v>
      </c>
      <c r="E15" s="93">
        <v>1.4179999999999999</v>
      </c>
      <c r="F15" s="94">
        <v>0.19400000000000001</v>
      </c>
      <c r="G15" s="30" t="s">
        <v>840</v>
      </c>
      <c r="H15" s="30" t="s">
        <v>840</v>
      </c>
      <c r="I15" s="30" t="s">
        <v>840</v>
      </c>
      <c r="J15" s="27" t="s">
        <v>840</v>
      </c>
      <c r="K15" s="28"/>
    </row>
    <row r="16" spans="1:15" ht="32.85" customHeight="1" x14ac:dyDescent="0.2">
      <c r="A16" s="10" t="s">
        <v>774</v>
      </c>
      <c r="B16" s="334" t="s">
        <v>965</v>
      </c>
      <c r="C16" s="313" t="s">
        <v>846</v>
      </c>
      <c r="D16" s="92">
        <v>10.324999999999999</v>
      </c>
      <c r="E16" s="93">
        <v>1.3240000000000001</v>
      </c>
      <c r="F16" s="94">
        <v>0.18099999999999999</v>
      </c>
      <c r="G16" s="29">
        <v>14.33</v>
      </c>
      <c r="H16" s="30" t="s">
        <v>840</v>
      </c>
      <c r="I16" s="30" t="s">
        <v>840</v>
      </c>
      <c r="J16" s="27" t="s">
        <v>840</v>
      </c>
      <c r="K16" s="28"/>
    </row>
    <row r="17" spans="1:11" ht="32.85" customHeight="1" x14ac:dyDescent="0.2">
      <c r="A17" s="10" t="s">
        <v>775</v>
      </c>
      <c r="B17" s="334" t="s">
        <v>966</v>
      </c>
      <c r="C17" s="313" t="s">
        <v>846</v>
      </c>
      <c r="D17" s="92">
        <v>10.324999999999999</v>
      </c>
      <c r="E17" s="93">
        <v>1.3240000000000001</v>
      </c>
      <c r="F17" s="94">
        <v>0.18099999999999999</v>
      </c>
      <c r="G17" s="29">
        <v>17.37</v>
      </c>
      <c r="H17" s="30" t="s">
        <v>840</v>
      </c>
      <c r="I17" s="30" t="s">
        <v>840</v>
      </c>
      <c r="J17" s="27" t="s">
        <v>840</v>
      </c>
      <c r="K17" s="28"/>
    </row>
    <row r="18" spans="1:11" ht="32.85" customHeight="1" x14ac:dyDescent="0.2">
      <c r="A18" s="10" t="s">
        <v>776</v>
      </c>
      <c r="B18" s="334" t="s">
        <v>967</v>
      </c>
      <c r="C18" s="313" t="s">
        <v>846</v>
      </c>
      <c r="D18" s="92">
        <v>10.324999999999999</v>
      </c>
      <c r="E18" s="93">
        <v>1.3240000000000001</v>
      </c>
      <c r="F18" s="94">
        <v>0.18099999999999999</v>
      </c>
      <c r="G18" s="29">
        <v>26.13</v>
      </c>
      <c r="H18" s="30" t="s">
        <v>840</v>
      </c>
      <c r="I18" s="30" t="s">
        <v>840</v>
      </c>
      <c r="J18" s="27" t="s">
        <v>840</v>
      </c>
      <c r="K18" s="28"/>
    </row>
    <row r="19" spans="1:11" ht="32.85" customHeight="1" x14ac:dyDescent="0.2">
      <c r="A19" s="10" t="s">
        <v>777</v>
      </c>
      <c r="B19" s="334" t="s">
        <v>968</v>
      </c>
      <c r="C19" s="313" t="s">
        <v>846</v>
      </c>
      <c r="D19" s="92">
        <v>10.324999999999999</v>
      </c>
      <c r="E19" s="93">
        <v>1.3240000000000001</v>
      </c>
      <c r="F19" s="94">
        <v>0.18099999999999999</v>
      </c>
      <c r="G19" s="29">
        <v>39.75</v>
      </c>
      <c r="H19" s="30" t="s">
        <v>840</v>
      </c>
      <c r="I19" s="30" t="s">
        <v>840</v>
      </c>
      <c r="J19" s="27" t="s">
        <v>840</v>
      </c>
      <c r="K19" s="28"/>
    </row>
    <row r="20" spans="1:11" ht="32.85" customHeight="1" x14ac:dyDescent="0.2">
      <c r="A20" s="10" t="s">
        <v>778</v>
      </c>
      <c r="B20" s="334" t="s">
        <v>969</v>
      </c>
      <c r="C20" s="313" t="s">
        <v>846</v>
      </c>
      <c r="D20" s="92">
        <v>10.324999999999999</v>
      </c>
      <c r="E20" s="93">
        <v>1.3240000000000001</v>
      </c>
      <c r="F20" s="94">
        <v>0.18099999999999999</v>
      </c>
      <c r="G20" s="29">
        <v>80.45</v>
      </c>
      <c r="H20" s="30" t="s">
        <v>840</v>
      </c>
      <c r="I20" s="30" t="s">
        <v>840</v>
      </c>
      <c r="J20" s="27" t="s">
        <v>840</v>
      </c>
      <c r="K20" s="28"/>
    </row>
    <row r="21" spans="1:11" ht="32.85" customHeight="1" x14ac:dyDescent="0.2">
      <c r="A21" s="10" t="s">
        <v>575</v>
      </c>
      <c r="B21" s="334" t="s">
        <v>840</v>
      </c>
      <c r="C21" s="313" t="s">
        <v>2076</v>
      </c>
      <c r="D21" s="92">
        <v>10.324999999999999</v>
      </c>
      <c r="E21" s="93">
        <v>1.3240000000000001</v>
      </c>
      <c r="F21" s="94">
        <v>0.18099999999999999</v>
      </c>
      <c r="G21" s="30" t="s">
        <v>840</v>
      </c>
      <c r="H21" s="30" t="s">
        <v>840</v>
      </c>
      <c r="I21" s="30" t="s">
        <v>840</v>
      </c>
      <c r="J21" s="27" t="s">
        <v>840</v>
      </c>
      <c r="K21" s="28"/>
    </row>
    <row r="22" spans="1:11" ht="32.85" customHeight="1" x14ac:dyDescent="0.2">
      <c r="A22" s="10" t="s">
        <v>595</v>
      </c>
      <c r="B22" s="334" t="s">
        <v>970</v>
      </c>
      <c r="C22" s="313">
        <v>0</v>
      </c>
      <c r="D22" s="92">
        <v>6.5149999999999997</v>
      </c>
      <c r="E22" s="93">
        <v>0.82699999999999996</v>
      </c>
      <c r="F22" s="94">
        <v>0.1</v>
      </c>
      <c r="G22" s="29">
        <v>14.69</v>
      </c>
      <c r="H22" s="29">
        <v>10.66</v>
      </c>
      <c r="I22" s="91">
        <v>10.66</v>
      </c>
      <c r="J22" s="26">
        <v>0.114</v>
      </c>
      <c r="K22" s="28"/>
    </row>
    <row r="23" spans="1:11" ht="32.85" customHeight="1" x14ac:dyDescent="0.2">
      <c r="A23" s="10" t="s">
        <v>596</v>
      </c>
      <c r="B23" s="334" t="s">
        <v>971</v>
      </c>
      <c r="C23" s="313">
        <v>0</v>
      </c>
      <c r="D23" s="92">
        <v>6.5149999999999997</v>
      </c>
      <c r="E23" s="93">
        <v>0.82699999999999996</v>
      </c>
      <c r="F23" s="94">
        <v>0.1</v>
      </c>
      <c r="G23" s="29">
        <v>129.59</v>
      </c>
      <c r="H23" s="29">
        <v>10.66</v>
      </c>
      <c r="I23" s="91">
        <v>10.66</v>
      </c>
      <c r="J23" s="26">
        <v>0.114</v>
      </c>
      <c r="K23" s="28"/>
    </row>
    <row r="24" spans="1:11" ht="32.85" customHeight="1" x14ac:dyDescent="0.2">
      <c r="A24" s="10" t="s">
        <v>597</v>
      </c>
      <c r="B24" s="334" t="s">
        <v>972</v>
      </c>
      <c r="C24" s="313">
        <v>0</v>
      </c>
      <c r="D24" s="92">
        <v>6.5149999999999997</v>
      </c>
      <c r="E24" s="93">
        <v>0.82699999999999996</v>
      </c>
      <c r="F24" s="94">
        <v>0.1</v>
      </c>
      <c r="G24" s="29">
        <v>219.77</v>
      </c>
      <c r="H24" s="29">
        <v>10.66</v>
      </c>
      <c r="I24" s="91">
        <v>10.66</v>
      </c>
      <c r="J24" s="26">
        <v>0.114</v>
      </c>
      <c r="K24" s="28"/>
    </row>
    <row r="25" spans="1:11" ht="32.85" customHeight="1" x14ac:dyDescent="0.2">
      <c r="A25" s="10" t="s">
        <v>598</v>
      </c>
      <c r="B25" s="334" t="s">
        <v>973</v>
      </c>
      <c r="C25" s="313">
        <v>0</v>
      </c>
      <c r="D25" s="92">
        <v>6.5149999999999997</v>
      </c>
      <c r="E25" s="93">
        <v>0.82699999999999996</v>
      </c>
      <c r="F25" s="94">
        <v>0.1</v>
      </c>
      <c r="G25" s="29">
        <v>338.91</v>
      </c>
      <c r="H25" s="29">
        <v>10.66</v>
      </c>
      <c r="I25" s="91">
        <v>10.66</v>
      </c>
      <c r="J25" s="26">
        <v>0.114</v>
      </c>
      <c r="K25" s="28"/>
    </row>
    <row r="26" spans="1:11" ht="32.85" customHeight="1" x14ac:dyDescent="0.2">
      <c r="A26" s="10" t="s">
        <v>599</v>
      </c>
      <c r="B26" s="334" t="s">
        <v>974</v>
      </c>
      <c r="C26" s="313">
        <v>0</v>
      </c>
      <c r="D26" s="92">
        <v>6.5149999999999997</v>
      </c>
      <c r="E26" s="93">
        <v>0.82699999999999996</v>
      </c>
      <c r="F26" s="94">
        <v>0.1</v>
      </c>
      <c r="G26" s="29">
        <v>583.21</v>
      </c>
      <c r="H26" s="29">
        <v>10.66</v>
      </c>
      <c r="I26" s="91">
        <v>10.66</v>
      </c>
      <c r="J26" s="26">
        <v>0.114</v>
      </c>
      <c r="K26" s="28"/>
    </row>
    <row r="27" spans="1:11" ht="32.85" customHeight="1" x14ac:dyDescent="0.2">
      <c r="A27" s="10" t="s">
        <v>600</v>
      </c>
      <c r="B27" s="334" t="s">
        <v>975</v>
      </c>
      <c r="C27" s="313">
        <v>0</v>
      </c>
      <c r="D27" s="92">
        <v>3.5979999999999999</v>
      </c>
      <c r="E27" s="93">
        <v>0.443</v>
      </c>
      <c r="F27" s="94">
        <v>3.2000000000000001E-2</v>
      </c>
      <c r="G27" s="29">
        <v>11.46</v>
      </c>
      <c r="H27" s="29">
        <v>9.18</v>
      </c>
      <c r="I27" s="91">
        <v>9.18</v>
      </c>
      <c r="J27" s="26">
        <v>6.0999999999999999E-2</v>
      </c>
      <c r="K27" s="28"/>
    </row>
    <row r="28" spans="1:11" ht="32.85" customHeight="1" x14ac:dyDescent="0.2">
      <c r="A28" s="10" t="s">
        <v>601</v>
      </c>
      <c r="B28" s="334" t="s">
        <v>976</v>
      </c>
      <c r="C28" s="313">
        <v>0</v>
      </c>
      <c r="D28" s="92">
        <v>3.5979999999999999</v>
      </c>
      <c r="E28" s="93">
        <v>0.443</v>
      </c>
      <c r="F28" s="94">
        <v>3.2000000000000001E-2</v>
      </c>
      <c r="G28" s="29">
        <v>126.37</v>
      </c>
      <c r="H28" s="29">
        <v>9.18</v>
      </c>
      <c r="I28" s="91">
        <v>9.18</v>
      </c>
      <c r="J28" s="26">
        <v>6.0999999999999999E-2</v>
      </c>
      <c r="K28" s="28"/>
    </row>
    <row r="29" spans="1:11" ht="32.85" customHeight="1" x14ac:dyDescent="0.2">
      <c r="A29" s="10" t="s">
        <v>602</v>
      </c>
      <c r="B29" s="334" t="s">
        <v>977</v>
      </c>
      <c r="C29" s="313">
        <v>0</v>
      </c>
      <c r="D29" s="92">
        <v>3.5979999999999999</v>
      </c>
      <c r="E29" s="93">
        <v>0.443</v>
      </c>
      <c r="F29" s="94">
        <v>3.2000000000000001E-2</v>
      </c>
      <c r="G29" s="29">
        <v>216.55</v>
      </c>
      <c r="H29" s="29">
        <v>9.18</v>
      </c>
      <c r="I29" s="91">
        <v>9.18</v>
      </c>
      <c r="J29" s="26">
        <v>6.0999999999999999E-2</v>
      </c>
      <c r="K29" s="28"/>
    </row>
    <row r="30" spans="1:11" ht="32.85" customHeight="1" x14ac:dyDescent="0.2">
      <c r="A30" s="10" t="s">
        <v>603</v>
      </c>
      <c r="B30" s="334" t="s">
        <v>978</v>
      </c>
      <c r="C30" s="313">
        <v>0</v>
      </c>
      <c r="D30" s="92">
        <v>3.5979999999999999</v>
      </c>
      <c r="E30" s="93">
        <v>0.443</v>
      </c>
      <c r="F30" s="94">
        <v>3.2000000000000001E-2</v>
      </c>
      <c r="G30" s="29">
        <v>335.69</v>
      </c>
      <c r="H30" s="29">
        <v>9.18</v>
      </c>
      <c r="I30" s="91">
        <v>9.18</v>
      </c>
      <c r="J30" s="26">
        <v>6.0999999999999999E-2</v>
      </c>
      <c r="K30" s="28"/>
    </row>
    <row r="31" spans="1:11" ht="32.85" customHeight="1" x14ac:dyDescent="0.2">
      <c r="A31" s="10" t="s">
        <v>604</v>
      </c>
      <c r="B31" s="334" t="s">
        <v>979</v>
      </c>
      <c r="C31" s="313">
        <v>0</v>
      </c>
      <c r="D31" s="92">
        <v>3.5979999999999999</v>
      </c>
      <c r="E31" s="93">
        <v>0.443</v>
      </c>
      <c r="F31" s="94">
        <v>3.2000000000000001E-2</v>
      </c>
      <c r="G31" s="29">
        <v>579.98</v>
      </c>
      <c r="H31" s="29">
        <v>9.18</v>
      </c>
      <c r="I31" s="91">
        <v>9.18</v>
      </c>
      <c r="J31" s="26">
        <v>6.0999999999999999E-2</v>
      </c>
      <c r="K31" s="28"/>
    </row>
    <row r="32" spans="1:11" ht="32.85" customHeight="1" x14ac:dyDescent="0.2">
      <c r="A32" s="10" t="s">
        <v>605</v>
      </c>
      <c r="B32" s="334" t="s">
        <v>980</v>
      </c>
      <c r="C32" s="313">
        <v>0</v>
      </c>
      <c r="D32" s="92">
        <v>1.764</v>
      </c>
      <c r="E32" s="93">
        <v>0.20499999999999999</v>
      </c>
      <c r="F32" s="94">
        <v>1.0999999999999999E-2</v>
      </c>
      <c r="G32" s="29">
        <v>105.84</v>
      </c>
      <c r="H32" s="29">
        <v>9.26</v>
      </c>
      <c r="I32" s="91">
        <v>9.26</v>
      </c>
      <c r="J32" s="26">
        <v>2.7E-2</v>
      </c>
      <c r="K32" s="28"/>
    </row>
    <row r="33" spans="1:11" ht="32.85" customHeight="1" x14ac:dyDescent="0.2">
      <c r="A33" s="10" t="s">
        <v>606</v>
      </c>
      <c r="B33" s="334" t="s">
        <v>981</v>
      </c>
      <c r="C33" s="313">
        <v>0</v>
      </c>
      <c r="D33" s="92">
        <v>1.764</v>
      </c>
      <c r="E33" s="93">
        <v>0.20499999999999999</v>
      </c>
      <c r="F33" s="94">
        <v>1.0999999999999999E-2</v>
      </c>
      <c r="G33" s="29">
        <v>824.91</v>
      </c>
      <c r="H33" s="29">
        <v>9.26</v>
      </c>
      <c r="I33" s="91">
        <v>9.26</v>
      </c>
      <c r="J33" s="26">
        <v>2.7E-2</v>
      </c>
      <c r="K33" s="28"/>
    </row>
    <row r="34" spans="1:11" ht="32.85" customHeight="1" x14ac:dyDescent="0.2">
      <c r="A34" s="10" t="s">
        <v>607</v>
      </c>
      <c r="B34" s="334" t="s">
        <v>982</v>
      </c>
      <c r="C34" s="313">
        <v>0</v>
      </c>
      <c r="D34" s="92">
        <v>1.764</v>
      </c>
      <c r="E34" s="93">
        <v>0.20499999999999999</v>
      </c>
      <c r="F34" s="94">
        <v>1.0999999999999999E-2</v>
      </c>
      <c r="G34" s="29">
        <v>2275.4299999999998</v>
      </c>
      <c r="H34" s="29">
        <v>9.26</v>
      </c>
      <c r="I34" s="91">
        <v>9.26</v>
      </c>
      <c r="J34" s="26">
        <v>2.7E-2</v>
      </c>
      <c r="K34" s="28"/>
    </row>
    <row r="35" spans="1:11" ht="32.85" customHeight="1" x14ac:dyDescent="0.2">
      <c r="A35" s="10" t="s">
        <v>608</v>
      </c>
      <c r="B35" s="334" t="s">
        <v>983</v>
      </c>
      <c r="C35" s="313">
        <v>0</v>
      </c>
      <c r="D35" s="92">
        <v>1.764</v>
      </c>
      <c r="E35" s="93">
        <v>0.20499999999999999</v>
      </c>
      <c r="F35" s="94">
        <v>1.0999999999999999E-2</v>
      </c>
      <c r="G35" s="29">
        <v>4427.24</v>
      </c>
      <c r="H35" s="29">
        <v>9.26</v>
      </c>
      <c r="I35" s="91">
        <v>9.26</v>
      </c>
      <c r="J35" s="26">
        <v>2.7E-2</v>
      </c>
      <c r="K35" s="28"/>
    </row>
    <row r="36" spans="1:11" ht="32.85" customHeight="1" x14ac:dyDescent="0.2">
      <c r="A36" s="10" t="s">
        <v>609</v>
      </c>
      <c r="B36" s="334" t="s">
        <v>984</v>
      </c>
      <c r="C36" s="313">
        <v>0</v>
      </c>
      <c r="D36" s="92">
        <v>1.764</v>
      </c>
      <c r="E36" s="93">
        <v>0.20499999999999999</v>
      </c>
      <c r="F36" s="94">
        <v>1.0999999999999999E-2</v>
      </c>
      <c r="G36" s="29">
        <v>9823.4500000000007</v>
      </c>
      <c r="H36" s="29">
        <v>9.26</v>
      </c>
      <c r="I36" s="91">
        <v>9.26</v>
      </c>
      <c r="J36" s="26">
        <v>2.7E-2</v>
      </c>
      <c r="K36" s="28"/>
    </row>
    <row r="37" spans="1:11" ht="32.85" customHeight="1" x14ac:dyDescent="0.2">
      <c r="A37" s="10" t="s">
        <v>576</v>
      </c>
      <c r="B37" s="334" t="s">
        <v>985</v>
      </c>
      <c r="C37" s="313" t="s">
        <v>847</v>
      </c>
      <c r="D37" s="95">
        <v>40.137</v>
      </c>
      <c r="E37" s="96">
        <v>3.0710000000000002</v>
      </c>
      <c r="F37" s="94">
        <v>1.764</v>
      </c>
      <c r="G37" s="30" t="s">
        <v>840</v>
      </c>
      <c r="H37" s="30" t="s">
        <v>840</v>
      </c>
      <c r="I37" s="30" t="s">
        <v>840</v>
      </c>
      <c r="J37" s="27" t="s">
        <v>840</v>
      </c>
      <c r="K37" s="28"/>
    </row>
    <row r="38" spans="1:11" ht="32.85" customHeight="1" x14ac:dyDescent="0.2">
      <c r="A38" s="10" t="s">
        <v>765</v>
      </c>
      <c r="B38" s="334" t="s">
        <v>986</v>
      </c>
      <c r="C38" s="313">
        <v>0</v>
      </c>
      <c r="D38" s="92">
        <v>-7.093</v>
      </c>
      <c r="E38" s="93">
        <v>-0.90900000000000003</v>
      </c>
      <c r="F38" s="94">
        <v>-0.124</v>
      </c>
      <c r="G38" s="29" t="s">
        <v>840</v>
      </c>
      <c r="H38" s="30" t="s">
        <v>840</v>
      </c>
      <c r="I38" s="30" t="s">
        <v>840</v>
      </c>
      <c r="J38" s="27" t="s">
        <v>840</v>
      </c>
      <c r="K38" s="28"/>
    </row>
    <row r="39" spans="1:11" ht="32.85" customHeight="1" x14ac:dyDescent="0.2">
      <c r="A39" s="10" t="s">
        <v>766</v>
      </c>
      <c r="B39" s="334" t="s">
        <v>987</v>
      </c>
      <c r="C39" s="313">
        <v>0</v>
      </c>
      <c r="D39" s="92">
        <v>-5.59</v>
      </c>
      <c r="E39" s="93">
        <v>-0.71199999999999997</v>
      </c>
      <c r="F39" s="94">
        <v>-0.09</v>
      </c>
      <c r="G39" s="29" t="s">
        <v>840</v>
      </c>
      <c r="H39" s="30" t="s">
        <v>840</v>
      </c>
      <c r="I39" s="30" t="s">
        <v>840</v>
      </c>
      <c r="J39" s="27" t="s">
        <v>840</v>
      </c>
      <c r="K39" s="28"/>
    </row>
    <row r="40" spans="1:11" ht="32.85" customHeight="1" x14ac:dyDescent="0.2">
      <c r="A40" s="10" t="s">
        <v>767</v>
      </c>
      <c r="B40" s="334" t="s">
        <v>988</v>
      </c>
      <c r="C40" s="313">
        <v>0</v>
      </c>
      <c r="D40" s="92">
        <v>-7.093</v>
      </c>
      <c r="E40" s="93">
        <v>-0.90900000000000003</v>
      </c>
      <c r="F40" s="94">
        <v>-0.124</v>
      </c>
      <c r="G40" s="29" t="s">
        <v>840</v>
      </c>
      <c r="H40" s="30" t="s">
        <v>840</v>
      </c>
      <c r="I40" s="30" t="s">
        <v>840</v>
      </c>
      <c r="J40" s="26">
        <v>0.158</v>
      </c>
      <c r="K40" s="28"/>
    </row>
    <row r="41" spans="1:11" ht="32.85" customHeight="1" x14ac:dyDescent="0.2">
      <c r="A41" s="10" t="s">
        <v>768</v>
      </c>
      <c r="B41" s="334" t="s">
        <v>840</v>
      </c>
      <c r="C41" s="313">
        <v>0</v>
      </c>
      <c r="D41" s="92">
        <v>-7.093</v>
      </c>
      <c r="E41" s="93">
        <v>-0.90900000000000003</v>
      </c>
      <c r="F41" s="94">
        <v>-0.124</v>
      </c>
      <c r="G41" s="29" t="s">
        <v>840</v>
      </c>
      <c r="H41" s="30" t="s">
        <v>840</v>
      </c>
      <c r="I41" s="30" t="s">
        <v>840</v>
      </c>
      <c r="J41" s="27" t="s">
        <v>840</v>
      </c>
      <c r="K41" s="28"/>
    </row>
    <row r="42" spans="1:11" ht="32.85" customHeight="1" x14ac:dyDescent="0.2">
      <c r="A42" s="10" t="s">
        <v>769</v>
      </c>
      <c r="B42" s="334" t="s">
        <v>840</v>
      </c>
      <c r="C42" s="313">
        <v>0</v>
      </c>
      <c r="D42" s="92">
        <v>-5.59</v>
      </c>
      <c r="E42" s="93">
        <v>-0.71199999999999997</v>
      </c>
      <c r="F42" s="94">
        <v>-0.09</v>
      </c>
      <c r="G42" s="29" t="s">
        <v>840</v>
      </c>
      <c r="H42" s="30" t="s">
        <v>840</v>
      </c>
      <c r="I42" s="30" t="s">
        <v>840</v>
      </c>
      <c r="J42" s="26">
        <v>0.106</v>
      </c>
      <c r="K42" s="28"/>
    </row>
    <row r="43" spans="1:11" ht="32.85" customHeight="1" x14ac:dyDescent="0.2">
      <c r="A43" s="10" t="s">
        <v>770</v>
      </c>
      <c r="B43" s="334" t="s">
        <v>840</v>
      </c>
      <c r="C43" s="313">
        <v>0</v>
      </c>
      <c r="D43" s="92">
        <v>-5.59</v>
      </c>
      <c r="E43" s="93">
        <v>-0.71199999999999997</v>
      </c>
      <c r="F43" s="94">
        <v>-0.09</v>
      </c>
      <c r="G43" s="29" t="s">
        <v>840</v>
      </c>
      <c r="H43" s="30" t="s">
        <v>840</v>
      </c>
      <c r="I43" s="30" t="s">
        <v>840</v>
      </c>
      <c r="J43" s="27" t="s">
        <v>840</v>
      </c>
      <c r="K43" s="28"/>
    </row>
    <row r="44" spans="1:11" ht="32.85" customHeight="1" x14ac:dyDescent="0.2">
      <c r="A44" s="10" t="s">
        <v>771</v>
      </c>
      <c r="B44" s="334" t="s">
        <v>989</v>
      </c>
      <c r="C44" s="313">
        <v>0</v>
      </c>
      <c r="D44" s="92">
        <v>-2.7519999999999998</v>
      </c>
      <c r="E44" s="93">
        <v>-0.33900000000000002</v>
      </c>
      <c r="F44" s="94">
        <v>-2.4E-2</v>
      </c>
      <c r="G44" s="29">
        <v>66.239999999999995</v>
      </c>
      <c r="H44" s="30" t="s">
        <v>840</v>
      </c>
      <c r="I44" s="30" t="s">
        <v>840</v>
      </c>
      <c r="J44" s="26">
        <v>8.3000000000000004E-2</v>
      </c>
      <c r="K44" s="28"/>
    </row>
    <row r="45" spans="1:11" ht="32.85" customHeight="1" x14ac:dyDescent="0.2">
      <c r="A45" s="10" t="s">
        <v>772</v>
      </c>
      <c r="B45" s="334" t="s">
        <v>840</v>
      </c>
      <c r="C45" s="313">
        <v>0</v>
      </c>
      <c r="D45" s="92">
        <v>-2.7519999999999998</v>
      </c>
      <c r="E45" s="93">
        <v>-0.33900000000000002</v>
      </c>
      <c r="F45" s="94">
        <v>-2.4E-2</v>
      </c>
      <c r="G45" s="29">
        <v>66.239999999999995</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charges_E'; based on connection level, credits may therefore be lower than stated above.</v>
      </c>
    </row>
    <row r="47" spans="1:11" ht="27.75" customHeight="1" x14ac:dyDescent="0.2">
      <c r="A47" s="332" t="s">
        <v>520</v>
      </c>
    </row>
  </sheetData>
  <mergeCells count="20">
    <mergeCell ref="C5:D5"/>
    <mergeCell ref="G5:H5"/>
    <mergeCell ref="B1:D1"/>
    <mergeCell ref="E1:K1"/>
    <mergeCell ref="A2:K2"/>
    <mergeCell ref="A4:E4"/>
    <mergeCell ref="G4:K4"/>
    <mergeCell ref="G12:H12"/>
    <mergeCell ref="I12:K12"/>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D776B977-EF1D-419A-960B-0802408F00BB}"/>
    <hyperlink ref="A47" location="'Annex 4 LDNO charges_E'!A1" display="Annex 4 LDNO charges_E" xr:uid="{4271BBB1-7C85-4501-8B2A-60340C8F5C76}"/>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70" t="s">
        <v>466</v>
      </c>
      <c r="F1" s="370"/>
      <c r="G1" s="370"/>
      <c r="H1" s="370"/>
      <c r="I1" s="370"/>
      <c r="J1" s="370"/>
      <c r="K1" s="370"/>
      <c r="L1" s="243"/>
      <c r="M1" s="342"/>
    </row>
    <row r="2" spans="1:13" ht="27" customHeight="1" x14ac:dyDescent="0.2">
      <c r="A2" s="371" t="str">
        <f>Overview!B4&amp;" - Effective from "&amp;TEXT(Overview!$D$4,"d mmmm yyyy")&amp;" - Final LV and HV charges in NPG Northeast Area (GSP Group _F)"</f>
        <v>Leep Electricity Networks Limited - Effective from 1 April 2026 - Final LV and HV charges in NPG Northeast Area (GSP Group _F)</v>
      </c>
      <c r="B2" s="371"/>
      <c r="C2" s="371"/>
      <c r="D2" s="371"/>
      <c r="E2" s="371"/>
      <c r="F2" s="371"/>
      <c r="G2" s="371"/>
      <c r="H2" s="371"/>
      <c r="I2" s="371"/>
      <c r="J2" s="371"/>
      <c r="K2" s="371"/>
    </row>
    <row r="3" spans="1:13" s="41" customFormat="1" ht="15" customHeight="1" x14ac:dyDescent="0.2">
      <c r="A3" s="46"/>
      <c r="B3" s="46"/>
      <c r="C3" s="46"/>
      <c r="D3" s="46"/>
      <c r="E3" s="46"/>
      <c r="F3" s="46"/>
      <c r="G3" s="46"/>
      <c r="H3" s="46"/>
      <c r="I3" s="46"/>
      <c r="J3" s="46"/>
      <c r="K3" s="46"/>
      <c r="L3" s="100"/>
      <c r="M3" s="344"/>
    </row>
    <row r="4" spans="1:13" ht="27" customHeight="1" x14ac:dyDescent="0.2">
      <c r="A4" s="371" t="s">
        <v>308</v>
      </c>
      <c r="B4" s="371"/>
      <c r="C4" s="371"/>
      <c r="D4" s="371"/>
      <c r="E4" s="371"/>
      <c r="F4" s="46"/>
      <c r="G4" s="371" t="s">
        <v>307</v>
      </c>
      <c r="H4" s="371"/>
      <c r="I4" s="371"/>
      <c r="J4" s="371"/>
      <c r="K4" s="371"/>
    </row>
    <row r="5" spans="1:13" ht="28.5" customHeight="1" x14ac:dyDescent="0.2">
      <c r="A5" s="40" t="s">
        <v>13</v>
      </c>
      <c r="B5" s="258" t="s">
        <v>299</v>
      </c>
      <c r="C5" s="366" t="s">
        <v>300</v>
      </c>
      <c r="D5" s="367"/>
      <c r="E5" s="42" t="s">
        <v>301</v>
      </c>
      <c r="F5" s="46"/>
      <c r="G5" s="368"/>
      <c r="H5" s="369"/>
      <c r="I5" s="44" t="s">
        <v>305</v>
      </c>
      <c r="J5" s="45" t="s">
        <v>306</v>
      </c>
      <c r="K5" s="42" t="s">
        <v>301</v>
      </c>
      <c r="L5" s="46"/>
    </row>
    <row r="6" spans="1:13" ht="54.75" customHeight="1" x14ac:dyDescent="0.2">
      <c r="A6" s="43" t="s">
        <v>837</v>
      </c>
      <c r="B6" s="13" t="s">
        <v>2105</v>
      </c>
      <c r="C6" s="378" t="s">
        <v>2106</v>
      </c>
      <c r="D6" s="378"/>
      <c r="E6" s="13" t="s">
        <v>2107</v>
      </c>
      <c r="F6" s="46" t="s">
        <v>840</v>
      </c>
      <c r="G6" s="413" t="s">
        <v>303</v>
      </c>
      <c r="H6" s="413"/>
      <c r="I6" s="13" t="s">
        <v>2105</v>
      </c>
      <c r="J6" s="250" t="s">
        <v>2106</v>
      </c>
      <c r="K6" s="250" t="s">
        <v>2107</v>
      </c>
      <c r="L6" s="46"/>
    </row>
    <row r="7" spans="1:13" ht="51.75" customHeight="1" x14ac:dyDescent="0.2">
      <c r="A7" s="43" t="s">
        <v>841</v>
      </c>
      <c r="B7" s="121" t="s">
        <v>840</v>
      </c>
      <c r="C7" s="414" t="s">
        <v>840</v>
      </c>
      <c r="D7" s="415"/>
      <c r="E7" s="13" t="s">
        <v>2071</v>
      </c>
      <c r="F7" s="46" t="s">
        <v>840</v>
      </c>
      <c r="G7" s="413" t="s">
        <v>2108</v>
      </c>
      <c r="H7" s="413"/>
      <c r="I7" s="121" t="s">
        <v>840</v>
      </c>
      <c r="J7" s="250" t="s">
        <v>2109</v>
      </c>
      <c r="K7" s="250" t="s">
        <v>2107</v>
      </c>
      <c r="L7" s="46"/>
    </row>
    <row r="8" spans="1:13" ht="65.25" customHeight="1" x14ac:dyDescent="0.2">
      <c r="A8" s="259" t="s">
        <v>14</v>
      </c>
      <c r="B8" s="402" t="s">
        <v>15</v>
      </c>
      <c r="C8" s="403"/>
      <c r="D8" s="403"/>
      <c r="E8" s="404"/>
      <c r="F8" s="46" t="s">
        <v>840</v>
      </c>
      <c r="G8" s="413" t="s">
        <v>2074</v>
      </c>
      <c r="H8" s="413"/>
      <c r="I8" s="121" t="s">
        <v>840</v>
      </c>
      <c r="J8" s="121" t="s">
        <v>840</v>
      </c>
      <c r="K8" s="250" t="s">
        <v>2071</v>
      </c>
      <c r="L8" s="46"/>
    </row>
    <row r="9" spans="1:13" s="41" customFormat="1" ht="27" customHeight="1" x14ac:dyDescent="0.2">
      <c r="A9" s="46" t="s">
        <v>840</v>
      </c>
      <c r="B9" s="46" t="s">
        <v>840</v>
      </c>
      <c r="C9" s="46" t="s">
        <v>840</v>
      </c>
      <c r="D9" s="46" t="s">
        <v>840</v>
      </c>
      <c r="E9" s="46" t="s">
        <v>840</v>
      </c>
      <c r="F9" s="46" t="s">
        <v>840</v>
      </c>
      <c r="G9" s="412" t="s">
        <v>14</v>
      </c>
      <c r="H9" s="412"/>
      <c r="I9" s="402" t="s">
        <v>15</v>
      </c>
      <c r="J9" s="403"/>
      <c r="K9" s="404"/>
      <c r="L9" s="46"/>
      <c r="M9" s="344"/>
    </row>
    <row r="10" spans="1:13" s="41" customFormat="1" ht="12.75" customHeight="1" x14ac:dyDescent="0.2">
      <c r="A10" s="46"/>
      <c r="B10" s="46"/>
      <c r="C10" s="46"/>
      <c r="D10" s="46"/>
      <c r="E10" s="46"/>
      <c r="F10" s="46"/>
      <c r="G10" s="46"/>
      <c r="H10" s="46"/>
      <c r="I10" s="46"/>
      <c r="J10" s="46"/>
      <c r="K10" s="46"/>
      <c r="L10" s="46"/>
      <c r="M10" s="344"/>
    </row>
    <row r="11" spans="1:13" s="41" customFormat="1" ht="12.75" customHeight="1" x14ac:dyDescent="0.2">
      <c r="A11" s="46"/>
      <c r="B11" s="46"/>
      <c r="C11" s="46"/>
      <c r="D11" s="46"/>
      <c r="E11" s="46"/>
      <c r="F11" s="46"/>
      <c r="G11" s="46"/>
      <c r="H11" s="46"/>
      <c r="I11" s="46"/>
      <c r="J11" s="46"/>
      <c r="K11" s="46"/>
      <c r="L11" s="46"/>
      <c r="M11" s="344"/>
    </row>
    <row r="12" spans="1:13" s="41" customFormat="1" ht="12.7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990</v>
      </c>
      <c r="C14" s="313" t="s">
        <v>845</v>
      </c>
      <c r="D14" s="92">
        <v>11.239000000000001</v>
      </c>
      <c r="E14" s="93">
        <v>1.702</v>
      </c>
      <c r="F14" s="94">
        <v>0.24</v>
      </c>
      <c r="G14" s="29">
        <v>17.97</v>
      </c>
      <c r="H14" s="30" t="s">
        <v>840</v>
      </c>
      <c r="I14" s="30" t="s">
        <v>840</v>
      </c>
      <c r="J14" s="27" t="s">
        <v>840</v>
      </c>
      <c r="K14" s="28"/>
    </row>
    <row r="15" spans="1:13" ht="30.2" customHeight="1" x14ac:dyDescent="0.2">
      <c r="A15" s="10" t="s">
        <v>594</v>
      </c>
      <c r="B15" s="334" t="s">
        <v>840</v>
      </c>
      <c r="C15" s="313">
        <v>2</v>
      </c>
      <c r="D15" s="92">
        <v>11.239000000000001</v>
      </c>
      <c r="E15" s="93">
        <v>1.702</v>
      </c>
      <c r="F15" s="94">
        <v>0.24</v>
      </c>
      <c r="G15" s="30" t="s">
        <v>840</v>
      </c>
      <c r="H15" s="30" t="s">
        <v>840</v>
      </c>
      <c r="I15" s="30" t="s">
        <v>840</v>
      </c>
      <c r="J15" s="27" t="s">
        <v>840</v>
      </c>
      <c r="K15" s="28"/>
    </row>
    <row r="16" spans="1:13" ht="30.2" customHeight="1" x14ac:dyDescent="0.2">
      <c r="A16" s="10" t="s">
        <v>774</v>
      </c>
      <c r="B16" s="334" t="s">
        <v>991</v>
      </c>
      <c r="C16" s="313" t="s">
        <v>846</v>
      </c>
      <c r="D16" s="92">
        <v>12.823</v>
      </c>
      <c r="E16" s="93">
        <v>1.9419999999999999</v>
      </c>
      <c r="F16" s="94">
        <v>0.27300000000000002</v>
      </c>
      <c r="G16" s="29">
        <v>14.71</v>
      </c>
      <c r="H16" s="30" t="s">
        <v>840</v>
      </c>
      <c r="I16" s="30" t="s">
        <v>840</v>
      </c>
      <c r="J16" s="27" t="s">
        <v>840</v>
      </c>
      <c r="K16" s="28"/>
    </row>
    <row r="17" spans="1:11" ht="30.2" customHeight="1" x14ac:dyDescent="0.2">
      <c r="A17" s="10" t="s">
        <v>775</v>
      </c>
      <c r="B17" s="334" t="s">
        <v>992</v>
      </c>
      <c r="C17" s="313" t="s">
        <v>846</v>
      </c>
      <c r="D17" s="92">
        <v>12.823</v>
      </c>
      <c r="E17" s="93">
        <v>1.9419999999999999</v>
      </c>
      <c r="F17" s="94">
        <v>0.27300000000000002</v>
      </c>
      <c r="G17" s="29">
        <v>16.73</v>
      </c>
      <c r="H17" s="30" t="s">
        <v>840</v>
      </c>
      <c r="I17" s="30" t="s">
        <v>840</v>
      </c>
      <c r="J17" s="27" t="s">
        <v>840</v>
      </c>
      <c r="K17" s="28"/>
    </row>
    <row r="18" spans="1:11" ht="30.2" customHeight="1" x14ac:dyDescent="0.2">
      <c r="A18" s="10" t="s">
        <v>776</v>
      </c>
      <c r="B18" s="334" t="s">
        <v>993</v>
      </c>
      <c r="C18" s="313" t="s">
        <v>846</v>
      </c>
      <c r="D18" s="92">
        <v>12.823</v>
      </c>
      <c r="E18" s="93">
        <v>1.9419999999999999</v>
      </c>
      <c r="F18" s="94">
        <v>0.27300000000000002</v>
      </c>
      <c r="G18" s="29">
        <v>20.21</v>
      </c>
      <c r="H18" s="30" t="s">
        <v>840</v>
      </c>
      <c r="I18" s="30" t="s">
        <v>840</v>
      </c>
      <c r="J18" s="27" t="s">
        <v>840</v>
      </c>
      <c r="K18" s="28"/>
    </row>
    <row r="19" spans="1:11" ht="30.2" customHeight="1" x14ac:dyDescent="0.2">
      <c r="A19" s="10" t="s">
        <v>777</v>
      </c>
      <c r="B19" s="334" t="s">
        <v>994</v>
      </c>
      <c r="C19" s="313" t="s">
        <v>846</v>
      </c>
      <c r="D19" s="92">
        <v>12.823</v>
      </c>
      <c r="E19" s="93">
        <v>1.9419999999999999</v>
      </c>
      <c r="F19" s="94">
        <v>0.27300000000000002</v>
      </c>
      <c r="G19" s="29">
        <v>26.54</v>
      </c>
      <c r="H19" s="30" t="s">
        <v>840</v>
      </c>
      <c r="I19" s="30" t="s">
        <v>840</v>
      </c>
      <c r="J19" s="27" t="s">
        <v>840</v>
      </c>
      <c r="K19" s="28"/>
    </row>
    <row r="20" spans="1:11" ht="30.2" customHeight="1" x14ac:dyDescent="0.2">
      <c r="A20" s="10" t="s">
        <v>778</v>
      </c>
      <c r="B20" s="334" t="s">
        <v>995</v>
      </c>
      <c r="C20" s="313" t="s">
        <v>846</v>
      </c>
      <c r="D20" s="92">
        <v>12.823</v>
      </c>
      <c r="E20" s="93">
        <v>1.9419999999999999</v>
      </c>
      <c r="F20" s="94">
        <v>0.27300000000000002</v>
      </c>
      <c r="G20" s="29">
        <v>46.58</v>
      </c>
      <c r="H20" s="30" t="s">
        <v>840</v>
      </c>
      <c r="I20" s="30" t="s">
        <v>840</v>
      </c>
      <c r="J20" s="27" t="s">
        <v>840</v>
      </c>
      <c r="K20" s="28"/>
    </row>
    <row r="21" spans="1:11" ht="30.2" customHeight="1" x14ac:dyDescent="0.2">
      <c r="A21" s="10" t="s">
        <v>575</v>
      </c>
      <c r="B21" s="334" t="s">
        <v>840</v>
      </c>
      <c r="C21" s="313">
        <v>4</v>
      </c>
      <c r="D21" s="92">
        <v>12.823</v>
      </c>
      <c r="E21" s="93">
        <v>1.9419999999999999</v>
      </c>
      <c r="F21" s="94">
        <v>0.27300000000000002</v>
      </c>
      <c r="G21" s="30" t="s">
        <v>840</v>
      </c>
      <c r="H21" s="30" t="s">
        <v>840</v>
      </c>
      <c r="I21" s="30" t="s">
        <v>840</v>
      </c>
      <c r="J21" s="27" t="s">
        <v>840</v>
      </c>
      <c r="K21" s="28"/>
    </row>
    <row r="22" spans="1:11" ht="30.2" customHeight="1" x14ac:dyDescent="0.2">
      <c r="A22" s="10" t="s">
        <v>595</v>
      </c>
      <c r="B22" s="334" t="s">
        <v>996</v>
      </c>
      <c r="C22" s="313">
        <v>0</v>
      </c>
      <c r="D22" s="92">
        <v>8.5220000000000002</v>
      </c>
      <c r="E22" s="93">
        <v>1.2549999999999999</v>
      </c>
      <c r="F22" s="94">
        <v>0.17899999999999999</v>
      </c>
      <c r="G22" s="29">
        <v>15.25</v>
      </c>
      <c r="H22" s="29">
        <v>5.48</v>
      </c>
      <c r="I22" s="91">
        <v>5.48</v>
      </c>
      <c r="J22" s="26">
        <v>0.16300000000000001</v>
      </c>
      <c r="K22" s="28"/>
    </row>
    <row r="23" spans="1:11" ht="30.2" customHeight="1" x14ac:dyDescent="0.2">
      <c r="A23" s="10" t="s">
        <v>596</v>
      </c>
      <c r="B23" s="334" t="s">
        <v>997</v>
      </c>
      <c r="C23" s="313">
        <v>0</v>
      </c>
      <c r="D23" s="92">
        <v>8.5220000000000002</v>
      </c>
      <c r="E23" s="93">
        <v>1.2549999999999999</v>
      </c>
      <c r="F23" s="94">
        <v>0.17899999999999999</v>
      </c>
      <c r="G23" s="29">
        <v>68.39</v>
      </c>
      <c r="H23" s="29">
        <v>5.48</v>
      </c>
      <c r="I23" s="91">
        <v>5.48</v>
      </c>
      <c r="J23" s="26">
        <v>0.16300000000000001</v>
      </c>
      <c r="K23" s="28"/>
    </row>
    <row r="24" spans="1:11" ht="30.2" customHeight="1" x14ac:dyDescent="0.2">
      <c r="A24" s="10" t="s">
        <v>597</v>
      </c>
      <c r="B24" s="334" t="s">
        <v>998</v>
      </c>
      <c r="C24" s="313">
        <v>0</v>
      </c>
      <c r="D24" s="92">
        <v>8.5220000000000002</v>
      </c>
      <c r="E24" s="93">
        <v>1.2549999999999999</v>
      </c>
      <c r="F24" s="94">
        <v>0.17899999999999999</v>
      </c>
      <c r="G24" s="29">
        <v>129.88999999999999</v>
      </c>
      <c r="H24" s="29">
        <v>5.48</v>
      </c>
      <c r="I24" s="91">
        <v>5.48</v>
      </c>
      <c r="J24" s="26">
        <v>0.16300000000000001</v>
      </c>
      <c r="K24" s="28"/>
    </row>
    <row r="25" spans="1:11" ht="30.2" customHeight="1" x14ac:dyDescent="0.2">
      <c r="A25" s="10" t="s">
        <v>598</v>
      </c>
      <c r="B25" s="334" t="s">
        <v>999</v>
      </c>
      <c r="C25" s="313">
        <v>0</v>
      </c>
      <c r="D25" s="92">
        <v>8.5220000000000002</v>
      </c>
      <c r="E25" s="93">
        <v>1.2549999999999999</v>
      </c>
      <c r="F25" s="94">
        <v>0.17899999999999999</v>
      </c>
      <c r="G25" s="29">
        <v>194.74</v>
      </c>
      <c r="H25" s="29">
        <v>5.48</v>
      </c>
      <c r="I25" s="91">
        <v>5.48</v>
      </c>
      <c r="J25" s="26">
        <v>0.16300000000000001</v>
      </c>
      <c r="K25" s="28"/>
    </row>
    <row r="26" spans="1:11" ht="30.2" customHeight="1" x14ac:dyDescent="0.2">
      <c r="A26" s="10" t="s">
        <v>599</v>
      </c>
      <c r="B26" s="334" t="s">
        <v>1000</v>
      </c>
      <c r="C26" s="313">
        <v>0</v>
      </c>
      <c r="D26" s="92">
        <v>8.5220000000000002</v>
      </c>
      <c r="E26" s="93">
        <v>1.2549999999999999</v>
      </c>
      <c r="F26" s="94">
        <v>0.17899999999999999</v>
      </c>
      <c r="G26" s="29">
        <v>482.86</v>
      </c>
      <c r="H26" s="29">
        <v>5.48</v>
      </c>
      <c r="I26" s="91">
        <v>5.48</v>
      </c>
      <c r="J26" s="26">
        <v>0.16300000000000001</v>
      </c>
      <c r="K26" s="28"/>
    </row>
    <row r="27" spans="1:11" ht="30.2" customHeight="1" x14ac:dyDescent="0.2">
      <c r="A27" s="10" t="s">
        <v>600</v>
      </c>
      <c r="B27" s="334" t="s">
        <v>1001</v>
      </c>
      <c r="C27" s="313">
        <v>0</v>
      </c>
      <c r="D27" s="92">
        <v>4.6340000000000003</v>
      </c>
      <c r="E27" s="93">
        <v>0.626</v>
      </c>
      <c r="F27" s="94">
        <v>9.2999999999999999E-2</v>
      </c>
      <c r="G27" s="29">
        <v>15.25</v>
      </c>
      <c r="H27" s="29">
        <v>5.15</v>
      </c>
      <c r="I27" s="91">
        <v>5.15</v>
      </c>
      <c r="J27" s="26">
        <v>8.6999999999999994E-2</v>
      </c>
      <c r="K27" s="28"/>
    </row>
    <row r="28" spans="1:11" ht="30.2" customHeight="1" x14ac:dyDescent="0.2">
      <c r="A28" s="10" t="s">
        <v>601</v>
      </c>
      <c r="B28" s="334" t="s">
        <v>1002</v>
      </c>
      <c r="C28" s="313">
        <v>0</v>
      </c>
      <c r="D28" s="92">
        <v>4.6340000000000003</v>
      </c>
      <c r="E28" s="93">
        <v>0.626</v>
      </c>
      <c r="F28" s="94">
        <v>9.2999999999999999E-2</v>
      </c>
      <c r="G28" s="29">
        <v>68.39</v>
      </c>
      <c r="H28" s="29">
        <v>5.15</v>
      </c>
      <c r="I28" s="91">
        <v>5.15</v>
      </c>
      <c r="J28" s="26">
        <v>8.6999999999999994E-2</v>
      </c>
      <c r="K28" s="28"/>
    </row>
    <row r="29" spans="1:11" ht="30.2" customHeight="1" x14ac:dyDescent="0.2">
      <c r="A29" s="10" t="s">
        <v>602</v>
      </c>
      <c r="B29" s="334" t="s">
        <v>1003</v>
      </c>
      <c r="C29" s="313">
        <v>0</v>
      </c>
      <c r="D29" s="92">
        <v>4.6340000000000003</v>
      </c>
      <c r="E29" s="93">
        <v>0.626</v>
      </c>
      <c r="F29" s="94">
        <v>9.2999999999999999E-2</v>
      </c>
      <c r="G29" s="29">
        <v>129.88999999999999</v>
      </c>
      <c r="H29" s="29">
        <v>5.15</v>
      </c>
      <c r="I29" s="91">
        <v>5.15</v>
      </c>
      <c r="J29" s="26">
        <v>8.6999999999999994E-2</v>
      </c>
      <c r="K29" s="28"/>
    </row>
    <row r="30" spans="1:11" ht="30.2" customHeight="1" x14ac:dyDescent="0.2">
      <c r="A30" s="10" t="s">
        <v>603</v>
      </c>
      <c r="B30" s="334" t="s">
        <v>1004</v>
      </c>
      <c r="C30" s="313">
        <v>0</v>
      </c>
      <c r="D30" s="92">
        <v>4.6340000000000003</v>
      </c>
      <c r="E30" s="93">
        <v>0.626</v>
      </c>
      <c r="F30" s="94">
        <v>9.2999999999999999E-2</v>
      </c>
      <c r="G30" s="29">
        <v>194.74</v>
      </c>
      <c r="H30" s="29">
        <v>5.15</v>
      </c>
      <c r="I30" s="91">
        <v>5.15</v>
      </c>
      <c r="J30" s="26">
        <v>8.6999999999999994E-2</v>
      </c>
      <c r="K30" s="28"/>
    </row>
    <row r="31" spans="1:11" ht="30.2" customHeight="1" x14ac:dyDescent="0.2">
      <c r="A31" s="10" t="s">
        <v>604</v>
      </c>
      <c r="B31" s="334" t="s">
        <v>1005</v>
      </c>
      <c r="C31" s="313">
        <v>0</v>
      </c>
      <c r="D31" s="92">
        <v>4.6340000000000003</v>
      </c>
      <c r="E31" s="93">
        <v>0.626</v>
      </c>
      <c r="F31" s="94">
        <v>9.2999999999999999E-2</v>
      </c>
      <c r="G31" s="29">
        <v>482.86</v>
      </c>
      <c r="H31" s="29">
        <v>5.15</v>
      </c>
      <c r="I31" s="91">
        <v>5.15</v>
      </c>
      <c r="J31" s="26">
        <v>8.6999999999999994E-2</v>
      </c>
      <c r="K31" s="28"/>
    </row>
    <row r="32" spans="1:11" ht="30.2" customHeight="1" x14ac:dyDescent="0.2">
      <c r="A32" s="10" t="s">
        <v>605</v>
      </c>
      <c r="B32" s="334" t="s">
        <v>1006</v>
      </c>
      <c r="C32" s="313">
        <v>0</v>
      </c>
      <c r="D32" s="92">
        <v>3.403</v>
      </c>
      <c r="E32" s="93">
        <v>0.42699999999999999</v>
      </c>
      <c r="F32" s="94">
        <v>6.6000000000000003E-2</v>
      </c>
      <c r="G32" s="29">
        <v>316.66000000000003</v>
      </c>
      <c r="H32" s="29">
        <v>5.6</v>
      </c>
      <c r="I32" s="91">
        <v>5.6</v>
      </c>
      <c r="J32" s="26">
        <v>6.3E-2</v>
      </c>
      <c r="K32" s="28"/>
    </row>
    <row r="33" spans="1:11" ht="30.2" customHeight="1" x14ac:dyDescent="0.2">
      <c r="A33" s="10" t="s">
        <v>606</v>
      </c>
      <c r="B33" s="334" t="s">
        <v>1007</v>
      </c>
      <c r="C33" s="313">
        <v>0</v>
      </c>
      <c r="D33" s="92">
        <v>3.403</v>
      </c>
      <c r="E33" s="93">
        <v>0.42699999999999999</v>
      </c>
      <c r="F33" s="94">
        <v>6.6000000000000003E-2</v>
      </c>
      <c r="G33" s="29">
        <v>681.69</v>
      </c>
      <c r="H33" s="29">
        <v>5.6</v>
      </c>
      <c r="I33" s="91">
        <v>5.6</v>
      </c>
      <c r="J33" s="26">
        <v>6.3E-2</v>
      </c>
      <c r="K33" s="28"/>
    </row>
    <row r="34" spans="1:11" ht="30.2" customHeight="1" x14ac:dyDescent="0.2">
      <c r="A34" s="10" t="s">
        <v>607</v>
      </c>
      <c r="B34" s="334" t="s">
        <v>1008</v>
      </c>
      <c r="C34" s="313">
        <v>0</v>
      </c>
      <c r="D34" s="92">
        <v>3.403</v>
      </c>
      <c r="E34" s="93">
        <v>0.42699999999999999</v>
      </c>
      <c r="F34" s="94">
        <v>6.6000000000000003E-2</v>
      </c>
      <c r="G34" s="29">
        <v>1316.4</v>
      </c>
      <c r="H34" s="29">
        <v>5.6</v>
      </c>
      <c r="I34" s="91">
        <v>5.6</v>
      </c>
      <c r="J34" s="26">
        <v>6.3E-2</v>
      </c>
      <c r="K34" s="28"/>
    </row>
    <row r="35" spans="1:11" ht="30.2" customHeight="1" x14ac:dyDescent="0.2">
      <c r="A35" s="10" t="s">
        <v>608</v>
      </c>
      <c r="B35" s="334" t="s">
        <v>1009</v>
      </c>
      <c r="C35" s="313">
        <v>0</v>
      </c>
      <c r="D35" s="92">
        <v>3.403</v>
      </c>
      <c r="E35" s="93">
        <v>0.42699999999999999</v>
      </c>
      <c r="F35" s="94">
        <v>6.6000000000000003E-2</v>
      </c>
      <c r="G35" s="29">
        <v>2103.42</v>
      </c>
      <c r="H35" s="29">
        <v>5.6</v>
      </c>
      <c r="I35" s="91">
        <v>5.6</v>
      </c>
      <c r="J35" s="26">
        <v>6.3E-2</v>
      </c>
      <c r="K35" s="28"/>
    </row>
    <row r="36" spans="1:11" ht="30.2" customHeight="1" x14ac:dyDescent="0.2">
      <c r="A36" s="10" t="s">
        <v>609</v>
      </c>
      <c r="B36" s="334" t="s">
        <v>1010</v>
      </c>
      <c r="C36" s="313">
        <v>0</v>
      </c>
      <c r="D36" s="92">
        <v>3.403</v>
      </c>
      <c r="E36" s="93">
        <v>0.42699999999999999</v>
      </c>
      <c r="F36" s="94">
        <v>6.6000000000000003E-2</v>
      </c>
      <c r="G36" s="29">
        <v>5182.22</v>
      </c>
      <c r="H36" s="29">
        <v>5.6</v>
      </c>
      <c r="I36" s="91">
        <v>5.6</v>
      </c>
      <c r="J36" s="26">
        <v>6.3E-2</v>
      </c>
      <c r="K36" s="28"/>
    </row>
    <row r="37" spans="1:11" ht="30.2" customHeight="1" x14ac:dyDescent="0.2">
      <c r="A37" s="10" t="s">
        <v>576</v>
      </c>
      <c r="B37" s="334" t="s">
        <v>1011</v>
      </c>
      <c r="C37" s="313" t="s">
        <v>2110</v>
      </c>
      <c r="D37" s="95">
        <v>33.484000000000002</v>
      </c>
      <c r="E37" s="96">
        <v>1.8129999999999999</v>
      </c>
      <c r="F37" s="94">
        <v>0.498</v>
      </c>
      <c r="G37" s="30" t="s">
        <v>840</v>
      </c>
      <c r="H37" s="30" t="s">
        <v>840</v>
      </c>
      <c r="I37" s="30" t="s">
        <v>840</v>
      </c>
      <c r="J37" s="27" t="s">
        <v>840</v>
      </c>
      <c r="K37" s="28"/>
    </row>
    <row r="38" spans="1:11" ht="30.2" customHeight="1" x14ac:dyDescent="0.2">
      <c r="A38" s="10" t="s">
        <v>765</v>
      </c>
      <c r="B38" s="334" t="s">
        <v>1012</v>
      </c>
      <c r="C38" s="313">
        <v>0</v>
      </c>
      <c r="D38" s="92">
        <v>-7.7359999999999998</v>
      </c>
      <c r="E38" s="93">
        <v>-1.171</v>
      </c>
      <c r="F38" s="94">
        <v>-0.16500000000000001</v>
      </c>
      <c r="G38" s="29" t="s">
        <v>840</v>
      </c>
      <c r="H38" s="30" t="s">
        <v>840</v>
      </c>
      <c r="I38" s="30" t="s">
        <v>840</v>
      </c>
      <c r="J38" s="27" t="s">
        <v>840</v>
      </c>
      <c r="K38" s="28"/>
    </row>
    <row r="39" spans="1:11" ht="30.2" customHeight="1" x14ac:dyDescent="0.2">
      <c r="A39" s="10" t="s">
        <v>766</v>
      </c>
      <c r="B39" s="334" t="s">
        <v>1013</v>
      </c>
      <c r="C39" s="313">
        <v>0</v>
      </c>
      <c r="D39" s="92">
        <v>-6.5179999999999998</v>
      </c>
      <c r="E39" s="93">
        <v>-0.97199999999999998</v>
      </c>
      <c r="F39" s="94">
        <v>-0.13800000000000001</v>
      </c>
      <c r="G39" s="29" t="s">
        <v>840</v>
      </c>
      <c r="H39" s="30" t="s">
        <v>840</v>
      </c>
      <c r="I39" s="30" t="s">
        <v>840</v>
      </c>
      <c r="J39" s="27" t="s">
        <v>840</v>
      </c>
      <c r="K39" s="28"/>
    </row>
    <row r="40" spans="1:11" ht="30.2" customHeight="1" x14ac:dyDescent="0.2">
      <c r="A40" s="10" t="s">
        <v>767</v>
      </c>
      <c r="B40" s="334" t="s">
        <v>1014</v>
      </c>
      <c r="C40" s="313">
        <v>0</v>
      </c>
      <c r="D40" s="92">
        <v>-7.7359999999999998</v>
      </c>
      <c r="E40" s="93">
        <v>-1.171</v>
      </c>
      <c r="F40" s="94">
        <v>-0.16500000000000001</v>
      </c>
      <c r="G40" s="29" t="s">
        <v>840</v>
      </c>
      <c r="H40" s="30" t="s">
        <v>840</v>
      </c>
      <c r="I40" s="30" t="s">
        <v>840</v>
      </c>
      <c r="J40" s="26">
        <v>0.13</v>
      </c>
      <c r="K40" s="28"/>
    </row>
    <row r="41" spans="1:11" ht="30.2" customHeight="1" x14ac:dyDescent="0.2">
      <c r="A41" s="10" t="s">
        <v>768</v>
      </c>
      <c r="B41" s="334" t="s">
        <v>840</v>
      </c>
      <c r="C41" s="313">
        <v>0</v>
      </c>
      <c r="D41" s="92">
        <v>-7.7359999999999998</v>
      </c>
      <c r="E41" s="93">
        <v>-1.171</v>
      </c>
      <c r="F41" s="94">
        <v>-0.16500000000000001</v>
      </c>
      <c r="G41" s="29" t="s">
        <v>840</v>
      </c>
      <c r="H41" s="30" t="s">
        <v>840</v>
      </c>
      <c r="I41" s="30" t="s">
        <v>840</v>
      </c>
      <c r="J41" s="27" t="s">
        <v>840</v>
      </c>
      <c r="K41" s="28"/>
    </row>
    <row r="42" spans="1:11" ht="30.2" customHeight="1" x14ac:dyDescent="0.2">
      <c r="A42" s="10" t="s">
        <v>769</v>
      </c>
      <c r="B42" s="334" t="s">
        <v>840</v>
      </c>
      <c r="C42" s="313">
        <v>0</v>
      </c>
      <c r="D42" s="92">
        <v>-6.5179999999999998</v>
      </c>
      <c r="E42" s="93">
        <v>-0.97199999999999998</v>
      </c>
      <c r="F42" s="94">
        <v>-0.13800000000000001</v>
      </c>
      <c r="G42" s="29" t="s">
        <v>840</v>
      </c>
      <c r="H42" s="30" t="s">
        <v>840</v>
      </c>
      <c r="I42" s="30" t="s">
        <v>840</v>
      </c>
      <c r="J42" s="26">
        <v>0.122</v>
      </c>
      <c r="K42" s="28"/>
    </row>
    <row r="43" spans="1:11" ht="30.2" customHeight="1" x14ac:dyDescent="0.2">
      <c r="A43" s="10" t="s">
        <v>770</v>
      </c>
      <c r="B43" s="334" t="s">
        <v>840</v>
      </c>
      <c r="C43" s="313">
        <v>0</v>
      </c>
      <c r="D43" s="92">
        <v>-6.5179999999999998</v>
      </c>
      <c r="E43" s="93">
        <v>-0.97199999999999998</v>
      </c>
      <c r="F43" s="94">
        <v>-0.13800000000000001</v>
      </c>
      <c r="G43" s="29" t="s">
        <v>840</v>
      </c>
      <c r="H43" s="30" t="s">
        <v>840</v>
      </c>
      <c r="I43" s="30" t="s">
        <v>840</v>
      </c>
      <c r="J43" s="27" t="s">
        <v>840</v>
      </c>
      <c r="K43" s="28"/>
    </row>
    <row r="44" spans="1:11" ht="30.2" customHeight="1" x14ac:dyDescent="0.2">
      <c r="A44" s="10" t="s">
        <v>771</v>
      </c>
      <c r="B44" s="334" t="s">
        <v>1015</v>
      </c>
      <c r="C44" s="313">
        <v>0</v>
      </c>
      <c r="D44" s="92">
        <v>-3.8839999999999999</v>
      </c>
      <c r="E44" s="93">
        <v>-0.52500000000000002</v>
      </c>
      <c r="F44" s="94">
        <v>-7.8E-2</v>
      </c>
      <c r="G44" s="29">
        <v>70.64</v>
      </c>
      <c r="H44" s="30" t="s">
        <v>840</v>
      </c>
      <c r="I44" s="30" t="s">
        <v>840</v>
      </c>
      <c r="J44" s="26">
        <v>0.108</v>
      </c>
      <c r="K44" s="28"/>
    </row>
    <row r="45" spans="1:11" ht="30.2" customHeight="1" x14ac:dyDescent="0.2">
      <c r="A45" s="10" t="s">
        <v>772</v>
      </c>
      <c r="B45" s="334" t="s">
        <v>840</v>
      </c>
      <c r="C45" s="313">
        <v>0</v>
      </c>
      <c r="D45" s="92">
        <v>-3.8839999999999999</v>
      </c>
      <c r="E45" s="93">
        <v>-0.52500000000000002</v>
      </c>
      <c r="F45" s="94">
        <v>-7.8E-2</v>
      </c>
      <c r="G45" s="29">
        <v>70.64</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charges_F'; based on connection level, credits may therefore be lower than stated above.</v>
      </c>
    </row>
    <row r="47" spans="1:11" ht="27.75" customHeight="1" x14ac:dyDescent="0.2">
      <c r="A47" s="332" t="s">
        <v>521</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16B71733-C9BF-47F6-A3CA-B319A9915FD8}"/>
    <hyperlink ref="A47" location="'Annex 4 LDNO charges_F'!A1" display="Annex 4 LDNO charges_F" xr:uid="{C1C6D0BC-DAD9-4A4A-BE16-E1FFC462D26F}"/>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9"/>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20" ht="27.75" customHeight="1" x14ac:dyDescent="0.2">
      <c r="A1" s="32" t="s">
        <v>19</v>
      </c>
      <c r="B1" s="41"/>
      <c r="C1" s="41"/>
      <c r="D1" s="41"/>
      <c r="L1" s="243"/>
      <c r="M1" s="342"/>
    </row>
    <row r="2" spans="1:20" ht="27" customHeight="1" x14ac:dyDescent="0.2">
      <c r="A2" s="371" t="str">
        <f>Overview!B4&amp;" - Effective from "&amp;TEXT(Overview!$D$4,"d mmmm yyyy")&amp;" - Final LV and HV charges in Electricity North West Area (GSP Group _G)"</f>
        <v>Leep Electricity Networks Limited - Effective from 1 April 2026 - Final LV and HV charges in Electricity North West Area (GSP Group _G)</v>
      </c>
      <c r="B2" s="371"/>
      <c r="C2" s="371"/>
      <c r="D2" s="371"/>
      <c r="E2" s="371"/>
      <c r="F2" s="371"/>
      <c r="G2" s="371"/>
      <c r="H2" s="371"/>
      <c r="I2" s="371"/>
      <c r="J2" s="371"/>
      <c r="K2" s="371"/>
    </row>
    <row r="3" spans="1:20" s="41" customFormat="1" ht="15" customHeight="1" x14ac:dyDescent="0.2">
      <c r="A3" s="46"/>
      <c r="B3" s="46"/>
      <c r="C3" s="46"/>
      <c r="D3" s="46"/>
      <c r="E3" s="46"/>
      <c r="F3" s="46"/>
      <c r="G3" s="46"/>
      <c r="H3" s="46"/>
      <c r="I3" s="46"/>
      <c r="J3" s="46"/>
      <c r="K3" s="46"/>
      <c r="L3" s="100"/>
      <c r="M3" s="344"/>
    </row>
    <row r="4" spans="1:20" ht="27" customHeight="1" x14ac:dyDescent="0.2">
      <c r="A4" s="371" t="s">
        <v>308</v>
      </c>
      <c r="B4" s="371"/>
      <c r="C4" s="371"/>
      <c r="D4" s="371"/>
      <c r="E4" s="371"/>
      <c r="F4" s="46"/>
      <c r="G4" s="371" t="s">
        <v>307</v>
      </c>
      <c r="H4" s="371"/>
      <c r="I4" s="371"/>
      <c r="J4" s="371"/>
      <c r="K4" s="371"/>
      <c r="N4" s="395"/>
      <c r="O4" s="396"/>
      <c r="P4" s="396"/>
      <c r="Q4" s="396"/>
      <c r="R4" s="396"/>
      <c r="S4" s="396"/>
      <c r="T4" s="397"/>
    </row>
    <row r="5" spans="1:20" ht="28.5" customHeight="1" x14ac:dyDescent="0.2">
      <c r="A5" s="40" t="s">
        <v>13</v>
      </c>
      <c r="B5" s="258" t="s">
        <v>299</v>
      </c>
      <c r="C5" s="366" t="s">
        <v>300</v>
      </c>
      <c r="D5" s="367"/>
      <c r="E5" s="42" t="s">
        <v>301</v>
      </c>
      <c r="F5" s="46"/>
      <c r="G5" s="368"/>
      <c r="H5" s="369"/>
      <c r="I5" s="44" t="s">
        <v>305</v>
      </c>
      <c r="J5" s="45" t="s">
        <v>306</v>
      </c>
      <c r="K5" s="42" t="s">
        <v>301</v>
      </c>
      <c r="L5" s="46"/>
      <c r="N5" s="396"/>
      <c r="O5" s="396"/>
      <c r="P5" s="396"/>
      <c r="Q5" s="396"/>
      <c r="R5" s="396"/>
      <c r="S5" s="396"/>
      <c r="T5" s="397"/>
    </row>
    <row r="6" spans="1:20" ht="65.25" customHeight="1" x14ac:dyDescent="0.2">
      <c r="A6" s="43" t="s">
        <v>837</v>
      </c>
      <c r="B6" s="13" t="s">
        <v>471</v>
      </c>
      <c r="C6" s="378" t="s">
        <v>2111</v>
      </c>
      <c r="D6" s="378"/>
      <c r="E6" s="13" t="s">
        <v>2112</v>
      </c>
      <c r="F6" s="46" t="s">
        <v>840</v>
      </c>
      <c r="G6" s="400" t="s">
        <v>843</v>
      </c>
      <c r="H6" s="401"/>
      <c r="I6" s="252" t="s">
        <v>840</v>
      </c>
      <c r="J6" s="250" t="s">
        <v>2113</v>
      </c>
      <c r="K6" s="97" t="s">
        <v>2112</v>
      </c>
      <c r="L6" s="46"/>
      <c r="N6" s="3"/>
    </row>
    <row r="7" spans="1:20" ht="65.25" customHeight="1" x14ac:dyDescent="0.2">
      <c r="A7" s="43" t="s">
        <v>841</v>
      </c>
      <c r="B7" s="252" t="s">
        <v>840</v>
      </c>
      <c r="C7" s="378" t="s">
        <v>471</v>
      </c>
      <c r="D7" s="378"/>
      <c r="E7" s="13" t="s">
        <v>2114</v>
      </c>
      <c r="F7" s="46" t="s">
        <v>840</v>
      </c>
      <c r="G7" s="400" t="s">
        <v>303</v>
      </c>
      <c r="H7" s="401"/>
      <c r="I7" s="13" t="s">
        <v>471</v>
      </c>
      <c r="J7" s="250" t="s">
        <v>2115</v>
      </c>
      <c r="K7" s="97" t="s">
        <v>2112</v>
      </c>
      <c r="L7" s="46"/>
      <c r="N7" s="3"/>
    </row>
    <row r="8" spans="1:20" ht="56.25" customHeight="1" x14ac:dyDescent="0.2">
      <c r="A8" s="259" t="s">
        <v>14</v>
      </c>
      <c r="B8" s="402" t="s">
        <v>15</v>
      </c>
      <c r="C8" s="403"/>
      <c r="D8" s="403"/>
      <c r="E8" s="404"/>
      <c r="F8" s="46" t="s">
        <v>840</v>
      </c>
      <c r="G8" s="400" t="s">
        <v>2074</v>
      </c>
      <c r="H8" s="401"/>
      <c r="I8" s="252" t="s">
        <v>840</v>
      </c>
      <c r="J8" s="13" t="s">
        <v>471</v>
      </c>
      <c r="K8" s="97" t="s">
        <v>2114</v>
      </c>
      <c r="L8" s="46"/>
      <c r="N8" s="3"/>
    </row>
    <row r="9" spans="1:20" s="41" customFormat="1" ht="32.25" customHeight="1" x14ac:dyDescent="0.2">
      <c r="A9" s="41" t="s">
        <v>840</v>
      </c>
      <c r="B9" s="41" t="s">
        <v>840</v>
      </c>
      <c r="C9" s="41" t="s">
        <v>840</v>
      </c>
      <c r="D9" s="41" t="s">
        <v>840</v>
      </c>
      <c r="E9" s="41" t="s">
        <v>840</v>
      </c>
      <c r="F9" s="46" t="s">
        <v>840</v>
      </c>
      <c r="G9" s="380" t="s">
        <v>14</v>
      </c>
      <c r="H9" s="381"/>
      <c r="I9" s="252" t="s">
        <v>15</v>
      </c>
      <c r="J9" s="252" t="s">
        <v>840</v>
      </c>
      <c r="K9" s="13" t="s">
        <v>840</v>
      </c>
      <c r="L9" s="46"/>
      <c r="M9" s="344"/>
      <c r="N9" s="31"/>
    </row>
    <row r="10" spans="1:20" s="41" customFormat="1" ht="36" customHeight="1" x14ac:dyDescent="0.2">
      <c r="A10" s="41" t="s">
        <v>840</v>
      </c>
      <c r="B10" s="41" t="s">
        <v>840</v>
      </c>
      <c r="C10" s="41" t="s">
        <v>840</v>
      </c>
      <c r="D10" s="41" t="s">
        <v>840</v>
      </c>
      <c r="E10" s="41" t="s">
        <v>840</v>
      </c>
      <c r="F10" s="46" t="s">
        <v>840</v>
      </c>
      <c r="G10" s="374" t="s">
        <v>840</v>
      </c>
      <c r="H10" s="374"/>
      <c r="I10" s="252" t="s">
        <v>840</v>
      </c>
      <c r="J10" s="13" t="s">
        <v>840</v>
      </c>
      <c r="K10" s="97" t="s">
        <v>840</v>
      </c>
      <c r="L10" s="46"/>
      <c r="M10" s="344"/>
      <c r="N10" s="31"/>
    </row>
    <row r="11" spans="1:20" s="41" customFormat="1" ht="27" customHeight="1" x14ac:dyDescent="0.2">
      <c r="A11" s="46" t="s">
        <v>458</v>
      </c>
      <c r="B11" s="46" t="s">
        <v>23</v>
      </c>
      <c r="C11" s="46" t="s">
        <v>24</v>
      </c>
      <c r="D11" s="46" t="s">
        <v>577</v>
      </c>
      <c r="E11" s="46" t="s">
        <v>578</v>
      </c>
      <c r="F11" s="46" t="s">
        <v>579</v>
      </c>
      <c r="G11" s="412" t="s">
        <v>25</v>
      </c>
      <c r="H11" s="412"/>
      <c r="I11" s="402" t="s">
        <v>459</v>
      </c>
      <c r="J11" s="403"/>
      <c r="K11" s="404"/>
      <c r="L11" s="46"/>
      <c r="M11" s="344"/>
    </row>
    <row r="12" spans="1:20" s="41" customFormat="1" ht="12.75" customHeight="1" x14ac:dyDescent="0.2">
      <c r="A12" s="46"/>
      <c r="B12" s="46"/>
      <c r="C12" s="46"/>
      <c r="D12" s="46"/>
      <c r="E12" s="46"/>
      <c r="F12" s="46"/>
      <c r="G12" s="46"/>
      <c r="H12" s="46"/>
      <c r="I12" s="46"/>
      <c r="J12" s="46"/>
      <c r="K12" s="46"/>
      <c r="L12" s="100"/>
      <c r="M12" s="344"/>
    </row>
    <row r="13" spans="1:20"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20" ht="39.950000000000003" customHeight="1" x14ac:dyDescent="0.2">
      <c r="A14" s="10" t="s">
        <v>773</v>
      </c>
      <c r="B14" s="334" t="s">
        <v>1016</v>
      </c>
      <c r="C14" s="313" t="s">
        <v>845</v>
      </c>
      <c r="D14" s="92">
        <v>16.206</v>
      </c>
      <c r="E14" s="93">
        <v>2.5649999999999999</v>
      </c>
      <c r="F14" s="94">
        <v>0.15</v>
      </c>
      <c r="G14" s="29">
        <v>2.88</v>
      </c>
      <c r="H14" s="30" t="s">
        <v>840</v>
      </c>
      <c r="I14" s="30" t="s">
        <v>840</v>
      </c>
      <c r="J14" s="27" t="s">
        <v>840</v>
      </c>
      <c r="K14" s="28"/>
    </row>
    <row r="15" spans="1:20" ht="30.2" customHeight="1" x14ac:dyDescent="0.2">
      <c r="A15" s="10" t="s">
        <v>594</v>
      </c>
      <c r="B15" s="334" t="s">
        <v>840</v>
      </c>
      <c r="C15" s="313" t="s">
        <v>2075</v>
      </c>
      <c r="D15" s="92">
        <v>16.206</v>
      </c>
      <c r="E15" s="93">
        <v>2.5649999999999999</v>
      </c>
      <c r="F15" s="94">
        <v>0.15</v>
      </c>
      <c r="G15" s="30" t="s">
        <v>840</v>
      </c>
      <c r="H15" s="30" t="s">
        <v>840</v>
      </c>
      <c r="I15" s="30" t="s">
        <v>840</v>
      </c>
      <c r="J15" s="27" t="s">
        <v>840</v>
      </c>
      <c r="K15" s="28"/>
    </row>
    <row r="16" spans="1:20" ht="30.2" customHeight="1" x14ac:dyDescent="0.2">
      <c r="A16" s="10" t="s">
        <v>774</v>
      </c>
      <c r="B16" s="334" t="s">
        <v>1017</v>
      </c>
      <c r="C16" s="313" t="s">
        <v>846</v>
      </c>
      <c r="D16" s="92">
        <v>15.538</v>
      </c>
      <c r="E16" s="93">
        <v>2.4590000000000001</v>
      </c>
      <c r="F16" s="94">
        <v>0.14399999999999999</v>
      </c>
      <c r="G16" s="29">
        <v>9.01</v>
      </c>
      <c r="H16" s="30" t="s">
        <v>840</v>
      </c>
      <c r="I16" s="30" t="s">
        <v>840</v>
      </c>
      <c r="J16" s="27" t="s">
        <v>840</v>
      </c>
      <c r="K16" s="28"/>
    </row>
    <row r="17" spans="1:14" ht="39.950000000000003" customHeight="1" x14ac:dyDescent="0.2">
      <c r="A17" s="10" t="s">
        <v>775</v>
      </c>
      <c r="B17" s="334" t="s">
        <v>1018</v>
      </c>
      <c r="C17" s="313" t="s">
        <v>846</v>
      </c>
      <c r="D17" s="92">
        <v>15.538</v>
      </c>
      <c r="E17" s="93">
        <v>2.4590000000000001</v>
      </c>
      <c r="F17" s="94">
        <v>0.14299999999999999</v>
      </c>
      <c r="G17" s="29" t="s">
        <v>840</v>
      </c>
      <c r="H17" s="30" t="s">
        <v>840</v>
      </c>
      <c r="I17" s="30" t="s">
        <v>840</v>
      </c>
      <c r="J17" s="27" t="s">
        <v>840</v>
      </c>
      <c r="K17" s="28"/>
    </row>
    <row r="18" spans="1:14" ht="39.950000000000003" customHeight="1" x14ac:dyDescent="0.2">
      <c r="A18" s="10" t="s">
        <v>776</v>
      </c>
      <c r="B18" s="334" t="s">
        <v>1019</v>
      </c>
      <c r="C18" s="313" t="s">
        <v>846</v>
      </c>
      <c r="D18" s="92">
        <v>15.163</v>
      </c>
      <c r="E18" s="93">
        <v>2.0840000000000001</v>
      </c>
      <c r="F18" s="94" t="s">
        <v>840</v>
      </c>
      <c r="G18" s="29" t="s">
        <v>840</v>
      </c>
      <c r="H18" s="30" t="s">
        <v>840</v>
      </c>
      <c r="I18" s="30" t="s">
        <v>840</v>
      </c>
      <c r="J18" s="27" t="s">
        <v>840</v>
      </c>
      <c r="K18" s="28"/>
    </row>
    <row r="19" spans="1:14" ht="39.950000000000003" customHeight="1" x14ac:dyDescent="0.2">
      <c r="A19" s="10" t="s">
        <v>777</v>
      </c>
      <c r="B19" s="334" t="s">
        <v>1020</v>
      </c>
      <c r="C19" s="313" t="s">
        <v>846</v>
      </c>
      <c r="D19" s="92">
        <v>14.678000000000001</v>
      </c>
      <c r="E19" s="93">
        <v>1.599</v>
      </c>
      <c r="F19" s="94" t="s">
        <v>840</v>
      </c>
      <c r="G19" s="29" t="s">
        <v>840</v>
      </c>
      <c r="H19" s="30" t="s">
        <v>840</v>
      </c>
      <c r="I19" s="30" t="s">
        <v>840</v>
      </c>
      <c r="J19" s="27" t="s">
        <v>840</v>
      </c>
      <c r="K19" s="28"/>
    </row>
    <row r="20" spans="1:14" ht="39.950000000000003" customHeight="1" x14ac:dyDescent="0.2">
      <c r="A20" s="10" t="s">
        <v>778</v>
      </c>
      <c r="B20" s="334" t="s">
        <v>1021</v>
      </c>
      <c r="C20" s="313" t="s">
        <v>846</v>
      </c>
      <c r="D20" s="92">
        <v>14.374000000000001</v>
      </c>
      <c r="E20" s="93">
        <v>1.2949999999999999</v>
      </c>
      <c r="F20" s="94" t="s">
        <v>840</v>
      </c>
      <c r="G20" s="29" t="s">
        <v>840</v>
      </c>
      <c r="H20" s="30" t="s">
        <v>840</v>
      </c>
      <c r="I20" s="30" t="s">
        <v>840</v>
      </c>
      <c r="J20" s="27" t="s">
        <v>840</v>
      </c>
      <c r="K20" s="28"/>
    </row>
    <row r="21" spans="1:14" ht="30.2" customHeight="1" x14ac:dyDescent="0.2">
      <c r="A21" s="10" t="s">
        <v>575</v>
      </c>
      <c r="B21" s="334" t="s">
        <v>840</v>
      </c>
      <c r="C21" s="313" t="s">
        <v>2076</v>
      </c>
      <c r="D21" s="92">
        <v>15.538</v>
      </c>
      <c r="E21" s="93">
        <v>2.4590000000000001</v>
      </c>
      <c r="F21" s="94">
        <v>0.14399999999999999</v>
      </c>
      <c r="G21" s="30" t="s">
        <v>840</v>
      </c>
      <c r="H21" s="30" t="s">
        <v>840</v>
      </c>
      <c r="I21" s="30" t="s">
        <v>840</v>
      </c>
      <c r="J21" s="27" t="s">
        <v>840</v>
      </c>
      <c r="K21" s="28"/>
    </row>
    <row r="22" spans="1:14" ht="30.2" customHeight="1" x14ac:dyDescent="0.2">
      <c r="A22" s="10" t="s">
        <v>595</v>
      </c>
      <c r="B22" s="334" t="s">
        <v>1022</v>
      </c>
      <c r="C22" s="313">
        <v>0</v>
      </c>
      <c r="D22" s="92">
        <v>9.4169999999999998</v>
      </c>
      <c r="E22" s="93">
        <v>1.393</v>
      </c>
      <c r="F22" s="94">
        <v>8.3000000000000004E-2</v>
      </c>
      <c r="G22" s="29">
        <v>31.71</v>
      </c>
      <c r="H22" s="29">
        <v>6.92</v>
      </c>
      <c r="I22" s="91">
        <v>6.92</v>
      </c>
      <c r="J22" s="26">
        <v>0.17299999999999999</v>
      </c>
      <c r="K22" s="28"/>
    </row>
    <row r="23" spans="1:14" ht="30.2" customHeight="1" x14ac:dyDescent="0.2">
      <c r="A23" s="10" t="s">
        <v>596</v>
      </c>
      <c r="B23" s="334" t="s">
        <v>1023</v>
      </c>
      <c r="C23" s="313">
        <v>0</v>
      </c>
      <c r="D23" s="92">
        <v>7.8319999999999999</v>
      </c>
      <c r="E23" s="93">
        <v>0.42499999999999999</v>
      </c>
      <c r="F23" s="94">
        <v>2.4E-2</v>
      </c>
      <c r="G23" s="29" t="s">
        <v>840</v>
      </c>
      <c r="H23" s="29">
        <v>6.92</v>
      </c>
      <c r="I23" s="91">
        <v>6.92</v>
      </c>
      <c r="J23" s="26">
        <v>0.17299999999999999</v>
      </c>
      <c r="K23" s="28"/>
    </row>
    <row r="24" spans="1:14" ht="30.2" customHeight="1" x14ac:dyDescent="0.2">
      <c r="A24" s="10" t="s">
        <v>597</v>
      </c>
      <c r="B24" s="334" t="s">
        <v>1024</v>
      </c>
      <c r="C24" s="313">
        <v>0</v>
      </c>
      <c r="D24" s="92">
        <v>7.3170000000000002</v>
      </c>
      <c r="E24" s="93">
        <v>0.42499999999999999</v>
      </c>
      <c r="F24" s="94">
        <v>2.4E-2</v>
      </c>
      <c r="G24" s="29" t="s">
        <v>840</v>
      </c>
      <c r="H24" s="29">
        <v>6.92</v>
      </c>
      <c r="I24" s="91">
        <v>6.92</v>
      </c>
      <c r="J24" s="26">
        <v>0.17299999999999999</v>
      </c>
      <c r="K24" s="28"/>
    </row>
    <row r="25" spans="1:14" ht="30.2" customHeight="1" x14ac:dyDescent="0.2">
      <c r="A25" s="10" t="s">
        <v>598</v>
      </c>
      <c r="B25" s="334" t="s">
        <v>1025</v>
      </c>
      <c r="C25" s="313">
        <v>0</v>
      </c>
      <c r="D25" s="92">
        <v>6.8920000000000003</v>
      </c>
      <c r="E25" s="93">
        <v>0.42499999999999999</v>
      </c>
      <c r="F25" s="94">
        <v>2.4E-2</v>
      </c>
      <c r="G25" s="29" t="s">
        <v>840</v>
      </c>
      <c r="H25" s="29">
        <v>6.92</v>
      </c>
      <c r="I25" s="91">
        <v>6.92</v>
      </c>
      <c r="J25" s="26">
        <v>0.17299999999999999</v>
      </c>
      <c r="K25" s="28"/>
    </row>
    <row r="26" spans="1:14" ht="30.2" customHeight="1" x14ac:dyDescent="0.2">
      <c r="A26" s="10" t="s">
        <v>599</v>
      </c>
      <c r="B26" s="334" t="s">
        <v>1026</v>
      </c>
      <c r="C26" s="313">
        <v>0</v>
      </c>
      <c r="D26" s="92">
        <v>6.5389999999999997</v>
      </c>
      <c r="E26" s="93">
        <v>0.42499999999999999</v>
      </c>
      <c r="F26" s="94">
        <v>2.4E-2</v>
      </c>
      <c r="G26" s="29" t="s">
        <v>840</v>
      </c>
      <c r="H26" s="29">
        <v>6.92</v>
      </c>
      <c r="I26" s="91">
        <v>6.92</v>
      </c>
      <c r="J26" s="26">
        <v>0.17299999999999999</v>
      </c>
      <c r="K26" s="28"/>
    </row>
    <row r="27" spans="1:14" ht="30.2" customHeight="1" x14ac:dyDescent="0.2">
      <c r="A27" s="10" t="s">
        <v>600</v>
      </c>
      <c r="B27" s="334" t="s">
        <v>1027</v>
      </c>
      <c r="C27" s="313">
        <v>0</v>
      </c>
      <c r="D27" s="92">
        <v>7.1070000000000002</v>
      </c>
      <c r="E27" s="93">
        <v>0.96699999999999997</v>
      </c>
      <c r="F27" s="94">
        <v>5.8999999999999997E-2</v>
      </c>
      <c r="G27" s="29">
        <v>102.35</v>
      </c>
      <c r="H27" s="29">
        <v>8.1300000000000008</v>
      </c>
      <c r="I27" s="91">
        <v>8.1300000000000008</v>
      </c>
      <c r="J27" s="26">
        <v>0.12</v>
      </c>
      <c r="K27" s="28"/>
      <c r="N27" s="3"/>
    </row>
    <row r="28" spans="1:14" ht="30.2" customHeight="1" x14ac:dyDescent="0.2">
      <c r="A28" s="10" t="s">
        <v>601</v>
      </c>
      <c r="B28" s="334" t="s">
        <v>1028</v>
      </c>
      <c r="C28" s="313">
        <v>0</v>
      </c>
      <c r="D28" s="92">
        <v>5.5220000000000002</v>
      </c>
      <c r="E28" s="93" t="s">
        <v>840</v>
      </c>
      <c r="F28" s="94" t="s">
        <v>840</v>
      </c>
      <c r="G28" s="29">
        <v>70.64</v>
      </c>
      <c r="H28" s="29">
        <v>8.1300000000000008</v>
      </c>
      <c r="I28" s="91">
        <v>8.1300000000000008</v>
      </c>
      <c r="J28" s="26">
        <v>0.12</v>
      </c>
      <c r="K28" s="28"/>
      <c r="N28" s="3"/>
    </row>
    <row r="29" spans="1:14" ht="30.2" customHeight="1" x14ac:dyDescent="0.2">
      <c r="A29" s="10" t="s">
        <v>602</v>
      </c>
      <c r="B29" s="334" t="s">
        <v>1029</v>
      </c>
      <c r="C29" s="313">
        <v>0</v>
      </c>
      <c r="D29" s="92">
        <v>5.0069999999999997</v>
      </c>
      <c r="E29" s="93" t="s">
        <v>840</v>
      </c>
      <c r="F29" s="94" t="s">
        <v>840</v>
      </c>
      <c r="G29" s="29">
        <v>70.64</v>
      </c>
      <c r="H29" s="29">
        <v>8.1300000000000008</v>
      </c>
      <c r="I29" s="91">
        <v>8.1300000000000008</v>
      </c>
      <c r="J29" s="26">
        <v>0.12</v>
      </c>
      <c r="K29" s="28"/>
    </row>
    <row r="30" spans="1:14" ht="30.2" customHeight="1" x14ac:dyDescent="0.2">
      <c r="A30" s="10" t="s">
        <v>603</v>
      </c>
      <c r="B30" s="334" t="s">
        <v>1030</v>
      </c>
      <c r="C30" s="313">
        <v>0</v>
      </c>
      <c r="D30" s="92">
        <v>4.5819999999999999</v>
      </c>
      <c r="E30" s="93" t="s">
        <v>840</v>
      </c>
      <c r="F30" s="94" t="s">
        <v>840</v>
      </c>
      <c r="G30" s="29">
        <v>70.64</v>
      </c>
      <c r="H30" s="29">
        <v>8.1300000000000008</v>
      </c>
      <c r="I30" s="91">
        <v>8.1300000000000008</v>
      </c>
      <c r="J30" s="26">
        <v>0.12</v>
      </c>
      <c r="K30" s="28"/>
    </row>
    <row r="31" spans="1:14" ht="30.2" customHeight="1" x14ac:dyDescent="0.2">
      <c r="A31" s="10" t="s">
        <v>604</v>
      </c>
      <c r="B31" s="334" t="s">
        <v>1031</v>
      </c>
      <c r="C31" s="313">
        <v>0</v>
      </c>
      <c r="D31" s="92">
        <v>4.2290000000000001</v>
      </c>
      <c r="E31" s="93" t="s">
        <v>840</v>
      </c>
      <c r="F31" s="94" t="s">
        <v>840</v>
      </c>
      <c r="G31" s="29">
        <v>70.64</v>
      </c>
      <c r="H31" s="29">
        <v>8.1300000000000008</v>
      </c>
      <c r="I31" s="91">
        <v>8.1300000000000008</v>
      </c>
      <c r="J31" s="26">
        <v>0.12</v>
      </c>
      <c r="K31" s="28"/>
    </row>
    <row r="32" spans="1:14" ht="30.2" customHeight="1" x14ac:dyDescent="0.2">
      <c r="A32" s="10" t="s">
        <v>605</v>
      </c>
      <c r="B32" s="334" t="s">
        <v>1032</v>
      </c>
      <c r="C32" s="313">
        <v>0</v>
      </c>
      <c r="D32" s="92">
        <v>4.9189999999999996</v>
      </c>
      <c r="E32" s="93">
        <v>0.58699999999999997</v>
      </c>
      <c r="F32" s="94">
        <v>3.7999999999999999E-2</v>
      </c>
      <c r="G32" s="29">
        <v>225.05</v>
      </c>
      <c r="H32" s="29">
        <v>7.79</v>
      </c>
      <c r="I32" s="91">
        <v>7.79</v>
      </c>
      <c r="J32" s="26">
        <v>7.1999999999999995E-2</v>
      </c>
      <c r="K32" s="28"/>
    </row>
    <row r="33" spans="1:11" ht="30.2" customHeight="1" x14ac:dyDescent="0.2">
      <c r="A33" s="10" t="s">
        <v>606</v>
      </c>
      <c r="B33" s="334" t="s">
        <v>1033</v>
      </c>
      <c r="C33" s="313">
        <v>0</v>
      </c>
      <c r="D33" s="92">
        <v>1.998</v>
      </c>
      <c r="E33" s="93" t="s">
        <v>840</v>
      </c>
      <c r="F33" s="94" t="s">
        <v>840</v>
      </c>
      <c r="G33" s="29" t="s">
        <v>840</v>
      </c>
      <c r="H33" s="29">
        <v>7.79</v>
      </c>
      <c r="I33" s="91">
        <v>7.79</v>
      </c>
      <c r="J33" s="26">
        <v>7.1999999999999995E-2</v>
      </c>
      <c r="K33" s="28"/>
    </row>
    <row r="34" spans="1:11" ht="30.2" customHeight="1" x14ac:dyDescent="0.2">
      <c r="A34" s="10" t="s">
        <v>607</v>
      </c>
      <c r="B34" s="334" t="s">
        <v>1034</v>
      </c>
      <c r="C34" s="313">
        <v>0</v>
      </c>
      <c r="D34" s="92">
        <v>0.64</v>
      </c>
      <c r="E34" s="93" t="s">
        <v>840</v>
      </c>
      <c r="F34" s="94" t="s">
        <v>840</v>
      </c>
      <c r="G34" s="29" t="s">
        <v>840</v>
      </c>
      <c r="H34" s="29">
        <v>7.79</v>
      </c>
      <c r="I34" s="91">
        <v>7.79</v>
      </c>
      <c r="J34" s="26">
        <v>7.1999999999999995E-2</v>
      </c>
      <c r="K34" s="28"/>
    </row>
    <row r="35" spans="1:11" ht="30.2" customHeight="1" x14ac:dyDescent="0.2">
      <c r="A35" s="10" t="s">
        <v>608</v>
      </c>
      <c r="B35" s="334" t="s">
        <v>1035</v>
      </c>
      <c r="C35" s="313">
        <v>0</v>
      </c>
      <c r="D35" s="92">
        <v>0.36299999999999999</v>
      </c>
      <c r="E35" s="93" t="s">
        <v>840</v>
      </c>
      <c r="F35" s="94" t="s">
        <v>840</v>
      </c>
      <c r="G35" s="29" t="s">
        <v>840</v>
      </c>
      <c r="H35" s="29">
        <v>7.79</v>
      </c>
      <c r="I35" s="91">
        <v>7.79</v>
      </c>
      <c r="J35" s="26">
        <v>7.1999999999999995E-2</v>
      </c>
      <c r="K35" s="28"/>
    </row>
    <row r="36" spans="1:11" ht="30.2" customHeight="1" x14ac:dyDescent="0.2">
      <c r="A36" s="10" t="s">
        <v>609</v>
      </c>
      <c r="B36" s="334" t="s">
        <v>1036</v>
      </c>
      <c r="C36" s="313">
        <v>0</v>
      </c>
      <c r="D36" s="92" t="s">
        <v>840</v>
      </c>
      <c r="E36" s="93" t="s">
        <v>840</v>
      </c>
      <c r="F36" s="94" t="s">
        <v>840</v>
      </c>
      <c r="G36" s="29" t="s">
        <v>840</v>
      </c>
      <c r="H36" s="29">
        <v>7.79</v>
      </c>
      <c r="I36" s="91">
        <v>7.79</v>
      </c>
      <c r="J36" s="26">
        <v>7.1999999999999995E-2</v>
      </c>
      <c r="K36" s="28"/>
    </row>
    <row r="37" spans="1:11" ht="30.2" customHeight="1" x14ac:dyDescent="0.2">
      <c r="A37" s="10" t="s">
        <v>576</v>
      </c>
      <c r="B37" s="334" t="s">
        <v>1037</v>
      </c>
      <c r="C37" s="313" t="s">
        <v>847</v>
      </c>
      <c r="D37" s="95">
        <v>48.399000000000001</v>
      </c>
      <c r="E37" s="96">
        <v>5.3079999999999998</v>
      </c>
      <c r="F37" s="94">
        <v>3.3439999999999999</v>
      </c>
      <c r="G37" s="30" t="s">
        <v>840</v>
      </c>
      <c r="H37" s="30" t="s">
        <v>840</v>
      </c>
      <c r="I37" s="30" t="s">
        <v>840</v>
      </c>
      <c r="J37" s="27" t="s">
        <v>840</v>
      </c>
      <c r="K37" s="28"/>
    </row>
    <row r="38" spans="1:11" ht="30.2" customHeight="1" x14ac:dyDescent="0.2">
      <c r="A38" s="10" t="s">
        <v>765</v>
      </c>
      <c r="B38" s="334" t="s">
        <v>1038</v>
      </c>
      <c r="C38" s="313">
        <v>0</v>
      </c>
      <c r="D38" s="92">
        <v>-9.968</v>
      </c>
      <c r="E38" s="93">
        <v>-1.5780000000000001</v>
      </c>
      <c r="F38" s="94">
        <v>-9.1999999999999998E-2</v>
      </c>
      <c r="G38" s="29" t="s">
        <v>840</v>
      </c>
      <c r="H38" s="30" t="s">
        <v>840</v>
      </c>
      <c r="I38" s="30" t="s">
        <v>840</v>
      </c>
      <c r="J38" s="27" t="s">
        <v>840</v>
      </c>
      <c r="K38" s="28"/>
    </row>
    <row r="39" spans="1:11" ht="30.2" customHeight="1" x14ac:dyDescent="0.2">
      <c r="A39" s="10" t="s">
        <v>766</v>
      </c>
      <c r="B39" s="334" t="s">
        <v>1039</v>
      </c>
      <c r="C39" s="313">
        <v>0</v>
      </c>
      <c r="D39" s="92">
        <v>-7.8970000000000002</v>
      </c>
      <c r="E39" s="93">
        <v>-1.1859999999999999</v>
      </c>
      <c r="F39" s="94">
        <v>-7.0000000000000007E-2</v>
      </c>
      <c r="G39" s="29" t="s">
        <v>840</v>
      </c>
      <c r="H39" s="30" t="s">
        <v>840</v>
      </c>
      <c r="I39" s="30" t="s">
        <v>840</v>
      </c>
      <c r="J39" s="27" t="s">
        <v>840</v>
      </c>
      <c r="K39" s="28"/>
    </row>
    <row r="40" spans="1:11" ht="30.2" customHeight="1" x14ac:dyDescent="0.2">
      <c r="A40" s="10" t="s">
        <v>767</v>
      </c>
      <c r="B40" s="334" t="s">
        <v>1040</v>
      </c>
      <c r="C40" s="313">
        <v>0</v>
      </c>
      <c r="D40" s="92">
        <v>-9.968</v>
      </c>
      <c r="E40" s="93">
        <v>-1.5780000000000001</v>
      </c>
      <c r="F40" s="94">
        <v>-9.1999999999999998E-2</v>
      </c>
      <c r="G40" s="29" t="s">
        <v>840</v>
      </c>
      <c r="H40" s="30" t="s">
        <v>840</v>
      </c>
      <c r="I40" s="30" t="s">
        <v>840</v>
      </c>
      <c r="J40" s="26">
        <v>0.17599999999999999</v>
      </c>
      <c r="K40" s="28"/>
    </row>
    <row r="41" spans="1:11" ht="30.2" customHeight="1" x14ac:dyDescent="0.2">
      <c r="A41" s="10" t="s">
        <v>768</v>
      </c>
      <c r="B41" s="334" t="s">
        <v>840</v>
      </c>
      <c r="C41" s="313">
        <v>0</v>
      </c>
      <c r="D41" s="92">
        <v>-9.968</v>
      </c>
      <c r="E41" s="93">
        <v>-1.5780000000000001</v>
      </c>
      <c r="F41" s="94">
        <v>-9.1999999999999998E-2</v>
      </c>
      <c r="G41" s="29" t="s">
        <v>840</v>
      </c>
      <c r="H41" s="30" t="s">
        <v>840</v>
      </c>
      <c r="I41" s="30" t="s">
        <v>840</v>
      </c>
      <c r="J41" s="27" t="s">
        <v>840</v>
      </c>
      <c r="K41" s="28"/>
    </row>
    <row r="42" spans="1:11" ht="30.2" customHeight="1" x14ac:dyDescent="0.2">
      <c r="A42" s="10" t="s">
        <v>769</v>
      </c>
      <c r="B42" s="334" t="s">
        <v>840</v>
      </c>
      <c r="C42" s="313">
        <v>0</v>
      </c>
      <c r="D42" s="92">
        <v>-7.8970000000000002</v>
      </c>
      <c r="E42" s="93">
        <v>-1.1859999999999999</v>
      </c>
      <c r="F42" s="94">
        <v>-7.0000000000000007E-2</v>
      </c>
      <c r="G42" s="29" t="s">
        <v>840</v>
      </c>
      <c r="H42" s="30" t="s">
        <v>840</v>
      </c>
      <c r="I42" s="30" t="s">
        <v>840</v>
      </c>
      <c r="J42" s="26">
        <v>0.153</v>
      </c>
      <c r="K42" s="28"/>
    </row>
    <row r="43" spans="1:11" ht="30.2" customHeight="1" x14ac:dyDescent="0.2">
      <c r="A43" s="10" t="s">
        <v>770</v>
      </c>
      <c r="B43" s="334" t="s">
        <v>840</v>
      </c>
      <c r="C43" s="313">
        <v>0</v>
      </c>
      <c r="D43" s="92">
        <v>-7.8970000000000002</v>
      </c>
      <c r="E43" s="93">
        <v>-1.1859999999999999</v>
      </c>
      <c r="F43" s="94">
        <v>-7.0000000000000007E-2</v>
      </c>
      <c r="G43" s="29" t="s">
        <v>840</v>
      </c>
      <c r="H43" s="30" t="s">
        <v>840</v>
      </c>
      <c r="I43" s="30" t="s">
        <v>840</v>
      </c>
      <c r="J43" s="27" t="s">
        <v>840</v>
      </c>
      <c r="K43" s="28"/>
    </row>
    <row r="44" spans="1:11" ht="30.2" customHeight="1" x14ac:dyDescent="0.2">
      <c r="A44" s="10" t="s">
        <v>771</v>
      </c>
      <c r="B44" s="334" t="s">
        <v>1041</v>
      </c>
      <c r="C44" s="313">
        <v>0</v>
      </c>
      <c r="D44" s="92">
        <v>-5.9820000000000002</v>
      </c>
      <c r="E44" s="93">
        <v>-0.81399999999999995</v>
      </c>
      <c r="F44" s="94">
        <v>-0.05</v>
      </c>
      <c r="G44" s="29">
        <v>15.15</v>
      </c>
      <c r="H44" s="30" t="s">
        <v>840</v>
      </c>
      <c r="I44" s="30" t="s">
        <v>840</v>
      </c>
      <c r="J44" s="26">
        <v>0.122</v>
      </c>
      <c r="K44" s="28"/>
    </row>
    <row r="45" spans="1:11" ht="30.2" customHeight="1" x14ac:dyDescent="0.2">
      <c r="A45" s="10" t="s">
        <v>772</v>
      </c>
      <c r="B45" s="334" t="s">
        <v>840</v>
      </c>
      <c r="C45" s="313">
        <v>0</v>
      </c>
      <c r="D45" s="92">
        <v>-5.9820000000000002</v>
      </c>
      <c r="E45" s="93">
        <v>-0.81399999999999995</v>
      </c>
      <c r="F45" s="94">
        <v>-0.05</v>
      </c>
      <c r="G45" s="29">
        <v>15.15</v>
      </c>
      <c r="H45" s="30" t="s">
        <v>840</v>
      </c>
      <c r="I45" s="30" t="s">
        <v>840</v>
      </c>
      <c r="J45" s="27" t="s">
        <v>840</v>
      </c>
      <c r="K45" s="28"/>
    </row>
    <row r="46" spans="1:11" ht="30.2" customHeight="1" x14ac:dyDescent="0.2">
      <c r="A46" s="10" t="s">
        <v>763</v>
      </c>
      <c r="B46" s="334" t="s">
        <v>1042</v>
      </c>
      <c r="C46" s="313">
        <v>0</v>
      </c>
      <c r="D46" s="92">
        <v>5.1319999999999997</v>
      </c>
      <c r="E46" s="93">
        <v>0.46700000000000003</v>
      </c>
      <c r="F46" s="94">
        <v>3.4000000000000002E-2</v>
      </c>
      <c r="G46" s="29">
        <v>550.6911788345767</v>
      </c>
      <c r="H46" s="29">
        <v>4.78</v>
      </c>
      <c r="I46" s="91">
        <v>7.01</v>
      </c>
      <c r="J46" s="26">
        <v>6.2E-2</v>
      </c>
      <c r="K46" s="28"/>
    </row>
    <row r="47" spans="1:11" ht="30.2" customHeight="1" x14ac:dyDescent="0.2">
      <c r="A47" s="10" t="s">
        <v>764</v>
      </c>
      <c r="B47" s="334" t="s">
        <v>1043</v>
      </c>
      <c r="C47" s="313">
        <v>0</v>
      </c>
      <c r="D47" s="92">
        <v>5.1319999999999997</v>
      </c>
      <c r="E47" s="93">
        <v>0.46700000000000003</v>
      </c>
      <c r="F47" s="94">
        <v>3.4000000000000002E-2</v>
      </c>
      <c r="G47" s="29">
        <v>1862.6064226208068</v>
      </c>
      <c r="H47" s="29">
        <v>4.78</v>
      </c>
      <c r="I47" s="91">
        <v>7.01</v>
      </c>
      <c r="J47" s="26">
        <v>6.2E-2</v>
      </c>
      <c r="K47" s="28"/>
    </row>
    <row r="48" spans="1:11" ht="27.75" customHeight="1" x14ac:dyDescent="0.2">
      <c r="A48"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charges_G'; based on connection level, credits may therefore be lower than stated above.</v>
      </c>
    </row>
    <row r="49" spans="1:1" ht="27.75" customHeight="1" x14ac:dyDescent="0.2">
      <c r="A49" s="332" t="s">
        <v>522</v>
      </c>
    </row>
  </sheetData>
  <mergeCells count="16">
    <mergeCell ref="N4:T5"/>
    <mergeCell ref="G10:H10"/>
    <mergeCell ref="G11:H11"/>
    <mergeCell ref="I11:K1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FA4C7EF3-66BC-4B0D-9630-A6F8406A3954}"/>
    <hyperlink ref="A49" location="'Annex 4 LDNO charges_G'!A1" display="Annex 4 LDNO charges_G" xr:uid="{647A745A-BD2A-40AA-B019-66B1920ACD9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pageSetUpPr fitToPage="1"/>
  </sheetPr>
  <dimension ref="A1:T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8" width="17.5703125" style="6" customWidth="1"/>
    <col min="9" max="9" width="18.28515625" style="6" bestFit="1" customWidth="1"/>
    <col min="10" max="10" width="18" style="4" bestFit="1" customWidth="1"/>
    <col min="11" max="11" width="17.28515625" style="5" bestFit="1" customWidth="1"/>
    <col min="12" max="12" width="1.42578125" style="99" customWidth="1"/>
    <col min="13" max="13" width="15.5703125" style="343" customWidth="1"/>
    <col min="14" max="19" width="15.5703125" style="1" customWidth="1"/>
    <col min="20" max="16384" width="9.140625" style="1"/>
  </cols>
  <sheetData>
    <row r="1" spans="1:20" ht="27.75" customHeight="1" x14ac:dyDescent="0.2">
      <c r="A1" s="32" t="s">
        <v>19</v>
      </c>
      <c r="B1" s="41"/>
      <c r="C1" s="41"/>
      <c r="D1" s="41"/>
      <c r="L1" s="243"/>
      <c r="M1" s="342"/>
    </row>
    <row r="2" spans="1:20" ht="27" customHeight="1" x14ac:dyDescent="0.2">
      <c r="A2" s="371" t="str">
        <f>Overview!B4&amp;" - Effective from "&amp;TEXT(Overview!$D$4,"d mmmm yyyy")&amp;" - Final LV and HV charges in SSE SEPD Area (GSP Group _H)"</f>
        <v>Leep Electricity Networks Limited - Effective from 1 April 2026 - Final LV and HV charges in SSE SEPD Area (GSP Group _H)</v>
      </c>
      <c r="B2" s="371"/>
      <c r="C2" s="371"/>
      <c r="D2" s="371"/>
      <c r="E2" s="371"/>
      <c r="F2" s="371"/>
      <c r="G2" s="371"/>
      <c r="H2" s="371"/>
      <c r="I2" s="371"/>
      <c r="J2" s="371"/>
      <c r="K2" s="371"/>
    </row>
    <row r="3" spans="1:20" s="41" customFormat="1" ht="15" customHeight="1" x14ac:dyDescent="0.2">
      <c r="A3" s="46"/>
      <c r="B3" s="46"/>
      <c r="C3" s="46"/>
      <c r="D3" s="46"/>
      <c r="E3" s="46"/>
      <c r="F3" s="46"/>
      <c r="G3" s="46"/>
      <c r="H3" s="46"/>
      <c r="I3" s="46"/>
      <c r="J3" s="46"/>
      <c r="K3" s="46"/>
      <c r="L3" s="100"/>
      <c r="M3" s="344"/>
    </row>
    <row r="4" spans="1:20" ht="27" customHeight="1" x14ac:dyDescent="0.2">
      <c r="A4" s="371" t="s">
        <v>308</v>
      </c>
      <c r="B4" s="371"/>
      <c r="C4" s="371"/>
      <c r="D4" s="371"/>
      <c r="E4" s="371"/>
      <c r="F4" s="46"/>
      <c r="G4" s="371" t="s">
        <v>307</v>
      </c>
      <c r="H4" s="371"/>
      <c r="I4" s="371"/>
      <c r="J4" s="371"/>
      <c r="K4" s="371"/>
      <c r="N4" s="395"/>
      <c r="O4" s="396"/>
      <c r="P4" s="396"/>
      <c r="Q4" s="396"/>
      <c r="R4" s="396"/>
      <c r="S4" s="396"/>
      <c r="T4" s="397"/>
    </row>
    <row r="5" spans="1:20" ht="28.5" customHeight="1" x14ac:dyDescent="0.2">
      <c r="A5" s="40" t="s">
        <v>13</v>
      </c>
      <c r="B5" s="258" t="s">
        <v>299</v>
      </c>
      <c r="C5" s="366" t="s">
        <v>300</v>
      </c>
      <c r="D5" s="367"/>
      <c r="E5" s="42" t="s">
        <v>301</v>
      </c>
      <c r="F5" s="46"/>
      <c r="G5" s="368"/>
      <c r="H5" s="369"/>
      <c r="I5" s="44" t="s">
        <v>305</v>
      </c>
      <c r="J5" s="45" t="s">
        <v>306</v>
      </c>
      <c r="K5" s="42" t="s">
        <v>301</v>
      </c>
      <c r="L5" s="46"/>
      <c r="N5" s="396"/>
      <c r="O5" s="396"/>
      <c r="P5" s="396"/>
      <c r="Q5" s="396"/>
      <c r="R5" s="396"/>
      <c r="S5" s="396"/>
      <c r="T5" s="397"/>
    </row>
    <row r="6" spans="1:20" ht="65.25" customHeight="1" x14ac:dyDescent="0.2">
      <c r="A6" s="43" t="s">
        <v>837</v>
      </c>
      <c r="B6" s="13" t="s">
        <v>477</v>
      </c>
      <c r="C6" s="379" t="s">
        <v>840</v>
      </c>
      <c r="D6" s="379"/>
      <c r="E6" s="252" t="s">
        <v>840</v>
      </c>
      <c r="F6" s="46" t="s">
        <v>840</v>
      </c>
      <c r="G6" s="412" t="s">
        <v>843</v>
      </c>
      <c r="H6" s="412"/>
      <c r="I6" s="252" t="s">
        <v>840</v>
      </c>
      <c r="J6" s="250" t="s">
        <v>2119</v>
      </c>
      <c r="K6" s="252" t="s">
        <v>840</v>
      </c>
      <c r="L6" s="46"/>
      <c r="N6" s="3"/>
    </row>
    <row r="7" spans="1:20" ht="65.25" customHeight="1" x14ac:dyDescent="0.2">
      <c r="A7" s="43" t="s">
        <v>837</v>
      </c>
      <c r="B7" s="252" t="s">
        <v>840</v>
      </c>
      <c r="C7" s="389" t="s">
        <v>2120</v>
      </c>
      <c r="D7" s="391"/>
      <c r="E7" s="252" t="s">
        <v>840</v>
      </c>
      <c r="F7" s="46" t="s">
        <v>840</v>
      </c>
      <c r="G7" s="412" t="s">
        <v>303</v>
      </c>
      <c r="H7" s="412"/>
      <c r="I7" s="250" t="s">
        <v>477</v>
      </c>
      <c r="J7" s="250" t="s">
        <v>2120</v>
      </c>
      <c r="K7" s="252" t="s">
        <v>840</v>
      </c>
      <c r="L7" s="46"/>
      <c r="N7" s="3"/>
    </row>
    <row r="8" spans="1:20" ht="56.25" customHeight="1" x14ac:dyDescent="0.2">
      <c r="A8" s="43" t="s">
        <v>837</v>
      </c>
      <c r="B8" s="252" t="s">
        <v>840</v>
      </c>
      <c r="C8" s="379" t="s">
        <v>840</v>
      </c>
      <c r="D8" s="379"/>
      <c r="E8" s="97" t="s">
        <v>2121</v>
      </c>
      <c r="F8" s="46" t="s">
        <v>840</v>
      </c>
      <c r="G8" s="412" t="s">
        <v>2122</v>
      </c>
      <c r="H8" s="412"/>
      <c r="I8" s="252" t="s">
        <v>840</v>
      </c>
      <c r="J8" s="252" t="s">
        <v>840</v>
      </c>
      <c r="K8" s="97" t="s">
        <v>2121</v>
      </c>
      <c r="L8" s="46"/>
      <c r="N8" s="3"/>
    </row>
    <row r="9" spans="1:20" s="41" customFormat="1" ht="32.25" customHeight="1" x14ac:dyDescent="0.2">
      <c r="A9" s="274" t="s">
        <v>2074</v>
      </c>
      <c r="B9" s="252" t="s">
        <v>840</v>
      </c>
      <c r="C9" s="416" t="s">
        <v>2123</v>
      </c>
      <c r="D9" s="416"/>
      <c r="E9" s="97" t="s">
        <v>2124</v>
      </c>
      <c r="F9" s="46" t="s">
        <v>840</v>
      </c>
      <c r="G9" s="412" t="s">
        <v>2074</v>
      </c>
      <c r="H9" s="412"/>
      <c r="I9" s="252" t="s">
        <v>840</v>
      </c>
      <c r="J9" s="250" t="s">
        <v>2123</v>
      </c>
      <c r="K9" s="97" t="s">
        <v>2124</v>
      </c>
      <c r="L9" s="46"/>
      <c r="M9" s="344"/>
      <c r="N9" s="31"/>
    </row>
    <row r="10" spans="1:20" s="41" customFormat="1" ht="36" customHeight="1" x14ac:dyDescent="0.2">
      <c r="A10" s="259" t="s">
        <v>14</v>
      </c>
      <c r="B10" s="402" t="s">
        <v>15</v>
      </c>
      <c r="C10" s="403"/>
      <c r="D10" s="403"/>
      <c r="E10" s="404"/>
      <c r="F10" s="46" t="s">
        <v>840</v>
      </c>
      <c r="G10" s="412" t="s">
        <v>14</v>
      </c>
      <c r="H10" s="412"/>
      <c r="I10" s="417" t="s">
        <v>15</v>
      </c>
      <c r="J10" s="417"/>
      <c r="K10" s="417"/>
      <c r="L10" s="46"/>
      <c r="M10" s="344"/>
      <c r="N10" s="31"/>
    </row>
    <row r="11" spans="1:20" s="41" customFormat="1" ht="13.5" customHeight="1" x14ac:dyDescent="0.2">
      <c r="A11" s="46"/>
      <c r="B11" s="46"/>
      <c r="C11" s="46"/>
      <c r="D11" s="46"/>
      <c r="E11" s="46"/>
      <c r="F11" s="31"/>
      <c r="G11" s="31"/>
      <c r="H11" s="31"/>
      <c r="I11" s="31"/>
      <c r="J11" s="31"/>
      <c r="K11" s="31"/>
      <c r="L11" s="46"/>
      <c r="M11" s="344"/>
    </row>
    <row r="12" spans="1:20" s="41" customFormat="1" ht="12.75" customHeight="1" x14ac:dyDescent="0.2">
      <c r="A12" s="46"/>
      <c r="B12" s="46"/>
      <c r="C12" s="46"/>
      <c r="D12" s="46"/>
      <c r="E12" s="46"/>
      <c r="F12" s="46"/>
      <c r="G12" s="46"/>
      <c r="H12" s="46"/>
      <c r="I12" s="46"/>
      <c r="J12" s="46"/>
      <c r="K12" s="46"/>
      <c r="L12" s="100"/>
      <c r="M12" s="344"/>
    </row>
    <row r="13" spans="1:20"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20" ht="30.2" customHeight="1" x14ac:dyDescent="0.2">
      <c r="A14" s="10" t="s">
        <v>773</v>
      </c>
      <c r="B14" s="334" t="s">
        <v>1044</v>
      </c>
      <c r="C14" s="313" t="s">
        <v>845</v>
      </c>
      <c r="D14" s="92">
        <v>14.016999999999999</v>
      </c>
      <c r="E14" s="93">
        <v>1.8660000000000001</v>
      </c>
      <c r="F14" s="94">
        <v>9.5000000000000001E-2</v>
      </c>
      <c r="G14" s="29">
        <v>5.28</v>
      </c>
      <c r="H14" s="30" t="s">
        <v>840</v>
      </c>
      <c r="I14" s="30" t="s">
        <v>840</v>
      </c>
      <c r="J14" s="27" t="s">
        <v>840</v>
      </c>
      <c r="K14" s="28"/>
    </row>
    <row r="15" spans="1:20" ht="30.2" customHeight="1" x14ac:dyDescent="0.2">
      <c r="A15" s="10" t="s">
        <v>594</v>
      </c>
      <c r="B15" s="334" t="s">
        <v>840</v>
      </c>
      <c r="C15" s="313">
        <v>2</v>
      </c>
      <c r="D15" s="92">
        <v>14.016999999999999</v>
      </c>
      <c r="E15" s="93">
        <v>1.8660000000000001</v>
      </c>
      <c r="F15" s="94">
        <v>9.5000000000000001E-2</v>
      </c>
      <c r="G15" s="30" t="s">
        <v>840</v>
      </c>
      <c r="H15" s="30" t="s">
        <v>840</v>
      </c>
      <c r="I15" s="30" t="s">
        <v>840</v>
      </c>
      <c r="J15" s="27" t="s">
        <v>840</v>
      </c>
      <c r="K15" s="28"/>
    </row>
    <row r="16" spans="1:20" ht="30.2" customHeight="1" x14ac:dyDescent="0.2">
      <c r="A16" s="10" t="s">
        <v>774</v>
      </c>
      <c r="B16" s="334" t="s">
        <v>1045</v>
      </c>
      <c r="C16" s="313" t="s">
        <v>846</v>
      </c>
      <c r="D16" s="92">
        <v>12.061</v>
      </c>
      <c r="E16" s="93">
        <v>1.6060000000000001</v>
      </c>
      <c r="F16" s="94">
        <v>8.2000000000000003E-2</v>
      </c>
      <c r="G16" s="29">
        <v>15.47</v>
      </c>
      <c r="H16" s="30" t="s">
        <v>840</v>
      </c>
      <c r="I16" s="30" t="s">
        <v>840</v>
      </c>
      <c r="J16" s="27" t="s">
        <v>840</v>
      </c>
      <c r="K16" s="28"/>
    </row>
    <row r="17" spans="1:11" ht="30.2" customHeight="1" x14ac:dyDescent="0.2">
      <c r="A17" s="10" t="s">
        <v>775</v>
      </c>
      <c r="B17" s="334" t="s">
        <v>1046</v>
      </c>
      <c r="C17" s="313" t="s">
        <v>846</v>
      </c>
      <c r="D17" s="92">
        <v>12.061</v>
      </c>
      <c r="E17" s="93">
        <v>1.6060000000000001</v>
      </c>
      <c r="F17" s="94">
        <v>8.2000000000000003E-2</v>
      </c>
      <c r="G17" s="29">
        <v>13.57</v>
      </c>
      <c r="H17" s="30" t="s">
        <v>840</v>
      </c>
      <c r="I17" s="30" t="s">
        <v>840</v>
      </c>
      <c r="J17" s="27" t="s">
        <v>840</v>
      </c>
      <c r="K17" s="28"/>
    </row>
    <row r="18" spans="1:11" ht="30.2" customHeight="1" x14ac:dyDescent="0.2">
      <c r="A18" s="10" t="s">
        <v>776</v>
      </c>
      <c r="B18" s="334" t="s">
        <v>1047</v>
      </c>
      <c r="C18" s="313" t="s">
        <v>846</v>
      </c>
      <c r="D18" s="92">
        <v>12.061</v>
      </c>
      <c r="E18" s="93">
        <v>1.6060000000000001</v>
      </c>
      <c r="F18" s="94">
        <v>8.2000000000000003E-2</v>
      </c>
      <c r="G18" s="29">
        <v>3.71</v>
      </c>
      <c r="H18" s="30" t="s">
        <v>840</v>
      </c>
      <c r="I18" s="30" t="s">
        <v>840</v>
      </c>
      <c r="J18" s="27" t="s">
        <v>840</v>
      </c>
      <c r="K18" s="28"/>
    </row>
    <row r="19" spans="1:11" ht="30.2" customHeight="1" x14ac:dyDescent="0.2">
      <c r="A19" s="10" t="s">
        <v>777</v>
      </c>
      <c r="B19" s="334" t="s">
        <v>1048</v>
      </c>
      <c r="C19" s="313" t="s">
        <v>846</v>
      </c>
      <c r="D19" s="92">
        <v>11.706</v>
      </c>
      <c r="E19" s="93">
        <v>1.25</v>
      </c>
      <c r="F19" s="94" t="s">
        <v>840</v>
      </c>
      <c r="G19" s="29" t="s">
        <v>840</v>
      </c>
      <c r="H19" s="30" t="s">
        <v>840</v>
      </c>
      <c r="I19" s="30" t="s">
        <v>840</v>
      </c>
      <c r="J19" s="27" t="s">
        <v>840</v>
      </c>
      <c r="K19" s="28"/>
    </row>
    <row r="20" spans="1:11" ht="30.2" customHeight="1" x14ac:dyDescent="0.2">
      <c r="A20" s="10" t="s">
        <v>778</v>
      </c>
      <c r="B20" s="334" t="s">
        <v>1049</v>
      </c>
      <c r="C20" s="313" t="s">
        <v>846</v>
      </c>
      <c r="D20" s="92">
        <v>11.422000000000001</v>
      </c>
      <c r="E20" s="93">
        <v>0.96599999999999997</v>
      </c>
      <c r="F20" s="94" t="s">
        <v>840</v>
      </c>
      <c r="G20" s="29" t="s">
        <v>840</v>
      </c>
      <c r="H20" s="30" t="s">
        <v>840</v>
      </c>
      <c r="I20" s="30" t="s">
        <v>840</v>
      </c>
      <c r="J20" s="27" t="s">
        <v>840</v>
      </c>
      <c r="K20" s="28"/>
    </row>
    <row r="21" spans="1:11" ht="30.2" customHeight="1" x14ac:dyDescent="0.2">
      <c r="A21" s="10" t="s">
        <v>575</v>
      </c>
      <c r="B21" s="334" t="s">
        <v>840</v>
      </c>
      <c r="C21" s="313">
        <v>4</v>
      </c>
      <c r="D21" s="92">
        <v>12.061</v>
      </c>
      <c r="E21" s="93">
        <v>1.6060000000000001</v>
      </c>
      <c r="F21" s="94">
        <v>8.2000000000000003E-2</v>
      </c>
      <c r="G21" s="30" t="s">
        <v>840</v>
      </c>
      <c r="H21" s="30" t="s">
        <v>840</v>
      </c>
      <c r="I21" s="30" t="s">
        <v>840</v>
      </c>
      <c r="J21" s="27" t="s">
        <v>840</v>
      </c>
      <c r="K21" s="28"/>
    </row>
    <row r="22" spans="1:11" ht="30.2" customHeight="1" x14ac:dyDescent="0.2">
      <c r="A22" s="10" t="s">
        <v>595</v>
      </c>
      <c r="B22" s="334" t="s">
        <v>1050</v>
      </c>
      <c r="C22" s="313">
        <v>0</v>
      </c>
      <c r="D22" s="92">
        <v>8.5299999999999994</v>
      </c>
      <c r="E22" s="93">
        <v>0.95599999999999996</v>
      </c>
      <c r="F22" s="94">
        <v>4.7E-2</v>
      </c>
      <c r="G22" s="29">
        <v>28.2</v>
      </c>
      <c r="H22" s="29">
        <v>10.63</v>
      </c>
      <c r="I22" s="91">
        <v>10.63</v>
      </c>
      <c r="J22" s="26">
        <v>0.251</v>
      </c>
      <c r="K22" s="28"/>
    </row>
    <row r="23" spans="1:11" ht="30.2" customHeight="1" x14ac:dyDescent="0.2">
      <c r="A23" s="10" t="s">
        <v>596</v>
      </c>
      <c r="B23" s="334" t="s">
        <v>1051</v>
      </c>
      <c r="C23" s="313">
        <v>0</v>
      </c>
      <c r="D23" s="92">
        <v>6.5890000000000004</v>
      </c>
      <c r="E23" s="93">
        <v>0.50900000000000001</v>
      </c>
      <c r="F23" s="94">
        <v>2.8000000000000001E-2</v>
      </c>
      <c r="G23" s="29" t="s">
        <v>840</v>
      </c>
      <c r="H23" s="29">
        <v>10.63</v>
      </c>
      <c r="I23" s="91">
        <v>10.63</v>
      </c>
      <c r="J23" s="26">
        <v>0.251</v>
      </c>
      <c r="K23" s="28"/>
    </row>
    <row r="24" spans="1:11" ht="30.2" customHeight="1" x14ac:dyDescent="0.2">
      <c r="A24" s="10" t="s">
        <v>597</v>
      </c>
      <c r="B24" s="334" t="s">
        <v>1052</v>
      </c>
      <c r="C24" s="313">
        <v>0</v>
      </c>
      <c r="D24" s="92">
        <v>6.2430000000000003</v>
      </c>
      <c r="E24" s="93">
        <v>0.50900000000000001</v>
      </c>
      <c r="F24" s="94">
        <v>2.8000000000000001E-2</v>
      </c>
      <c r="G24" s="29" t="s">
        <v>840</v>
      </c>
      <c r="H24" s="29">
        <v>10.63</v>
      </c>
      <c r="I24" s="91">
        <v>10.63</v>
      </c>
      <c r="J24" s="26">
        <v>0.251</v>
      </c>
      <c r="K24" s="28"/>
    </row>
    <row r="25" spans="1:11" ht="30.2" customHeight="1" x14ac:dyDescent="0.2">
      <c r="A25" s="10" t="s">
        <v>598</v>
      </c>
      <c r="B25" s="334" t="s">
        <v>1053</v>
      </c>
      <c r="C25" s="313">
        <v>0</v>
      </c>
      <c r="D25" s="92">
        <v>5.9119999999999999</v>
      </c>
      <c r="E25" s="93">
        <v>0.50900000000000001</v>
      </c>
      <c r="F25" s="94">
        <v>2.8000000000000001E-2</v>
      </c>
      <c r="G25" s="29" t="s">
        <v>840</v>
      </c>
      <c r="H25" s="29">
        <v>10.63</v>
      </c>
      <c r="I25" s="91">
        <v>10.63</v>
      </c>
      <c r="J25" s="26">
        <v>0.251</v>
      </c>
      <c r="K25" s="28"/>
    </row>
    <row r="26" spans="1:11" ht="30.2" customHeight="1" x14ac:dyDescent="0.2">
      <c r="A26" s="10" t="s">
        <v>599</v>
      </c>
      <c r="B26" s="334" t="s">
        <v>1054</v>
      </c>
      <c r="C26" s="313">
        <v>0</v>
      </c>
      <c r="D26" s="92">
        <v>5.4710000000000001</v>
      </c>
      <c r="E26" s="93">
        <v>0.50900000000000001</v>
      </c>
      <c r="F26" s="94">
        <v>2.8000000000000001E-2</v>
      </c>
      <c r="G26" s="29" t="s">
        <v>840</v>
      </c>
      <c r="H26" s="29">
        <v>10.63</v>
      </c>
      <c r="I26" s="91">
        <v>10.63</v>
      </c>
      <c r="J26" s="26">
        <v>0.251</v>
      </c>
      <c r="K26" s="28"/>
    </row>
    <row r="27" spans="1:11" ht="30.2" customHeight="1" x14ac:dyDescent="0.2">
      <c r="A27" s="10" t="s">
        <v>600</v>
      </c>
      <c r="B27" s="334" t="s">
        <v>1055</v>
      </c>
      <c r="C27" s="313">
        <v>0</v>
      </c>
      <c r="D27" s="92">
        <v>5.8040000000000003</v>
      </c>
      <c r="E27" s="93">
        <v>0.44700000000000001</v>
      </c>
      <c r="F27" s="94">
        <v>1.9E-2</v>
      </c>
      <c r="G27" s="29">
        <v>63.52</v>
      </c>
      <c r="H27" s="29">
        <v>10.35</v>
      </c>
      <c r="I27" s="91">
        <v>10.35</v>
      </c>
      <c r="J27" s="26">
        <v>0.13800000000000001</v>
      </c>
      <c r="K27" s="28"/>
    </row>
    <row r="28" spans="1:11" ht="30.2" customHeight="1" x14ac:dyDescent="0.2">
      <c r="A28" s="10" t="s">
        <v>601</v>
      </c>
      <c r="B28" s="334" t="s">
        <v>1056</v>
      </c>
      <c r="C28" s="313">
        <v>0</v>
      </c>
      <c r="D28" s="92">
        <v>3.863</v>
      </c>
      <c r="E28" s="93" t="s">
        <v>840</v>
      </c>
      <c r="F28" s="94" t="s">
        <v>840</v>
      </c>
      <c r="G28" s="29">
        <v>35.32</v>
      </c>
      <c r="H28" s="29">
        <v>10.35</v>
      </c>
      <c r="I28" s="91">
        <v>10.35</v>
      </c>
      <c r="J28" s="26">
        <v>0.13800000000000001</v>
      </c>
      <c r="K28" s="28"/>
    </row>
    <row r="29" spans="1:11" ht="30.2" customHeight="1" x14ac:dyDescent="0.2">
      <c r="A29" s="10" t="s">
        <v>602</v>
      </c>
      <c r="B29" s="334" t="s">
        <v>1057</v>
      </c>
      <c r="C29" s="313">
        <v>0</v>
      </c>
      <c r="D29" s="92">
        <v>3.516</v>
      </c>
      <c r="E29" s="93" t="s">
        <v>840</v>
      </c>
      <c r="F29" s="94" t="s">
        <v>840</v>
      </c>
      <c r="G29" s="29">
        <v>35.32</v>
      </c>
      <c r="H29" s="29">
        <v>10.35</v>
      </c>
      <c r="I29" s="91">
        <v>10.35</v>
      </c>
      <c r="J29" s="26">
        <v>0.13800000000000001</v>
      </c>
      <c r="K29" s="28"/>
    </row>
    <row r="30" spans="1:11" ht="30.2" customHeight="1" x14ac:dyDescent="0.2">
      <c r="A30" s="10" t="s">
        <v>603</v>
      </c>
      <c r="B30" s="334" t="s">
        <v>1058</v>
      </c>
      <c r="C30" s="313">
        <v>0</v>
      </c>
      <c r="D30" s="92">
        <v>3.1859999999999999</v>
      </c>
      <c r="E30" s="93" t="s">
        <v>840</v>
      </c>
      <c r="F30" s="94" t="s">
        <v>840</v>
      </c>
      <c r="G30" s="29">
        <v>35.32</v>
      </c>
      <c r="H30" s="29">
        <v>10.35</v>
      </c>
      <c r="I30" s="91">
        <v>10.35</v>
      </c>
      <c r="J30" s="26">
        <v>0.13800000000000001</v>
      </c>
      <c r="K30" s="28"/>
    </row>
    <row r="31" spans="1:11" ht="30.2" customHeight="1" x14ac:dyDescent="0.2">
      <c r="A31" s="10" t="s">
        <v>604</v>
      </c>
      <c r="B31" s="334" t="s">
        <v>1059</v>
      </c>
      <c r="C31" s="313">
        <v>0</v>
      </c>
      <c r="D31" s="92">
        <v>2.7450000000000001</v>
      </c>
      <c r="E31" s="93" t="s">
        <v>840</v>
      </c>
      <c r="F31" s="94" t="s">
        <v>840</v>
      </c>
      <c r="G31" s="29">
        <v>35.32</v>
      </c>
      <c r="H31" s="29">
        <v>10.35</v>
      </c>
      <c r="I31" s="91">
        <v>10.35</v>
      </c>
      <c r="J31" s="26">
        <v>0.13800000000000001</v>
      </c>
      <c r="K31" s="28"/>
    </row>
    <row r="32" spans="1:11" ht="30.2" customHeight="1" x14ac:dyDescent="0.2">
      <c r="A32" s="10" t="s">
        <v>605</v>
      </c>
      <c r="B32" s="334" t="s">
        <v>1060</v>
      </c>
      <c r="C32" s="313">
        <v>0</v>
      </c>
      <c r="D32" s="92">
        <v>4.1980000000000004</v>
      </c>
      <c r="E32" s="93">
        <v>0.28799999999999998</v>
      </c>
      <c r="F32" s="94">
        <v>1.2E-2</v>
      </c>
      <c r="G32" s="29">
        <v>243.69</v>
      </c>
      <c r="H32" s="29">
        <v>10.06</v>
      </c>
      <c r="I32" s="91">
        <v>10.06</v>
      </c>
      <c r="J32" s="26">
        <v>9.8000000000000004E-2</v>
      </c>
      <c r="K32" s="28"/>
    </row>
    <row r="33" spans="1:11" ht="30.2" customHeight="1" x14ac:dyDescent="0.2">
      <c r="A33" s="10" t="s">
        <v>606</v>
      </c>
      <c r="B33" s="334" t="s">
        <v>1061</v>
      </c>
      <c r="C33" s="313">
        <v>0</v>
      </c>
      <c r="D33" s="92">
        <v>1.266</v>
      </c>
      <c r="E33" s="93" t="s">
        <v>840</v>
      </c>
      <c r="F33" s="94" t="s">
        <v>840</v>
      </c>
      <c r="G33" s="29" t="s">
        <v>840</v>
      </c>
      <c r="H33" s="29">
        <v>10.06</v>
      </c>
      <c r="I33" s="91">
        <v>10.06</v>
      </c>
      <c r="J33" s="26">
        <v>9.8000000000000004E-2</v>
      </c>
      <c r="K33" s="28"/>
    </row>
    <row r="34" spans="1:11" ht="30.2" customHeight="1" x14ac:dyDescent="0.2">
      <c r="A34" s="10" t="s">
        <v>607</v>
      </c>
      <c r="B34" s="334" t="s">
        <v>1062</v>
      </c>
      <c r="C34" s="313">
        <v>0</v>
      </c>
      <c r="D34" s="92">
        <v>0.377</v>
      </c>
      <c r="E34" s="93" t="s">
        <v>840</v>
      </c>
      <c r="F34" s="94" t="s">
        <v>840</v>
      </c>
      <c r="G34" s="29" t="s">
        <v>840</v>
      </c>
      <c r="H34" s="29">
        <v>10.06</v>
      </c>
      <c r="I34" s="91">
        <v>10.06</v>
      </c>
      <c r="J34" s="26">
        <v>9.8000000000000004E-2</v>
      </c>
      <c r="K34" s="28"/>
    </row>
    <row r="35" spans="1:11" ht="30.2" customHeight="1" x14ac:dyDescent="0.2">
      <c r="A35" s="10" t="s">
        <v>608</v>
      </c>
      <c r="B35" s="334" t="s">
        <v>1063</v>
      </c>
      <c r="C35" s="313">
        <v>0</v>
      </c>
      <c r="D35" s="92">
        <v>0.191</v>
      </c>
      <c r="E35" s="93" t="s">
        <v>840</v>
      </c>
      <c r="F35" s="94" t="s">
        <v>840</v>
      </c>
      <c r="G35" s="29" t="s">
        <v>840</v>
      </c>
      <c r="H35" s="29">
        <v>10.06</v>
      </c>
      <c r="I35" s="91">
        <v>10.06</v>
      </c>
      <c r="J35" s="26">
        <v>9.8000000000000004E-2</v>
      </c>
      <c r="K35" s="28"/>
    </row>
    <row r="36" spans="1:11" ht="30.2" customHeight="1" x14ac:dyDescent="0.2">
      <c r="A36" s="10" t="s">
        <v>609</v>
      </c>
      <c r="B36" s="334" t="s">
        <v>1064</v>
      </c>
      <c r="C36" s="313">
        <v>0</v>
      </c>
      <c r="D36" s="92" t="s">
        <v>840</v>
      </c>
      <c r="E36" s="93" t="s">
        <v>840</v>
      </c>
      <c r="F36" s="94" t="s">
        <v>840</v>
      </c>
      <c r="G36" s="29" t="s">
        <v>840</v>
      </c>
      <c r="H36" s="29">
        <v>10.06</v>
      </c>
      <c r="I36" s="91">
        <v>10.06</v>
      </c>
      <c r="J36" s="26">
        <v>9.8000000000000004E-2</v>
      </c>
      <c r="K36" s="28"/>
    </row>
    <row r="37" spans="1:11" ht="30.2" customHeight="1" x14ac:dyDescent="0.2">
      <c r="A37" s="10" t="s">
        <v>576</v>
      </c>
      <c r="B37" s="334" t="s">
        <v>1065</v>
      </c>
      <c r="C37" s="313" t="s">
        <v>847</v>
      </c>
      <c r="D37" s="95">
        <v>28.181999999999999</v>
      </c>
      <c r="E37" s="96">
        <v>4.7309999999999999</v>
      </c>
      <c r="F37" s="94">
        <v>3.2869999999999999</v>
      </c>
      <c r="G37" s="30" t="s">
        <v>840</v>
      </c>
      <c r="H37" s="30" t="s">
        <v>840</v>
      </c>
      <c r="I37" s="30" t="s">
        <v>840</v>
      </c>
      <c r="J37" s="27" t="s">
        <v>840</v>
      </c>
      <c r="K37" s="28"/>
    </row>
    <row r="38" spans="1:11" ht="30.2" customHeight="1" x14ac:dyDescent="0.2">
      <c r="A38" s="10" t="s">
        <v>765</v>
      </c>
      <c r="B38" s="334" t="s">
        <v>1066</v>
      </c>
      <c r="C38" s="313" t="s">
        <v>2118</v>
      </c>
      <c r="D38" s="92">
        <v>-8.4469999999999992</v>
      </c>
      <c r="E38" s="93">
        <v>-1.1240000000000001</v>
      </c>
      <c r="F38" s="94">
        <v>-5.7000000000000002E-2</v>
      </c>
      <c r="G38" s="29" t="s">
        <v>840</v>
      </c>
      <c r="H38" s="30" t="s">
        <v>840</v>
      </c>
      <c r="I38" s="30" t="s">
        <v>840</v>
      </c>
      <c r="J38" s="27" t="s">
        <v>840</v>
      </c>
      <c r="K38" s="28"/>
    </row>
    <row r="39" spans="1:11" ht="30.2" customHeight="1" x14ac:dyDescent="0.2">
      <c r="A39" s="10" t="s">
        <v>766</v>
      </c>
      <c r="B39" s="334" t="s">
        <v>1067</v>
      </c>
      <c r="C39" s="313" t="s">
        <v>2118</v>
      </c>
      <c r="D39" s="92">
        <v>-7.2619999999999996</v>
      </c>
      <c r="E39" s="93">
        <v>-0.86099999999999999</v>
      </c>
      <c r="F39" s="94">
        <v>-4.2999999999999997E-2</v>
      </c>
      <c r="G39" s="29" t="s">
        <v>840</v>
      </c>
      <c r="H39" s="30" t="s">
        <v>840</v>
      </c>
      <c r="I39" s="30" t="s">
        <v>840</v>
      </c>
      <c r="J39" s="27" t="s">
        <v>840</v>
      </c>
      <c r="K39" s="28"/>
    </row>
    <row r="40" spans="1:11" ht="30.2" customHeight="1" x14ac:dyDescent="0.2">
      <c r="A40" s="10" t="s">
        <v>767</v>
      </c>
      <c r="B40" s="334" t="s">
        <v>1068</v>
      </c>
      <c r="C40" s="313">
        <v>0</v>
      </c>
      <c r="D40" s="92">
        <v>-8.4469999999999992</v>
      </c>
      <c r="E40" s="93">
        <v>-1.1240000000000001</v>
      </c>
      <c r="F40" s="94">
        <v>-5.7000000000000002E-2</v>
      </c>
      <c r="G40" s="29" t="s">
        <v>840</v>
      </c>
      <c r="H40" s="30" t="s">
        <v>840</v>
      </c>
      <c r="I40" s="30" t="s">
        <v>840</v>
      </c>
      <c r="J40" s="26">
        <v>0.313</v>
      </c>
      <c r="K40" s="28"/>
    </row>
    <row r="41" spans="1:11" ht="30.2" customHeight="1" x14ac:dyDescent="0.2">
      <c r="A41" s="10" t="s">
        <v>768</v>
      </c>
      <c r="B41" s="334" t="s">
        <v>840</v>
      </c>
      <c r="C41" s="313">
        <v>0</v>
      </c>
      <c r="D41" s="92">
        <v>-8.4469999999999992</v>
      </c>
      <c r="E41" s="93">
        <v>-1.1240000000000001</v>
      </c>
      <c r="F41" s="94">
        <v>-5.7000000000000002E-2</v>
      </c>
      <c r="G41" s="29" t="s">
        <v>840</v>
      </c>
      <c r="H41" s="30" t="s">
        <v>840</v>
      </c>
      <c r="I41" s="30" t="s">
        <v>840</v>
      </c>
      <c r="J41" s="27" t="s">
        <v>840</v>
      </c>
      <c r="K41" s="28"/>
    </row>
    <row r="42" spans="1:11" ht="30.2" customHeight="1" x14ac:dyDescent="0.2">
      <c r="A42" s="10" t="s">
        <v>769</v>
      </c>
      <c r="B42" s="334" t="s">
        <v>840</v>
      </c>
      <c r="C42" s="313">
        <v>0</v>
      </c>
      <c r="D42" s="92">
        <v>-7.2619999999999996</v>
      </c>
      <c r="E42" s="93">
        <v>-0.86099999999999999</v>
      </c>
      <c r="F42" s="94">
        <v>-4.2999999999999997E-2</v>
      </c>
      <c r="G42" s="29" t="s">
        <v>840</v>
      </c>
      <c r="H42" s="30" t="s">
        <v>840</v>
      </c>
      <c r="I42" s="30" t="s">
        <v>840</v>
      </c>
      <c r="J42" s="26">
        <v>0.23</v>
      </c>
      <c r="K42" s="28"/>
    </row>
    <row r="43" spans="1:11" ht="30.2" customHeight="1" x14ac:dyDescent="0.2">
      <c r="A43" s="10" t="s">
        <v>770</v>
      </c>
      <c r="B43" s="334" t="s">
        <v>840</v>
      </c>
      <c r="C43" s="313">
        <v>0</v>
      </c>
      <c r="D43" s="92">
        <v>-7.2619999999999996</v>
      </c>
      <c r="E43" s="93">
        <v>-0.86099999999999999</v>
      </c>
      <c r="F43" s="94">
        <v>-4.2999999999999997E-2</v>
      </c>
      <c r="G43" s="29" t="s">
        <v>840</v>
      </c>
      <c r="H43" s="30" t="s">
        <v>840</v>
      </c>
      <c r="I43" s="30" t="s">
        <v>840</v>
      </c>
      <c r="J43" s="27" t="s">
        <v>840</v>
      </c>
      <c r="K43" s="28"/>
    </row>
    <row r="44" spans="1:11" ht="30.2" customHeight="1" x14ac:dyDescent="0.2">
      <c r="A44" s="10" t="s">
        <v>771</v>
      </c>
      <c r="B44" s="334" t="s">
        <v>1069</v>
      </c>
      <c r="C44" s="313">
        <v>0</v>
      </c>
      <c r="D44" s="92">
        <v>-5.2389999999999999</v>
      </c>
      <c r="E44" s="93">
        <v>-0.40400000000000003</v>
      </c>
      <c r="F44" s="94">
        <v>-1.7000000000000001E-2</v>
      </c>
      <c r="G44" s="29">
        <v>471.07</v>
      </c>
      <c r="H44" s="30" t="s">
        <v>840</v>
      </c>
      <c r="I44" s="30" t="s">
        <v>840</v>
      </c>
      <c r="J44" s="26">
        <v>0.187</v>
      </c>
      <c r="K44" s="28"/>
    </row>
    <row r="45" spans="1:11" ht="30.2" customHeight="1" x14ac:dyDescent="0.2">
      <c r="A45" s="10" t="s">
        <v>772</v>
      </c>
      <c r="B45" s="334" t="s">
        <v>840</v>
      </c>
      <c r="C45" s="313">
        <v>0</v>
      </c>
      <c r="D45" s="92">
        <v>-5.2389999999999999</v>
      </c>
      <c r="E45" s="93">
        <v>-0.40400000000000003</v>
      </c>
      <c r="F45" s="94">
        <v>-1.7000000000000001E-2</v>
      </c>
      <c r="G45" s="29">
        <v>471.07</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charges_H'; based on connection level, credits may therefore be lower than stated above.</v>
      </c>
    </row>
    <row r="47" spans="1:11" ht="27.75" customHeight="1" x14ac:dyDescent="0.2">
      <c r="A47" s="332" t="s">
        <v>523</v>
      </c>
    </row>
  </sheetData>
  <mergeCells count="17">
    <mergeCell ref="N4:T5"/>
    <mergeCell ref="C8:D8"/>
    <mergeCell ref="C9:D9"/>
    <mergeCell ref="B10:E10"/>
    <mergeCell ref="I10:K10"/>
    <mergeCell ref="C7:D7"/>
    <mergeCell ref="G7:H7"/>
    <mergeCell ref="G8:H8"/>
    <mergeCell ref="G9:H9"/>
    <mergeCell ref="G10:H10"/>
    <mergeCell ref="C6:D6"/>
    <mergeCell ref="G6:H6"/>
    <mergeCell ref="A2:K2"/>
    <mergeCell ref="A4:E4"/>
    <mergeCell ref="G4:K4"/>
    <mergeCell ref="C5:D5"/>
    <mergeCell ref="G5:H5"/>
  </mergeCells>
  <hyperlinks>
    <hyperlink ref="A1" location="Overview!A1" display="Back to Overview" xr:uid="{EF1D67B0-91C2-4B78-A52D-98537696F4EE}"/>
    <hyperlink ref="A47" location="'Annex 4 LDNO charges_H'!A1" display="Annex 4 LDNO charges_H" xr:uid="{3168D78D-3C3E-478F-B98A-CA0EC19EFE4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6" ht="27.75" customHeight="1" x14ac:dyDescent="0.2">
      <c r="A1" s="32" t="s">
        <v>19</v>
      </c>
      <c r="B1" s="46"/>
      <c r="C1" s="46"/>
      <c r="D1" s="46"/>
      <c r="E1" s="370" t="s">
        <v>466</v>
      </c>
      <c r="F1" s="370"/>
      <c r="G1" s="370"/>
      <c r="H1" s="370"/>
      <c r="I1" s="370"/>
      <c r="J1" s="370"/>
      <c r="K1" s="370"/>
      <c r="L1" s="243"/>
      <c r="M1" s="342"/>
      <c r="N1" s="243"/>
      <c r="O1" s="243"/>
    </row>
    <row r="2" spans="1:16" ht="27" customHeight="1" x14ac:dyDescent="0.2">
      <c r="A2" s="371" t="str">
        <f>Overview!B4&amp;" - Effective from "&amp;TEXT(Overview!$D$4,"d mmmm yyyy")&amp;" - Final LV and HV charges in UKPN SPN Area (GSP Group _J)"</f>
        <v>Leep Electricity Networks Limited - Effective from 1 April 2026 - Final LV and HV charges in UKPN SPN Area (GSP Group _J)</v>
      </c>
      <c r="B2" s="371"/>
      <c r="C2" s="371"/>
      <c r="D2" s="371"/>
      <c r="E2" s="371"/>
      <c r="F2" s="371"/>
      <c r="G2" s="371"/>
      <c r="H2" s="371"/>
      <c r="I2" s="371"/>
      <c r="J2" s="371"/>
      <c r="K2" s="371"/>
    </row>
    <row r="3" spans="1:16" s="41" customFormat="1" ht="15" customHeight="1" x14ac:dyDescent="0.2">
      <c r="A3" s="46"/>
      <c r="B3" s="46"/>
      <c r="C3" s="46"/>
      <c r="D3" s="46"/>
      <c r="E3" s="46"/>
      <c r="F3" s="46"/>
      <c r="G3" s="46"/>
      <c r="H3" s="46"/>
      <c r="I3" s="46"/>
      <c r="J3" s="46"/>
      <c r="K3" s="46"/>
      <c r="L3" s="100"/>
      <c r="M3" s="344"/>
    </row>
    <row r="4" spans="1:16" ht="27" customHeight="1" x14ac:dyDescent="0.2">
      <c r="A4" s="382" t="s">
        <v>308</v>
      </c>
      <c r="B4" s="383"/>
      <c r="C4" s="383"/>
      <c r="D4" s="383"/>
      <c r="E4" s="384"/>
      <c r="F4" s="46"/>
      <c r="G4" s="382" t="s">
        <v>307</v>
      </c>
      <c r="H4" s="383"/>
      <c r="I4" s="383"/>
      <c r="J4" s="383"/>
      <c r="K4" s="384"/>
    </row>
    <row r="5" spans="1:16" ht="28.5" customHeight="1" x14ac:dyDescent="0.2">
      <c r="A5" s="40" t="s">
        <v>13</v>
      </c>
      <c r="B5" s="258" t="s">
        <v>299</v>
      </c>
      <c r="C5" s="398" t="s">
        <v>300</v>
      </c>
      <c r="D5" s="399"/>
      <c r="E5" s="42" t="s">
        <v>301</v>
      </c>
      <c r="F5" s="46"/>
      <c r="G5" s="368"/>
      <c r="H5" s="369"/>
      <c r="I5" s="44" t="s">
        <v>305</v>
      </c>
      <c r="J5" s="45" t="s">
        <v>306</v>
      </c>
      <c r="K5" s="42" t="s">
        <v>301</v>
      </c>
      <c r="L5" s="46"/>
      <c r="N5" s="3"/>
    </row>
    <row r="6" spans="1:16" ht="65.25" customHeight="1" x14ac:dyDescent="0.2">
      <c r="A6" s="43" t="s">
        <v>837</v>
      </c>
      <c r="B6" s="13" t="s">
        <v>469</v>
      </c>
      <c r="C6" s="389" t="s">
        <v>838</v>
      </c>
      <c r="D6" s="391"/>
      <c r="E6" s="97" t="s">
        <v>839</v>
      </c>
      <c r="F6" s="46" t="s">
        <v>840</v>
      </c>
      <c r="G6" s="380" t="s">
        <v>303</v>
      </c>
      <c r="H6" s="381"/>
      <c r="I6" s="13" t="s">
        <v>469</v>
      </c>
      <c r="J6" s="250" t="s">
        <v>838</v>
      </c>
      <c r="K6" s="97" t="s">
        <v>839</v>
      </c>
      <c r="L6" s="46"/>
      <c r="N6" s="3"/>
    </row>
    <row r="7" spans="1:16" ht="65.25" customHeight="1" x14ac:dyDescent="0.2">
      <c r="A7" s="43" t="s">
        <v>841</v>
      </c>
      <c r="B7" s="252" t="s">
        <v>840</v>
      </c>
      <c r="C7" s="392" t="s">
        <v>840</v>
      </c>
      <c r="D7" s="393"/>
      <c r="E7" s="250" t="s">
        <v>842</v>
      </c>
      <c r="F7" s="46" t="s">
        <v>840</v>
      </c>
      <c r="G7" s="380" t="s">
        <v>843</v>
      </c>
      <c r="H7" s="381"/>
      <c r="I7" s="252" t="s">
        <v>840</v>
      </c>
      <c r="J7" s="250" t="s">
        <v>844</v>
      </c>
      <c r="K7" s="97" t="s">
        <v>839</v>
      </c>
      <c r="L7" s="46"/>
      <c r="N7" s="3"/>
    </row>
    <row r="8" spans="1:16" ht="43.5" customHeight="1" x14ac:dyDescent="0.2">
      <c r="A8" s="259" t="s">
        <v>14</v>
      </c>
      <c r="B8" s="380" t="s">
        <v>15</v>
      </c>
      <c r="C8" s="394"/>
      <c r="D8" s="394"/>
      <c r="E8" s="381"/>
      <c r="F8" s="46" t="s">
        <v>840</v>
      </c>
      <c r="G8" s="380" t="s">
        <v>841</v>
      </c>
      <c r="H8" s="381"/>
      <c r="I8" s="252" t="s">
        <v>840</v>
      </c>
      <c r="J8" s="252" t="s">
        <v>840</v>
      </c>
      <c r="K8" s="250" t="s">
        <v>842</v>
      </c>
      <c r="L8" s="46"/>
      <c r="N8" s="3"/>
    </row>
    <row r="9" spans="1:16" s="41" customFormat="1" ht="33" customHeight="1" x14ac:dyDescent="0.2">
      <c r="A9" s="46" t="s">
        <v>840</v>
      </c>
      <c r="B9" s="46" t="s">
        <v>840</v>
      </c>
      <c r="C9" s="46" t="s">
        <v>840</v>
      </c>
      <c r="D9" s="46" t="s">
        <v>840</v>
      </c>
      <c r="E9" s="46" t="s">
        <v>840</v>
      </c>
      <c r="F9" s="46" t="s">
        <v>840</v>
      </c>
      <c r="G9" s="400" t="s">
        <v>14</v>
      </c>
      <c r="H9" s="401"/>
      <c r="I9" s="400" t="s">
        <v>15</v>
      </c>
      <c r="J9" s="418"/>
      <c r="K9" s="401"/>
      <c r="L9" s="46"/>
      <c r="M9" s="344"/>
    </row>
    <row r="10" spans="1:16" s="41" customFormat="1" ht="13.5" customHeight="1" x14ac:dyDescent="0.2">
      <c r="A10" s="46"/>
      <c r="B10" s="46"/>
      <c r="C10" s="46"/>
      <c r="D10" s="46"/>
      <c r="E10" s="46"/>
      <c r="F10" s="46"/>
      <c r="G10" s="49"/>
      <c r="H10" s="49"/>
      <c r="I10" s="49"/>
      <c r="J10" s="49"/>
      <c r="K10" s="49"/>
      <c r="L10" s="46"/>
      <c r="M10" s="344"/>
    </row>
    <row r="11" spans="1:16" s="41" customFormat="1" ht="13.5" customHeight="1" x14ac:dyDescent="0.2">
      <c r="A11" s="46"/>
      <c r="B11" s="46"/>
      <c r="C11" s="46"/>
      <c r="D11" s="46"/>
      <c r="E11" s="46"/>
      <c r="F11" s="46"/>
      <c r="G11" s="49"/>
      <c r="H11" s="49"/>
      <c r="I11" s="49"/>
      <c r="J11" s="49"/>
      <c r="K11" s="49"/>
      <c r="L11" s="46"/>
      <c r="M11" s="344"/>
    </row>
    <row r="12" spans="1:16" s="41" customFormat="1" ht="13.5" customHeight="1" x14ac:dyDescent="0.2">
      <c r="A12" s="46"/>
      <c r="B12" s="46"/>
      <c r="C12" s="46"/>
      <c r="D12" s="46"/>
      <c r="E12" s="46"/>
      <c r="F12" s="46"/>
      <c r="G12" s="46"/>
      <c r="H12" s="46"/>
      <c r="I12" s="46"/>
      <c r="J12" s="46"/>
      <c r="K12" s="46"/>
      <c r="L12" s="100"/>
      <c r="M12" s="344"/>
    </row>
    <row r="13" spans="1:16" ht="78.75" customHeight="1" x14ac:dyDescent="0.2">
      <c r="A13" s="19" t="s">
        <v>458</v>
      </c>
      <c r="B13" s="16" t="s">
        <v>23</v>
      </c>
      <c r="C13" s="16" t="s">
        <v>24</v>
      </c>
      <c r="D13" s="128" t="s">
        <v>577</v>
      </c>
      <c r="E13" s="128" t="s">
        <v>578</v>
      </c>
      <c r="F13" s="128" t="s">
        <v>579</v>
      </c>
      <c r="G13" s="16" t="s">
        <v>25</v>
      </c>
      <c r="H13" s="16" t="s">
        <v>26</v>
      </c>
      <c r="I13" s="19" t="s">
        <v>459</v>
      </c>
      <c r="J13" s="16" t="s">
        <v>270</v>
      </c>
      <c r="K13" s="16" t="s">
        <v>0</v>
      </c>
      <c r="N13" s="41"/>
      <c r="O13" s="41"/>
      <c r="P13" s="41"/>
    </row>
    <row r="14" spans="1:16" ht="30.2" customHeight="1" x14ac:dyDescent="0.2">
      <c r="A14" s="10" t="s">
        <v>773</v>
      </c>
      <c r="B14" s="334" t="s">
        <v>1070</v>
      </c>
      <c r="C14" s="313" t="s">
        <v>845</v>
      </c>
      <c r="D14" s="92">
        <v>21.23</v>
      </c>
      <c r="E14" s="93">
        <v>0.76800000000000002</v>
      </c>
      <c r="F14" s="94">
        <v>0.23799999999999999</v>
      </c>
      <c r="G14" s="29">
        <v>9.56</v>
      </c>
      <c r="H14" s="30" t="s">
        <v>840</v>
      </c>
      <c r="I14" s="30" t="s">
        <v>840</v>
      </c>
      <c r="J14" s="27" t="s">
        <v>840</v>
      </c>
      <c r="K14" s="28"/>
      <c r="N14" s="41"/>
      <c r="O14" s="41"/>
      <c r="P14" s="41"/>
    </row>
    <row r="15" spans="1:16" ht="30.2" customHeight="1" x14ac:dyDescent="0.2">
      <c r="A15" s="10" t="s">
        <v>594</v>
      </c>
      <c r="B15" s="334" t="s">
        <v>840</v>
      </c>
      <c r="C15" s="313">
        <v>2</v>
      </c>
      <c r="D15" s="92">
        <v>21.23</v>
      </c>
      <c r="E15" s="93">
        <v>0.76800000000000002</v>
      </c>
      <c r="F15" s="94">
        <v>0.23799999999999999</v>
      </c>
      <c r="G15" s="30" t="s">
        <v>840</v>
      </c>
      <c r="H15" s="30" t="s">
        <v>840</v>
      </c>
      <c r="I15" s="30" t="s">
        <v>840</v>
      </c>
      <c r="J15" s="27" t="s">
        <v>840</v>
      </c>
      <c r="K15" s="28"/>
    </row>
    <row r="16" spans="1:16" ht="30.2" customHeight="1" x14ac:dyDescent="0.2">
      <c r="A16" s="10" t="s">
        <v>774</v>
      </c>
      <c r="B16" s="334" t="s">
        <v>1071</v>
      </c>
      <c r="C16" s="313" t="s">
        <v>846</v>
      </c>
      <c r="D16" s="92">
        <v>15.864000000000001</v>
      </c>
      <c r="E16" s="93">
        <v>0.57399999999999995</v>
      </c>
      <c r="F16" s="94">
        <v>0.17799999999999999</v>
      </c>
      <c r="G16" s="29">
        <v>9.3000000000000007</v>
      </c>
      <c r="H16" s="30" t="s">
        <v>840</v>
      </c>
      <c r="I16" s="30" t="s">
        <v>840</v>
      </c>
      <c r="J16" s="27" t="s">
        <v>840</v>
      </c>
      <c r="K16" s="28"/>
    </row>
    <row r="17" spans="1:11" ht="30.2" customHeight="1" x14ac:dyDescent="0.2">
      <c r="A17" s="10" t="s">
        <v>775</v>
      </c>
      <c r="B17" s="334" t="s">
        <v>1072</v>
      </c>
      <c r="C17" s="313" t="s">
        <v>846</v>
      </c>
      <c r="D17" s="92">
        <v>15.864000000000001</v>
      </c>
      <c r="E17" s="93">
        <v>0.57399999999999995</v>
      </c>
      <c r="F17" s="94">
        <v>0.17799999999999999</v>
      </c>
      <c r="G17" s="29">
        <v>10.039999999999999</v>
      </c>
      <c r="H17" s="30" t="s">
        <v>840</v>
      </c>
      <c r="I17" s="30" t="s">
        <v>840</v>
      </c>
      <c r="J17" s="27" t="s">
        <v>840</v>
      </c>
      <c r="K17" s="28"/>
    </row>
    <row r="18" spans="1:11" ht="30.2" customHeight="1" x14ac:dyDescent="0.2">
      <c r="A18" s="10" t="s">
        <v>776</v>
      </c>
      <c r="B18" s="334" t="s">
        <v>1073</v>
      </c>
      <c r="C18" s="313" t="s">
        <v>846</v>
      </c>
      <c r="D18" s="92">
        <v>15.864000000000001</v>
      </c>
      <c r="E18" s="93">
        <v>0.57399999999999995</v>
      </c>
      <c r="F18" s="94">
        <v>0.17799999999999999</v>
      </c>
      <c r="G18" s="29">
        <v>11.5</v>
      </c>
      <c r="H18" s="30" t="s">
        <v>840</v>
      </c>
      <c r="I18" s="30" t="s">
        <v>840</v>
      </c>
      <c r="J18" s="27" t="s">
        <v>840</v>
      </c>
      <c r="K18" s="28"/>
    </row>
    <row r="19" spans="1:11" ht="30.2" customHeight="1" x14ac:dyDescent="0.2">
      <c r="A19" s="10" t="s">
        <v>777</v>
      </c>
      <c r="B19" s="334" t="s">
        <v>1074</v>
      </c>
      <c r="C19" s="313" t="s">
        <v>846</v>
      </c>
      <c r="D19" s="92">
        <v>15.864000000000001</v>
      </c>
      <c r="E19" s="93">
        <v>0.57399999999999995</v>
      </c>
      <c r="F19" s="94">
        <v>0.17799999999999999</v>
      </c>
      <c r="G19" s="29">
        <v>13.91</v>
      </c>
      <c r="H19" s="30" t="s">
        <v>840</v>
      </c>
      <c r="I19" s="30" t="s">
        <v>840</v>
      </c>
      <c r="J19" s="27" t="s">
        <v>840</v>
      </c>
      <c r="K19" s="28"/>
    </row>
    <row r="20" spans="1:11" ht="30.2" customHeight="1" x14ac:dyDescent="0.2">
      <c r="A20" s="10" t="s">
        <v>778</v>
      </c>
      <c r="B20" s="334" t="s">
        <v>1075</v>
      </c>
      <c r="C20" s="313" t="s">
        <v>846</v>
      </c>
      <c r="D20" s="92">
        <v>15.864000000000001</v>
      </c>
      <c r="E20" s="93">
        <v>0.57399999999999995</v>
      </c>
      <c r="F20" s="94">
        <v>0.17799999999999999</v>
      </c>
      <c r="G20" s="29">
        <v>22.2</v>
      </c>
      <c r="H20" s="30" t="s">
        <v>840</v>
      </c>
      <c r="I20" s="30" t="s">
        <v>840</v>
      </c>
      <c r="J20" s="27" t="s">
        <v>840</v>
      </c>
      <c r="K20" s="28"/>
    </row>
    <row r="21" spans="1:11" ht="30.2" customHeight="1" x14ac:dyDescent="0.2">
      <c r="A21" s="10" t="s">
        <v>575</v>
      </c>
      <c r="B21" s="334" t="s">
        <v>840</v>
      </c>
      <c r="C21" s="313">
        <v>4</v>
      </c>
      <c r="D21" s="92">
        <v>15.864000000000001</v>
      </c>
      <c r="E21" s="93">
        <v>0.57399999999999995</v>
      </c>
      <c r="F21" s="94">
        <v>0.17799999999999999</v>
      </c>
      <c r="G21" s="30" t="s">
        <v>840</v>
      </c>
      <c r="H21" s="30" t="s">
        <v>840</v>
      </c>
      <c r="I21" s="30" t="s">
        <v>840</v>
      </c>
      <c r="J21" s="27" t="s">
        <v>840</v>
      </c>
      <c r="K21" s="28"/>
    </row>
    <row r="22" spans="1:11" ht="30.2" customHeight="1" x14ac:dyDescent="0.2">
      <c r="A22" s="10" t="s">
        <v>595</v>
      </c>
      <c r="B22" s="334" t="s">
        <v>1076</v>
      </c>
      <c r="C22" s="313">
        <v>0</v>
      </c>
      <c r="D22" s="92">
        <v>11.311</v>
      </c>
      <c r="E22" s="93">
        <v>0.38900000000000001</v>
      </c>
      <c r="F22" s="94">
        <v>0.121</v>
      </c>
      <c r="G22" s="29">
        <v>20.81</v>
      </c>
      <c r="H22" s="29">
        <v>8.57</v>
      </c>
      <c r="I22" s="91">
        <v>8.57</v>
      </c>
      <c r="J22" s="26">
        <v>0.36099999999999999</v>
      </c>
      <c r="K22" s="28"/>
    </row>
    <row r="23" spans="1:11" ht="30.2" customHeight="1" x14ac:dyDescent="0.2">
      <c r="A23" s="10" t="s">
        <v>596</v>
      </c>
      <c r="B23" s="334" t="s">
        <v>1077</v>
      </c>
      <c r="C23" s="313">
        <v>0</v>
      </c>
      <c r="D23" s="92">
        <v>11.311</v>
      </c>
      <c r="E23" s="93">
        <v>0.38900000000000001</v>
      </c>
      <c r="F23" s="94">
        <v>0.121</v>
      </c>
      <c r="G23" s="29">
        <v>46.56</v>
      </c>
      <c r="H23" s="29">
        <v>8.57</v>
      </c>
      <c r="I23" s="91">
        <v>8.57</v>
      </c>
      <c r="J23" s="26">
        <v>0.36099999999999999</v>
      </c>
      <c r="K23" s="28"/>
    </row>
    <row r="24" spans="1:11" ht="30.2" customHeight="1" x14ac:dyDescent="0.2">
      <c r="A24" s="10" t="s">
        <v>597</v>
      </c>
      <c r="B24" s="334" t="s">
        <v>1078</v>
      </c>
      <c r="C24" s="313">
        <v>0</v>
      </c>
      <c r="D24" s="92">
        <v>11.311</v>
      </c>
      <c r="E24" s="93">
        <v>0.38900000000000001</v>
      </c>
      <c r="F24" s="94">
        <v>0.121</v>
      </c>
      <c r="G24" s="29">
        <v>65.81</v>
      </c>
      <c r="H24" s="29">
        <v>8.57</v>
      </c>
      <c r="I24" s="91">
        <v>8.57</v>
      </c>
      <c r="J24" s="26">
        <v>0.36099999999999999</v>
      </c>
      <c r="K24" s="28"/>
    </row>
    <row r="25" spans="1:11" ht="30.2" customHeight="1" x14ac:dyDescent="0.2">
      <c r="A25" s="10" t="s">
        <v>598</v>
      </c>
      <c r="B25" s="334" t="s">
        <v>1079</v>
      </c>
      <c r="C25" s="313">
        <v>0</v>
      </c>
      <c r="D25" s="92">
        <v>11.311</v>
      </c>
      <c r="E25" s="93">
        <v>0.38900000000000001</v>
      </c>
      <c r="F25" s="94">
        <v>0.121</v>
      </c>
      <c r="G25" s="29">
        <v>89.87</v>
      </c>
      <c r="H25" s="29">
        <v>8.57</v>
      </c>
      <c r="I25" s="91">
        <v>8.57</v>
      </c>
      <c r="J25" s="26">
        <v>0.36099999999999999</v>
      </c>
      <c r="K25" s="28"/>
    </row>
    <row r="26" spans="1:11" ht="30.2" customHeight="1" x14ac:dyDescent="0.2">
      <c r="A26" s="10" t="s">
        <v>599</v>
      </c>
      <c r="B26" s="334" t="s">
        <v>1080</v>
      </c>
      <c r="C26" s="313">
        <v>0</v>
      </c>
      <c r="D26" s="92">
        <v>11.311</v>
      </c>
      <c r="E26" s="93">
        <v>0.38900000000000001</v>
      </c>
      <c r="F26" s="94">
        <v>0.121</v>
      </c>
      <c r="G26" s="29">
        <v>182.28</v>
      </c>
      <c r="H26" s="29">
        <v>8.57</v>
      </c>
      <c r="I26" s="91">
        <v>8.57</v>
      </c>
      <c r="J26" s="26">
        <v>0.36099999999999999</v>
      </c>
      <c r="K26" s="28"/>
    </row>
    <row r="27" spans="1:11" ht="30.2" customHeight="1" x14ac:dyDescent="0.2">
      <c r="A27" s="10" t="s">
        <v>600</v>
      </c>
      <c r="B27" s="334" t="s">
        <v>1081</v>
      </c>
      <c r="C27" s="313">
        <v>0</v>
      </c>
      <c r="D27" s="92">
        <v>6.923</v>
      </c>
      <c r="E27" s="93">
        <v>0.215</v>
      </c>
      <c r="F27" s="94">
        <v>6.8000000000000005E-2</v>
      </c>
      <c r="G27" s="29">
        <v>17.37</v>
      </c>
      <c r="H27" s="29">
        <v>7.39</v>
      </c>
      <c r="I27" s="91">
        <v>7.39</v>
      </c>
      <c r="J27" s="26">
        <v>0.214</v>
      </c>
      <c r="K27" s="28"/>
    </row>
    <row r="28" spans="1:11" ht="30.2" customHeight="1" x14ac:dyDescent="0.2">
      <c r="A28" s="10" t="s">
        <v>601</v>
      </c>
      <c r="B28" s="334" t="s">
        <v>1082</v>
      </c>
      <c r="C28" s="313">
        <v>0</v>
      </c>
      <c r="D28" s="92">
        <v>6.923</v>
      </c>
      <c r="E28" s="93">
        <v>0.215</v>
      </c>
      <c r="F28" s="94">
        <v>6.8000000000000005E-2</v>
      </c>
      <c r="G28" s="29">
        <v>43.13</v>
      </c>
      <c r="H28" s="29">
        <v>7.39</v>
      </c>
      <c r="I28" s="91">
        <v>7.39</v>
      </c>
      <c r="J28" s="26">
        <v>0.214</v>
      </c>
      <c r="K28" s="28"/>
    </row>
    <row r="29" spans="1:11" ht="30.2" customHeight="1" x14ac:dyDescent="0.2">
      <c r="A29" s="10" t="s">
        <v>602</v>
      </c>
      <c r="B29" s="334" t="s">
        <v>1083</v>
      </c>
      <c r="C29" s="313">
        <v>0</v>
      </c>
      <c r="D29" s="92">
        <v>6.923</v>
      </c>
      <c r="E29" s="93">
        <v>0.215</v>
      </c>
      <c r="F29" s="94">
        <v>6.8000000000000005E-2</v>
      </c>
      <c r="G29" s="29">
        <v>62.38</v>
      </c>
      <c r="H29" s="29">
        <v>7.39</v>
      </c>
      <c r="I29" s="91">
        <v>7.39</v>
      </c>
      <c r="J29" s="26">
        <v>0.214</v>
      </c>
      <c r="K29" s="28"/>
    </row>
    <row r="30" spans="1:11" ht="30.2" customHeight="1" x14ac:dyDescent="0.2">
      <c r="A30" s="10" t="s">
        <v>603</v>
      </c>
      <c r="B30" s="334" t="s">
        <v>1084</v>
      </c>
      <c r="C30" s="313">
        <v>0</v>
      </c>
      <c r="D30" s="92">
        <v>6.923</v>
      </c>
      <c r="E30" s="93">
        <v>0.215</v>
      </c>
      <c r="F30" s="94">
        <v>6.8000000000000005E-2</v>
      </c>
      <c r="G30" s="29">
        <v>86.44</v>
      </c>
      <c r="H30" s="29">
        <v>7.39</v>
      </c>
      <c r="I30" s="91">
        <v>7.39</v>
      </c>
      <c r="J30" s="26">
        <v>0.214</v>
      </c>
      <c r="K30" s="28"/>
    </row>
    <row r="31" spans="1:11" ht="30.2" customHeight="1" x14ac:dyDescent="0.2">
      <c r="A31" s="10" t="s">
        <v>604</v>
      </c>
      <c r="B31" s="334" t="s">
        <v>1085</v>
      </c>
      <c r="C31" s="313">
        <v>0</v>
      </c>
      <c r="D31" s="92">
        <v>6.923</v>
      </c>
      <c r="E31" s="93">
        <v>0.215</v>
      </c>
      <c r="F31" s="94">
        <v>6.8000000000000005E-2</v>
      </c>
      <c r="G31" s="29">
        <v>178.84</v>
      </c>
      <c r="H31" s="29">
        <v>7.39</v>
      </c>
      <c r="I31" s="91">
        <v>7.39</v>
      </c>
      <c r="J31" s="26">
        <v>0.214</v>
      </c>
      <c r="K31" s="28"/>
    </row>
    <row r="32" spans="1:11" ht="30.2" customHeight="1" x14ac:dyDescent="0.2">
      <c r="A32" s="10" t="s">
        <v>605</v>
      </c>
      <c r="B32" s="334" t="s">
        <v>1086</v>
      </c>
      <c r="C32" s="313">
        <v>0</v>
      </c>
      <c r="D32" s="92">
        <v>6.01</v>
      </c>
      <c r="E32" s="93">
        <v>0.17699999999999999</v>
      </c>
      <c r="F32" s="94">
        <v>5.6000000000000001E-2</v>
      </c>
      <c r="G32" s="29">
        <v>175.83</v>
      </c>
      <c r="H32" s="29">
        <v>6.66</v>
      </c>
      <c r="I32" s="91">
        <v>6.66</v>
      </c>
      <c r="J32" s="26">
        <v>0.186</v>
      </c>
      <c r="K32" s="28"/>
    </row>
    <row r="33" spans="1:11" ht="30.2" customHeight="1" x14ac:dyDescent="0.2">
      <c r="A33" s="10" t="s">
        <v>606</v>
      </c>
      <c r="B33" s="334" t="s">
        <v>1087</v>
      </c>
      <c r="C33" s="313">
        <v>0</v>
      </c>
      <c r="D33" s="92">
        <v>6.01</v>
      </c>
      <c r="E33" s="93">
        <v>0.17699999999999999</v>
      </c>
      <c r="F33" s="94">
        <v>5.6000000000000001E-2</v>
      </c>
      <c r="G33" s="29">
        <v>360.69</v>
      </c>
      <c r="H33" s="29">
        <v>6.66</v>
      </c>
      <c r="I33" s="91">
        <v>6.66</v>
      </c>
      <c r="J33" s="26">
        <v>0.186</v>
      </c>
      <c r="K33" s="28"/>
    </row>
    <row r="34" spans="1:11" ht="30.2" customHeight="1" x14ac:dyDescent="0.2">
      <c r="A34" s="10" t="s">
        <v>607</v>
      </c>
      <c r="B34" s="334" t="s">
        <v>1088</v>
      </c>
      <c r="C34" s="313">
        <v>0</v>
      </c>
      <c r="D34" s="92">
        <v>6.01</v>
      </c>
      <c r="E34" s="93">
        <v>0.17699999999999999</v>
      </c>
      <c r="F34" s="94">
        <v>5.6000000000000001E-2</v>
      </c>
      <c r="G34" s="29">
        <v>636.85</v>
      </c>
      <c r="H34" s="29">
        <v>6.66</v>
      </c>
      <c r="I34" s="91">
        <v>6.66</v>
      </c>
      <c r="J34" s="26">
        <v>0.186</v>
      </c>
      <c r="K34" s="28"/>
    </row>
    <row r="35" spans="1:11" ht="30.2" customHeight="1" x14ac:dyDescent="0.2">
      <c r="A35" s="10" t="s">
        <v>608</v>
      </c>
      <c r="B35" s="334" t="s">
        <v>1089</v>
      </c>
      <c r="C35" s="313">
        <v>0</v>
      </c>
      <c r="D35" s="92">
        <v>6.01</v>
      </c>
      <c r="E35" s="93">
        <v>0.17699999999999999</v>
      </c>
      <c r="F35" s="94">
        <v>5.6000000000000001E-2</v>
      </c>
      <c r="G35" s="29">
        <v>832.37</v>
      </c>
      <c r="H35" s="29">
        <v>6.66</v>
      </c>
      <c r="I35" s="91">
        <v>6.66</v>
      </c>
      <c r="J35" s="26">
        <v>0.186</v>
      </c>
      <c r="K35" s="28"/>
    </row>
    <row r="36" spans="1:11" ht="30.2" customHeight="1" x14ac:dyDescent="0.2">
      <c r="A36" s="10" t="s">
        <v>609</v>
      </c>
      <c r="B36" s="334" t="s">
        <v>1090</v>
      </c>
      <c r="C36" s="313">
        <v>0</v>
      </c>
      <c r="D36" s="92">
        <v>6.01</v>
      </c>
      <c r="E36" s="93">
        <v>0.17699999999999999</v>
      </c>
      <c r="F36" s="94">
        <v>5.6000000000000001E-2</v>
      </c>
      <c r="G36" s="29">
        <v>2071.8000000000002</v>
      </c>
      <c r="H36" s="29">
        <v>6.66</v>
      </c>
      <c r="I36" s="91">
        <v>6.66</v>
      </c>
      <c r="J36" s="26">
        <v>0.186</v>
      </c>
      <c r="K36" s="28"/>
    </row>
    <row r="37" spans="1:11" ht="30.2" customHeight="1" x14ac:dyDescent="0.2">
      <c r="A37" s="10" t="s">
        <v>576</v>
      </c>
      <c r="B37" s="334" t="s">
        <v>1091</v>
      </c>
      <c r="C37" s="313" t="s">
        <v>847</v>
      </c>
      <c r="D37" s="95">
        <v>57.600999999999999</v>
      </c>
      <c r="E37" s="96">
        <v>2.5659999999999998</v>
      </c>
      <c r="F37" s="94">
        <v>2.0409999999999999</v>
      </c>
      <c r="G37" s="30" t="s">
        <v>840</v>
      </c>
      <c r="H37" s="30" t="s">
        <v>840</v>
      </c>
      <c r="I37" s="30" t="s">
        <v>840</v>
      </c>
      <c r="J37" s="27" t="s">
        <v>840</v>
      </c>
      <c r="K37" s="28"/>
    </row>
    <row r="38" spans="1:11" ht="30.2" customHeight="1" x14ac:dyDescent="0.2">
      <c r="A38" s="10" t="s">
        <v>765</v>
      </c>
      <c r="B38" s="334" t="s">
        <v>1092</v>
      </c>
      <c r="C38" s="313" t="s">
        <v>848</v>
      </c>
      <c r="D38" s="92">
        <v>-12.382</v>
      </c>
      <c r="E38" s="93">
        <v>-0.44800000000000001</v>
      </c>
      <c r="F38" s="94">
        <v>-0.13900000000000001</v>
      </c>
      <c r="G38" s="29" t="s">
        <v>840</v>
      </c>
      <c r="H38" s="30" t="s">
        <v>840</v>
      </c>
      <c r="I38" s="30" t="s">
        <v>840</v>
      </c>
      <c r="J38" s="27" t="s">
        <v>840</v>
      </c>
      <c r="K38" s="28"/>
    </row>
    <row r="39" spans="1:11" ht="30.2" customHeight="1" x14ac:dyDescent="0.2">
      <c r="A39" s="10" t="s">
        <v>766</v>
      </c>
      <c r="B39" s="334" t="s">
        <v>1093</v>
      </c>
      <c r="C39" s="313">
        <v>0</v>
      </c>
      <c r="D39" s="92">
        <v>-10.023999999999999</v>
      </c>
      <c r="E39" s="93">
        <v>-0.35</v>
      </c>
      <c r="F39" s="94">
        <v>-0.109</v>
      </c>
      <c r="G39" s="29" t="s">
        <v>840</v>
      </c>
      <c r="H39" s="30" t="s">
        <v>840</v>
      </c>
      <c r="I39" s="30" t="s">
        <v>840</v>
      </c>
      <c r="J39" s="27" t="s">
        <v>840</v>
      </c>
      <c r="K39" s="28"/>
    </row>
    <row r="40" spans="1:11" ht="30.2" customHeight="1" x14ac:dyDescent="0.2">
      <c r="A40" s="10" t="s">
        <v>767</v>
      </c>
      <c r="B40" s="334" t="s">
        <v>1094</v>
      </c>
      <c r="C40" s="313">
        <v>0</v>
      </c>
      <c r="D40" s="92">
        <v>-12.382</v>
      </c>
      <c r="E40" s="93">
        <v>-0.44800000000000001</v>
      </c>
      <c r="F40" s="94">
        <v>-0.13900000000000001</v>
      </c>
      <c r="G40" s="29" t="s">
        <v>840</v>
      </c>
      <c r="H40" s="30" t="s">
        <v>840</v>
      </c>
      <c r="I40" s="30" t="s">
        <v>840</v>
      </c>
      <c r="J40" s="26">
        <v>0.41199999999999998</v>
      </c>
      <c r="K40" s="28"/>
    </row>
    <row r="41" spans="1:11" ht="30.2" customHeight="1" x14ac:dyDescent="0.2">
      <c r="A41" s="10" t="s">
        <v>768</v>
      </c>
      <c r="B41" s="334" t="s">
        <v>840</v>
      </c>
      <c r="C41" s="313">
        <v>0</v>
      </c>
      <c r="D41" s="92">
        <v>-12.382</v>
      </c>
      <c r="E41" s="93">
        <v>-0.44800000000000001</v>
      </c>
      <c r="F41" s="94">
        <v>-0.13900000000000001</v>
      </c>
      <c r="G41" s="29" t="s">
        <v>840</v>
      </c>
      <c r="H41" s="30" t="s">
        <v>840</v>
      </c>
      <c r="I41" s="30" t="s">
        <v>840</v>
      </c>
      <c r="J41" s="27" t="s">
        <v>840</v>
      </c>
      <c r="K41" s="28"/>
    </row>
    <row r="42" spans="1:11" ht="30.2" customHeight="1" x14ac:dyDescent="0.2">
      <c r="A42" s="10" t="s">
        <v>769</v>
      </c>
      <c r="B42" s="334" t="s">
        <v>840</v>
      </c>
      <c r="C42" s="313">
        <v>0</v>
      </c>
      <c r="D42" s="92">
        <v>-10.023999999999999</v>
      </c>
      <c r="E42" s="93">
        <v>-0.35</v>
      </c>
      <c r="F42" s="94">
        <v>-0.109</v>
      </c>
      <c r="G42" s="29" t="s">
        <v>840</v>
      </c>
      <c r="H42" s="30" t="s">
        <v>840</v>
      </c>
      <c r="I42" s="30" t="s">
        <v>840</v>
      </c>
      <c r="J42" s="26">
        <v>0.312</v>
      </c>
      <c r="K42" s="28"/>
    </row>
    <row r="43" spans="1:11" ht="30.2" customHeight="1" x14ac:dyDescent="0.2">
      <c r="A43" s="10" t="s">
        <v>770</v>
      </c>
      <c r="B43" s="334" t="s">
        <v>840</v>
      </c>
      <c r="C43" s="313">
        <v>0</v>
      </c>
      <c r="D43" s="92">
        <v>-10.023999999999999</v>
      </c>
      <c r="E43" s="93">
        <v>-0.35</v>
      </c>
      <c r="F43" s="94">
        <v>-0.109</v>
      </c>
      <c r="G43" s="29" t="s">
        <v>840</v>
      </c>
      <c r="H43" s="30" t="s">
        <v>840</v>
      </c>
      <c r="I43" s="30" t="s">
        <v>840</v>
      </c>
      <c r="J43" s="27" t="s">
        <v>840</v>
      </c>
      <c r="K43" s="28"/>
    </row>
    <row r="44" spans="1:11" ht="30.2" customHeight="1" x14ac:dyDescent="0.2">
      <c r="A44" s="10" t="s">
        <v>771</v>
      </c>
      <c r="B44" s="334" t="s">
        <v>1095</v>
      </c>
      <c r="C44" s="313">
        <v>0</v>
      </c>
      <c r="D44" s="92">
        <v>-7.0069999999999997</v>
      </c>
      <c r="E44" s="93">
        <v>-0.218</v>
      </c>
      <c r="F44" s="94">
        <v>-6.9000000000000006E-2</v>
      </c>
      <c r="G44" s="29">
        <v>12.47</v>
      </c>
      <c r="H44" s="30" t="s">
        <v>840</v>
      </c>
      <c r="I44" s="30" t="s">
        <v>840</v>
      </c>
      <c r="J44" s="26">
        <v>0.27100000000000002</v>
      </c>
      <c r="K44" s="28"/>
    </row>
    <row r="45" spans="1:11" ht="30.2" customHeight="1" x14ac:dyDescent="0.2">
      <c r="A45" s="10" t="s">
        <v>772</v>
      </c>
      <c r="B45" s="334" t="s">
        <v>840</v>
      </c>
      <c r="C45" s="313">
        <v>0</v>
      </c>
      <c r="D45" s="92">
        <v>-7.0069999999999997</v>
      </c>
      <c r="E45" s="93">
        <v>-0.218</v>
      </c>
      <c r="F45" s="94">
        <v>-6.9000000000000006E-2</v>
      </c>
      <c r="G45" s="29">
        <v>12.47</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charges_J'; based on connection level, credits may therefore be lower than stated above.</v>
      </c>
    </row>
    <row r="47" spans="1:11" ht="27.75" customHeight="1" x14ac:dyDescent="0.2">
      <c r="A47" s="332" t="s">
        <v>524</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740CFB3D-BB6B-4460-BE04-82B4CFB5B8C1}"/>
    <hyperlink ref="A47" location="'Annex 4 LDNO charges_J'!A1" display="Annex 4 LDNO charges_J" xr:uid="{FE0513CF-A77D-4BF2-A556-F0A11DC2C285}"/>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70" t="s">
        <v>466</v>
      </c>
      <c r="F1" s="370"/>
      <c r="G1" s="370"/>
      <c r="H1" s="370"/>
      <c r="I1" s="370"/>
      <c r="J1" s="370"/>
      <c r="K1" s="370"/>
      <c r="L1" s="243"/>
      <c r="M1" s="342"/>
      <c r="N1" s="243"/>
      <c r="O1" s="243"/>
    </row>
    <row r="2" spans="1:15" ht="27" customHeight="1" x14ac:dyDescent="0.2">
      <c r="A2" s="382" t="str">
        <f>Overview!B4&amp;" - Effective from "&amp;TEXT(Overview!$D$4,"d mmmm yyyy")&amp;" - Final LV and HV charges in WPD South Wales Area (GSP Group _K)"</f>
        <v>Leep Electricity Networks Limited - Effective from 1 April 2026 - Final LV and HV charges in WPD South Wales Area (GSP Group _K)</v>
      </c>
      <c r="B2" s="383"/>
      <c r="C2" s="383"/>
      <c r="D2" s="383"/>
      <c r="E2" s="383"/>
      <c r="F2" s="383"/>
      <c r="G2" s="383"/>
      <c r="H2" s="383"/>
      <c r="I2" s="383"/>
      <c r="J2" s="383"/>
      <c r="K2" s="384"/>
    </row>
    <row r="3" spans="1:15" s="41" customFormat="1" ht="15" customHeight="1" x14ac:dyDescent="0.2">
      <c r="A3" s="46"/>
      <c r="B3" s="46"/>
      <c r="C3" s="46"/>
      <c r="D3" s="46"/>
      <c r="E3" s="46"/>
      <c r="F3" s="46"/>
      <c r="G3" s="46"/>
      <c r="H3" s="46"/>
      <c r="I3" s="46"/>
      <c r="J3" s="46"/>
      <c r="K3" s="46"/>
      <c r="L3" s="100"/>
      <c r="M3" s="344"/>
    </row>
    <row r="4" spans="1:15" ht="18" customHeight="1" x14ac:dyDescent="0.2">
      <c r="A4" s="382" t="s">
        <v>308</v>
      </c>
      <c r="B4" s="383"/>
      <c r="C4" s="383"/>
      <c r="D4" s="383"/>
      <c r="E4" s="384"/>
      <c r="F4" s="46"/>
      <c r="G4" s="382" t="s">
        <v>307</v>
      </c>
      <c r="H4" s="383"/>
      <c r="I4" s="383"/>
      <c r="J4" s="383"/>
      <c r="K4" s="384"/>
    </row>
    <row r="5" spans="1:15" ht="36.75" customHeight="1" x14ac:dyDescent="0.2">
      <c r="A5" s="102" t="s">
        <v>13</v>
      </c>
      <c r="B5" s="103" t="s">
        <v>299</v>
      </c>
      <c r="C5" s="425" t="s">
        <v>300</v>
      </c>
      <c r="D5" s="426"/>
      <c r="E5" s="104" t="s">
        <v>301</v>
      </c>
      <c r="F5" s="46"/>
      <c r="G5" s="427"/>
      <c r="H5" s="428"/>
      <c r="I5" s="105" t="s">
        <v>305</v>
      </c>
      <c r="J5" s="106" t="s">
        <v>306</v>
      </c>
      <c r="K5" s="104" t="s">
        <v>301</v>
      </c>
      <c r="L5" s="46"/>
      <c r="N5" s="3"/>
    </row>
    <row r="6" spans="1:15" ht="50.25" customHeight="1" x14ac:dyDescent="0.2">
      <c r="A6" s="275" t="s">
        <v>837</v>
      </c>
      <c r="B6" s="107" t="s">
        <v>2125</v>
      </c>
      <c r="C6" s="419" t="s">
        <v>2126</v>
      </c>
      <c r="D6" s="419"/>
      <c r="E6" s="108" t="s">
        <v>2127</v>
      </c>
      <c r="F6" s="46" t="s">
        <v>840</v>
      </c>
      <c r="G6" s="420" t="s">
        <v>2128</v>
      </c>
      <c r="H6" s="420"/>
      <c r="I6" s="107" t="s">
        <v>2125</v>
      </c>
      <c r="J6" s="109" t="s">
        <v>2126</v>
      </c>
      <c r="K6" s="109" t="s">
        <v>2127</v>
      </c>
      <c r="L6" s="46"/>
      <c r="N6" s="3"/>
    </row>
    <row r="7" spans="1:15" ht="51.75" customHeight="1" x14ac:dyDescent="0.2">
      <c r="A7" s="275" t="s">
        <v>841</v>
      </c>
      <c r="B7" s="110" t="s">
        <v>840</v>
      </c>
      <c r="C7" s="419" t="s">
        <v>2129</v>
      </c>
      <c r="D7" s="419"/>
      <c r="E7" s="109" t="s">
        <v>2130</v>
      </c>
      <c r="F7" s="46" t="s">
        <v>840</v>
      </c>
      <c r="G7" s="420" t="s">
        <v>2131</v>
      </c>
      <c r="H7" s="420"/>
      <c r="I7" s="110" t="s">
        <v>840</v>
      </c>
      <c r="J7" s="109" t="s">
        <v>2132</v>
      </c>
      <c r="K7" s="109" t="s">
        <v>2127</v>
      </c>
      <c r="L7" s="46"/>
      <c r="N7" s="3"/>
    </row>
    <row r="8" spans="1:15" ht="38.25" x14ac:dyDescent="0.2">
      <c r="A8" s="262" t="s">
        <v>14</v>
      </c>
      <c r="B8" s="419" t="s">
        <v>15</v>
      </c>
      <c r="C8" s="419"/>
      <c r="D8" s="419"/>
      <c r="E8" s="419"/>
      <c r="F8" s="46" t="s">
        <v>840</v>
      </c>
      <c r="G8" s="420" t="s">
        <v>2074</v>
      </c>
      <c r="H8" s="420"/>
      <c r="I8" s="110" t="s">
        <v>840</v>
      </c>
      <c r="J8" s="109" t="s">
        <v>2129</v>
      </c>
      <c r="K8" s="109" t="s">
        <v>2133</v>
      </c>
      <c r="L8" s="46"/>
      <c r="N8" s="3"/>
    </row>
    <row r="9" spans="1:15" s="41" customFormat="1" ht="36" customHeight="1" x14ac:dyDescent="0.2">
      <c r="A9" s="263" t="s">
        <v>840</v>
      </c>
      <c r="B9" s="263" t="s">
        <v>840</v>
      </c>
      <c r="C9" s="421" t="s">
        <v>840</v>
      </c>
      <c r="D9" s="421"/>
      <c r="E9" s="263" t="s">
        <v>840</v>
      </c>
      <c r="F9" s="46" t="s">
        <v>840</v>
      </c>
      <c r="G9" s="420" t="s">
        <v>14</v>
      </c>
      <c r="H9" s="420"/>
      <c r="I9" s="422" t="s">
        <v>15</v>
      </c>
      <c r="J9" s="423"/>
      <c r="K9" s="424"/>
      <c r="L9" s="46"/>
      <c r="M9" s="344"/>
      <c r="N9" s="31"/>
    </row>
    <row r="10" spans="1:15" s="41" customFormat="1" ht="10.5" customHeight="1" x14ac:dyDescent="0.2">
      <c r="A10" s="120"/>
      <c r="B10" s="409"/>
      <c r="C10" s="409"/>
      <c r="D10" s="409"/>
      <c r="E10" s="409"/>
      <c r="F10" s="46"/>
      <c r="G10" s="410"/>
      <c r="H10" s="410"/>
      <c r="I10" s="257"/>
      <c r="J10" s="257"/>
      <c r="K10" s="257"/>
      <c r="L10" s="46"/>
      <c r="M10" s="344"/>
      <c r="N10" s="31"/>
    </row>
    <row r="11" spans="1:15" s="41" customFormat="1" ht="10.5" customHeight="1" x14ac:dyDescent="0.2">
      <c r="A11" s="46"/>
      <c r="B11" s="46"/>
      <c r="C11" s="46"/>
      <c r="D11" s="46"/>
      <c r="E11" s="46"/>
      <c r="F11" s="46"/>
      <c r="G11" s="405"/>
      <c r="H11" s="405"/>
      <c r="I11" s="406"/>
      <c r="J11" s="406"/>
      <c r="K11" s="406"/>
      <c r="L11" s="46"/>
      <c r="M11" s="344"/>
    </row>
    <row r="12" spans="1:15" s="41" customFormat="1" ht="10.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1096</v>
      </c>
      <c r="C14" s="313" t="s">
        <v>845</v>
      </c>
      <c r="D14" s="92">
        <v>18.538</v>
      </c>
      <c r="E14" s="93">
        <v>1.53</v>
      </c>
      <c r="F14" s="94">
        <v>0.29399999999999998</v>
      </c>
      <c r="G14" s="29">
        <v>12.01</v>
      </c>
      <c r="H14" s="30" t="s">
        <v>840</v>
      </c>
      <c r="I14" s="30" t="s">
        <v>840</v>
      </c>
      <c r="J14" s="27" t="s">
        <v>840</v>
      </c>
      <c r="K14" s="28"/>
    </row>
    <row r="15" spans="1:15" ht="30.2" customHeight="1" x14ac:dyDescent="0.2">
      <c r="A15" s="10" t="s">
        <v>594</v>
      </c>
      <c r="B15" s="334" t="s">
        <v>840</v>
      </c>
      <c r="C15" s="313" t="s">
        <v>2075</v>
      </c>
      <c r="D15" s="92">
        <v>18.538</v>
      </c>
      <c r="E15" s="93">
        <v>1.53</v>
      </c>
      <c r="F15" s="94">
        <v>0.29399999999999998</v>
      </c>
      <c r="G15" s="30" t="s">
        <v>840</v>
      </c>
      <c r="H15" s="30" t="s">
        <v>840</v>
      </c>
      <c r="I15" s="30" t="s">
        <v>840</v>
      </c>
      <c r="J15" s="27" t="s">
        <v>840</v>
      </c>
      <c r="K15" s="28"/>
    </row>
    <row r="16" spans="1:15" ht="30.2" customHeight="1" x14ac:dyDescent="0.2">
      <c r="A16" s="10" t="s">
        <v>774</v>
      </c>
      <c r="B16" s="334" t="s">
        <v>1097</v>
      </c>
      <c r="C16" s="313" t="s">
        <v>846</v>
      </c>
      <c r="D16" s="92">
        <v>20.286000000000001</v>
      </c>
      <c r="E16" s="93">
        <v>1.6739999999999999</v>
      </c>
      <c r="F16" s="94">
        <v>0.32100000000000001</v>
      </c>
      <c r="G16" s="29">
        <v>15.3</v>
      </c>
      <c r="H16" s="30" t="s">
        <v>840</v>
      </c>
      <c r="I16" s="30" t="s">
        <v>840</v>
      </c>
      <c r="J16" s="27" t="s">
        <v>840</v>
      </c>
      <c r="K16" s="28"/>
    </row>
    <row r="17" spans="1:11" ht="30.2" customHeight="1" x14ac:dyDescent="0.2">
      <c r="A17" s="10" t="s">
        <v>775</v>
      </c>
      <c r="B17" s="334" t="s">
        <v>1098</v>
      </c>
      <c r="C17" s="313" t="s">
        <v>846</v>
      </c>
      <c r="D17" s="92">
        <v>20.286000000000001</v>
      </c>
      <c r="E17" s="93">
        <v>1.6739999999999999</v>
      </c>
      <c r="F17" s="94">
        <v>0.32100000000000001</v>
      </c>
      <c r="G17" s="29">
        <v>18.14</v>
      </c>
      <c r="H17" s="30" t="s">
        <v>840</v>
      </c>
      <c r="I17" s="30" t="s">
        <v>840</v>
      </c>
      <c r="J17" s="27" t="s">
        <v>840</v>
      </c>
      <c r="K17" s="28"/>
    </row>
    <row r="18" spans="1:11" ht="30.2" customHeight="1" x14ac:dyDescent="0.2">
      <c r="A18" s="10" t="s">
        <v>776</v>
      </c>
      <c r="B18" s="334" t="s">
        <v>1099</v>
      </c>
      <c r="C18" s="313" t="s">
        <v>846</v>
      </c>
      <c r="D18" s="92">
        <v>20.286000000000001</v>
      </c>
      <c r="E18" s="93">
        <v>1.6739999999999999</v>
      </c>
      <c r="F18" s="94">
        <v>0.32100000000000001</v>
      </c>
      <c r="G18" s="29">
        <v>23.18</v>
      </c>
      <c r="H18" s="30" t="s">
        <v>840</v>
      </c>
      <c r="I18" s="30" t="s">
        <v>840</v>
      </c>
      <c r="J18" s="27" t="s">
        <v>840</v>
      </c>
      <c r="K18" s="28"/>
    </row>
    <row r="19" spans="1:11" ht="30.2" customHeight="1" x14ac:dyDescent="0.2">
      <c r="A19" s="10" t="s">
        <v>777</v>
      </c>
      <c r="B19" s="334" t="s">
        <v>1100</v>
      </c>
      <c r="C19" s="313" t="s">
        <v>846</v>
      </c>
      <c r="D19" s="92">
        <v>20.286000000000001</v>
      </c>
      <c r="E19" s="93">
        <v>1.6739999999999999</v>
      </c>
      <c r="F19" s="94">
        <v>0.32100000000000001</v>
      </c>
      <c r="G19" s="29">
        <v>31.87</v>
      </c>
      <c r="H19" s="30" t="s">
        <v>840</v>
      </c>
      <c r="I19" s="30" t="s">
        <v>840</v>
      </c>
      <c r="J19" s="27" t="s">
        <v>840</v>
      </c>
      <c r="K19" s="28"/>
    </row>
    <row r="20" spans="1:11" ht="30.2" customHeight="1" x14ac:dyDescent="0.2">
      <c r="A20" s="10" t="s">
        <v>778</v>
      </c>
      <c r="B20" s="334" t="s">
        <v>1101</v>
      </c>
      <c r="C20" s="313" t="s">
        <v>846</v>
      </c>
      <c r="D20" s="92">
        <v>20.286000000000001</v>
      </c>
      <c r="E20" s="93">
        <v>1.6739999999999999</v>
      </c>
      <c r="F20" s="94">
        <v>0.32100000000000001</v>
      </c>
      <c r="G20" s="29">
        <v>58.04</v>
      </c>
      <c r="H20" s="30" t="s">
        <v>840</v>
      </c>
      <c r="I20" s="30" t="s">
        <v>840</v>
      </c>
      <c r="J20" s="27" t="s">
        <v>840</v>
      </c>
      <c r="K20" s="28"/>
    </row>
    <row r="21" spans="1:11" ht="30.2" customHeight="1" x14ac:dyDescent="0.2">
      <c r="A21" s="10" t="s">
        <v>575</v>
      </c>
      <c r="B21" s="334" t="s">
        <v>840</v>
      </c>
      <c r="C21" s="313" t="s">
        <v>2076</v>
      </c>
      <c r="D21" s="92">
        <v>20.286000000000001</v>
      </c>
      <c r="E21" s="93">
        <v>1.6739999999999999</v>
      </c>
      <c r="F21" s="94">
        <v>0.32100000000000001</v>
      </c>
      <c r="G21" s="30" t="s">
        <v>840</v>
      </c>
      <c r="H21" s="30" t="s">
        <v>840</v>
      </c>
      <c r="I21" s="30" t="s">
        <v>840</v>
      </c>
      <c r="J21" s="27" t="s">
        <v>840</v>
      </c>
      <c r="K21" s="28"/>
    </row>
    <row r="22" spans="1:11" ht="30.2" customHeight="1" x14ac:dyDescent="0.2">
      <c r="A22" s="10" t="s">
        <v>595</v>
      </c>
      <c r="B22" s="334" t="s">
        <v>1102</v>
      </c>
      <c r="C22" s="313">
        <v>0</v>
      </c>
      <c r="D22" s="92">
        <v>12.885</v>
      </c>
      <c r="E22" s="93">
        <v>0.98899999999999999</v>
      </c>
      <c r="F22" s="94">
        <v>0.20599999999999999</v>
      </c>
      <c r="G22" s="29">
        <v>17.88</v>
      </c>
      <c r="H22" s="29">
        <v>10.49</v>
      </c>
      <c r="I22" s="91">
        <v>10.49</v>
      </c>
      <c r="J22" s="26">
        <v>0.28699999999999998</v>
      </c>
      <c r="K22" s="28"/>
    </row>
    <row r="23" spans="1:11" ht="30.2" customHeight="1" x14ac:dyDescent="0.2">
      <c r="A23" s="10" t="s">
        <v>596</v>
      </c>
      <c r="B23" s="334" t="s">
        <v>1103</v>
      </c>
      <c r="C23" s="313">
        <v>0</v>
      </c>
      <c r="D23" s="92">
        <v>12.885</v>
      </c>
      <c r="E23" s="93">
        <v>0.98899999999999999</v>
      </c>
      <c r="F23" s="94">
        <v>0.20599999999999999</v>
      </c>
      <c r="G23" s="29">
        <v>94.61</v>
      </c>
      <c r="H23" s="29">
        <v>10.49</v>
      </c>
      <c r="I23" s="91">
        <v>10.49</v>
      </c>
      <c r="J23" s="26">
        <v>0.28699999999999998</v>
      </c>
      <c r="K23" s="28"/>
    </row>
    <row r="24" spans="1:11" ht="30.2" customHeight="1" x14ac:dyDescent="0.2">
      <c r="A24" s="10" t="s">
        <v>597</v>
      </c>
      <c r="B24" s="334" t="s">
        <v>1104</v>
      </c>
      <c r="C24" s="313">
        <v>0</v>
      </c>
      <c r="D24" s="92">
        <v>12.885</v>
      </c>
      <c r="E24" s="93">
        <v>0.98899999999999999</v>
      </c>
      <c r="F24" s="94">
        <v>0.20599999999999999</v>
      </c>
      <c r="G24" s="29">
        <v>165.52</v>
      </c>
      <c r="H24" s="29">
        <v>10.49</v>
      </c>
      <c r="I24" s="91">
        <v>10.49</v>
      </c>
      <c r="J24" s="26">
        <v>0.28699999999999998</v>
      </c>
      <c r="K24" s="28"/>
    </row>
    <row r="25" spans="1:11" ht="30.2" customHeight="1" x14ac:dyDescent="0.2">
      <c r="A25" s="10" t="s">
        <v>598</v>
      </c>
      <c r="B25" s="334" t="s">
        <v>1105</v>
      </c>
      <c r="C25" s="313">
        <v>0</v>
      </c>
      <c r="D25" s="92">
        <v>12.885</v>
      </c>
      <c r="E25" s="93">
        <v>0.98899999999999999</v>
      </c>
      <c r="F25" s="94">
        <v>0.20599999999999999</v>
      </c>
      <c r="G25" s="29">
        <v>268.48</v>
      </c>
      <c r="H25" s="29">
        <v>10.49</v>
      </c>
      <c r="I25" s="91">
        <v>10.49</v>
      </c>
      <c r="J25" s="26">
        <v>0.28699999999999998</v>
      </c>
      <c r="K25" s="28"/>
    </row>
    <row r="26" spans="1:11" ht="30.2" customHeight="1" x14ac:dyDescent="0.2">
      <c r="A26" s="10" t="s">
        <v>599</v>
      </c>
      <c r="B26" s="334" t="s">
        <v>1106</v>
      </c>
      <c r="C26" s="313">
        <v>0</v>
      </c>
      <c r="D26" s="92">
        <v>12.885</v>
      </c>
      <c r="E26" s="93">
        <v>0.98899999999999999</v>
      </c>
      <c r="F26" s="94">
        <v>0.20599999999999999</v>
      </c>
      <c r="G26" s="29">
        <v>600.61</v>
      </c>
      <c r="H26" s="29">
        <v>10.49</v>
      </c>
      <c r="I26" s="91">
        <v>10.49</v>
      </c>
      <c r="J26" s="26">
        <v>0.28699999999999998</v>
      </c>
      <c r="K26" s="28"/>
    </row>
    <row r="27" spans="1:11" ht="30.2" customHeight="1" x14ac:dyDescent="0.2">
      <c r="A27" s="10" t="s">
        <v>600</v>
      </c>
      <c r="B27" s="334" t="s">
        <v>1107</v>
      </c>
      <c r="C27" s="313">
        <v>0</v>
      </c>
      <c r="D27" s="92">
        <v>8.5449999999999999</v>
      </c>
      <c r="E27" s="93">
        <v>0.52600000000000002</v>
      </c>
      <c r="F27" s="94">
        <v>0.14000000000000001</v>
      </c>
      <c r="G27" s="29">
        <v>13.96</v>
      </c>
      <c r="H27" s="29">
        <v>10.07</v>
      </c>
      <c r="I27" s="91">
        <v>10.07</v>
      </c>
      <c r="J27" s="26">
        <v>0.17899999999999999</v>
      </c>
      <c r="K27" s="28"/>
    </row>
    <row r="28" spans="1:11" ht="30.2" customHeight="1" x14ac:dyDescent="0.2">
      <c r="A28" s="10" t="s">
        <v>601</v>
      </c>
      <c r="B28" s="334" t="s">
        <v>1108</v>
      </c>
      <c r="C28" s="313">
        <v>0</v>
      </c>
      <c r="D28" s="92">
        <v>8.5449999999999999</v>
      </c>
      <c r="E28" s="93">
        <v>0.52600000000000002</v>
      </c>
      <c r="F28" s="94">
        <v>0.14000000000000001</v>
      </c>
      <c r="G28" s="29">
        <v>90.69</v>
      </c>
      <c r="H28" s="29">
        <v>10.07</v>
      </c>
      <c r="I28" s="91">
        <v>10.07</v>
      </c>
      <c r="J28" s="26">
        <v>0.17899999999999999</v>
      </c>
      <c r="K28" s="28"/>
    </row>
    <row r="29" spans="1:11" ht="30.2" customHeight="1" x14ac:dyDescent="0.2">
      <c r="A29" s="10" t="s">
        <v>602</v>
      </c>
      <c r="B29" s="334" t="s">
        <v>1109</v>
      </c>
      <c r="C29" s="313">
        <v>0</v>
      </c>
      <c r="D29" s="92">
        <v>8.5449999999999999</v>
      </c>
      <c r="E29" s="93">
        <v>0.52600000000000002</v>
      </c>
      <c r="F29" s="94">
        <v>0.14000000000000001</v>
      </c>
      <c r="G29" s="29">
        <v>161.6</v>
      </c>
      <c r="H29" s="29">
        <v>10.07</v>
      </c>
      <c r="I29" s="91">
        <v>10.07</v>
      </c>
      <c r="J29" s="26">
        <v>0.17899999999999999</v>
      </c>
      <c r="K29" s="28"/>
    </row>
    <row r="30" spans="1:11" ht="30.2" customHeight="1" x14ac:dyDescent="0.2">
      <c r="A30" s="10" t="s">
        <v>603</v>
      </c>
      <c r="B30" s="334" t="s">
        <v>1110</v>
      </c>
      <c r="C30" s="313">
        <v>0</v>
      </c>
      <c r="D30" s="92">
        <v>8.5449999999999999</v>
      </c>
      <c r="E30" s="93">
        <v>0.52600000000000002</v>
      </c>
      <c r="F30" s="94">
        <v>0.14000000000000001</v>
      </c>
      <c r="G30" s="29">
        <v>264.56</v>
      </c>
      <c r="H30" s="29">
        <v>10.07</v>
      </c>
      <c r="I30" s="91">
        <v>10.07</v>
      </c>
      <c r="J30" s="26">
        <v>0.17899999999999999</v>
      </c>
      <c r="K30" s="28"/>
    </row>
    <row r="31" spans="1:11" ht="30.2" customHeight="1" x14ac:dyDescent="0.2">
      <c r="A31" s="10" t="s">
        <v>604</v>
      </c>
      <c r="B31" s="334" t="s">
        <v>1111</v>
      </c>
      <c r="C31" s="313">
        <v>0</v>
      </c>
      <c r="D31" s="92">
        <v>8.5449999999999999</v>
      </c>
      <c r="E31" s="93">
        <v>0.52600000000000002</v>
      </c>
      <c r="F31" s="94">
        <v>0.14000000000000001</v>
      </c>
      <c r="G31" s="29">
        <v>596.69000000000005</v>
      </c>
      <c r="H31" s="29">
        <v>10.07</v>
      </c>
      <c r="I31" s="91">
        <v>10.07</v>
      </c>
      <c r="J31" s="26">
        <v>0.17899999999999999</v>
      </c>
      <c r="K31" s="28"/>
    </row>
    <row r="32" spans="1:11" ht="30.2" customHeight="1" x14ac:dyDescent="0.2">
      <c r="A32" s="10" t="s">
        <v>605</v>
      </c>
      <c r="B32" s="334" t="s">
        <v>1112</v>
      </c>
      <c r="C32" s="313">
        <v>0</v>
      </c>
      <c r="D32" s="92">
        <v>5.9530000000000003</v>
      </c>
      <c r="E32" s="93">
        <v>0.32700000000000001</v>
      </c>
      <c r="F32" s="94">
        <v>9.6000000000000002E-2</v>
      </c>
      <c r="G32" s="29">
        <v>128.84</v>
      </c>
      <c r="H32" s="29">
        <v>10.43</v>
      </c>
      <c r="I32" s="91">
        <v>10.43</v>
      </c>
      <c r="J32" s="26">
        <v>0.115</v>
      </c>
      <c r="K32" s="28"/>
    </row>
    <row r="33" spans="1:11" ht="30.2" customHeight="1" x14ac:dyDescent="0.2">
      <c r="A33" s="10" t="s">
        <v>606</v>
      </c>
      <c r="B33" s="334" t="s">
        <v>1113</v>
      </c>
      <c r="C33" s="313">
        <v>0</v>
      </c>
      <c r="D33" s="92">
        <v>5.9530000000000003</v>
      </c>
      <c r="E33" s="93">
        <v>0.32700000000000001</v>
      </c>
      <c r="F33" s="94">
        <v>9.6000000000000002E-2</v>
      </c>
      <c r="G33" s="29">
        <v>692.19</v>
      </c>
      <c r="H33" s="29">
        <v>10.43</v>
      </c>
      <c r="I33" s="91">
        <v>10.43</v>
      </c>
      <c r="J33" s="26">
        <v>0.115</v>
      </c>
      <c r="K33" s="28"/>
    </row>
    <row r="34" spans="1:11" ht="30.2" customHeight="1" x14ac:dyDescent="0.2">
      <c r="A34" s="10" t="s">
        <v>607</v>
      </c>
      <c r="B34" s="334" t="s">
        <v>1114</v>
      </c>
      <c r="C34" s="313">
        <v>0</v>
      </c>
      <c r="D34" s="92">
        <v>5.9530000000000003</v>
      </c>
      <c r="E34" s="93">
        <v>0.32700000000000001</v>
      </c>
      <c r="F34" s="94">
        <v>9.6000000000000002E-2</v>
      </c>
      <c r="G34" s="29">
        <v>1590.95</v>
      </c>
      <c r="H34" s="29">
        <v>10.43</v>
      </c>
      <c r="I34" s="91">
        <v>10.43</v>
      </c>
      <c r="J34" s="26">
        <v>0.115</v>
      </c>
      <c r="K34" s="28"/>
    </row>
    <row r="35" spans="1:11" ht="30.2" customHeight="1" x14ac:dyDescent="0.2">
      <c r="A35" s="10" t="s">
        <v>608</v>
      </c>
      <c r="B35" s="334" t="s">
        <v>1115</v>
      </c>
      <c r="C35" s="313">
        <v>0</v>
      </c>
      <c r="D35" s="92">
        <v>5.9530000000000003</v>
      </c>
      <c r="E35" s="93">
        <v>0.32700000000000001</v>
      </c>
      <c r="F35" s="94">
        <v>9.6000000000000002E-2</v>
      </c>
      <c r="G35" s="29">
        <v>2871.8</v>
      </c>
      <c r="H35" s="29">
        <v>10.43</v>
      </c>
      <c r="I35" s="91">
        <v>10.43</v>
      </c>
      <c r="J35" s="26">
        <v>0.115</v>
      </c>
      <c r="K35" s="28"/>
    </row>
    <row r="36" spans="1:11" ht="30.2" customHeight="1" x14ac:dyDescent="0.2">
      <c r="A36" s="10" t="s">
        <v>609</v>
      </c>
      <c r="B36" s="334" t="s">
        <v>1116</v>
      </c>
      <c r="C36" s="313">
        <v>0</v>
      </c>
      <c r="D36" s="92">
        <v>5.9530000000000003</v>
      </c>
      <c r="E36" s="93">
        <v>0.32700000000000001</v>
      </c>
      <c r="F36" s="94">
        <v>9.6000000000000002E-2</v>
      </c>
      <c r="G36" s="29">
        <v>6566.48</v>
      </c>
      <c r="H36" s="29">
        <v>10.43</v>
      </c>
      <c r="I36" s="91">
        <v>10.43</v>
      </c>
      <c r="J36" s="26">
        <v>0.115</v>
      </c>
      <c r="K36" s="28"/>
    </row>
    <row r="37" spans="1:11" ht="30.2" customHeight="1" x14ac:dyDescent="0.2">
      <c r="A37" s="10" t="s">
        <v>576</v>
      </c>
      <c r="B37" s="334" t="s">
        <v>1117</v>
      </c>
      <c r="C37" s="313" t="s">
        <v>847</v>
      </c>
      <c r="D37" s="95">
        <v>65.378</v>
      </c>
      <c r="E37" s="96">
        <v>3.2240000000000002</v>
      </c>
      <c r="F37" s="94">
        <v>1.8819999999999999</v>
      </c>
      <c r="G37" s="30" t="s">
        <v>840</v>
      </c>
      <c r="H37" s="30" t="s">
        <v>840</v>
      </c>
      <c r="I37" s="30" t="s">
        <v>840</v>
      </c>
      <c r="J37" s="27" t="s">
        <v>840</v>
      </c>
      <c r="K37" s="28"/>
    </row>
    <row r="38" spans="1:11" ht="30.2" customHeight="1" x14ac:dyDescent="0.2">
      <c r="A38" s="10" t="s">
        <v>765</v>
      </c>
      <c r="B38" s="334" t="s">
        <v>1118</v>
      </c>
      <c r="C38" s="313">
        <v>0</v>
      </c>
      <c r="D38" s="92">
        <v>-12.885999999999999</v>
      </c>
      <c r="E38" s="93">
        <v>-1.0629999999999999</v>
      </c>
      <c r="F38" s="94">
        <v>-0.20399999999999999</v>
      </c>
      <c r="G38" s="29" t="s">
        <v>840</v>
      </c>
      <c r="H38" s="30" t="s">
        <v>840</v>
      </c>
      <c r="I38" s="30" t="s">
        <v>840</v>
      </c>
      <c r="J38" s="27" t="s">
        <v>840</v>
      </c>
      <c r="K38" s="28"/>
    </row>
    <row r="39" spans="1:11" ht="30.2" customHeight="1" x14ac:dyDescent="0.2">
      <c r="A39" s="10" t="s">
        <v>766</v>
      </c>
      <c r="B39" s="334" t="s">
        <v>1119</v>
      </c>
      <c r="C39" s="313">
        <v>0</v>
      </c>
      <c r="D39" s="92">
        <v>-11.227</v>
      </c>
      <c r="E39" s="93">
        <v>-0.88800000000000001</v>
      </c>
      <c r="F39" s="94">
        <v>-0.17899999999999999</v>
      </c>
      <c r="G39" s="29" t="s">
        <v>840</v>
      </c>
      <c r="H39" s="30" t="s">
        <v>840</v>
      </c>
      <c r="I39" s="30" t="s">
        <v>840</v>
      </c>
      <c r="J39" s="27" t="s">
        <v>840</v>
      </c>
      <c r="K39" s="28"/>
    </row>
    <row r="40" spans="1:11" ht="30.2" customHeight="1" x14ac:dyDescent="0.2">
      <c r="A40" s="10" t="s">
        <v>767</v>
      </c>
      <c r="B40" s="334" t="s">
        <v>1120</v>
      </c>
      <c r="C40" s="313">
        <v>0</v>
      </c>
      <c r="D40" s="92">
        <v>-12.885999999999999</v>
      </c>
      <c r="E40" s="93">
        <v>-1.0629999999999999</v>
      </c>
      <c r="F40" s="94">
        <v>-0.20399999999999999</v>
      </c>
      <c r="G40" s="29" t="s">
        <v>840</v>
      </c>
      <c r="H40" s="30" t="s">
        <v>840</v>
      </c>
      <c r="I40" s="30" t="s">
        <v>840</v>
      </c>
      <c r="J40" s="26">
        <v>0.35499999999999998</v>
      </c>
      <c r="K40" s="28"/>
    </row>
    <row r="41" spans="1:11" ht="30.2" customHeight="1" x14ac:dyDescent="0.2">
      <c r="A41" s="10" t="s">
        <v>768</v>
      </c>
      <c r="B41" s="334" t="s">
        <v>840</v>
      </c>
      <c r="C41" s="313">
        <v>0</v>
      </c>
      <c r="D41" s="92">
        <v>-12.885999999999999</v>
      </c>
      <c r="E41" s="93">
        <v>-1.0629999999999999</v>
      </c>
      <c r="F41" s="94">
        <v>-0.20399999999999999</v>
      </c>
      <c r="G41" s="29" t="s">
        <v>840</v>
      </c>
      <c r="H41" s="30" t="s">
        <v>840</v>
      </c>
      <c r="I41" s="30" t="s">
        <v>840</v>
      </c>
      <c r="J41" s="27" t="s">
        <v>840</v>
      </c>
      <c r="K41" s="28"/>
    </row>
    <row r="42" spans="1:11" ht="30.2" customHeight="1" x14ac:dyDescent="0.2">
      <c r="A42" s="10" t="s">
        <v>769</v>
      </c>
      <c r="B42" s="334" t="s">
        <v>840</v>
      </c>
      <c r="C42" s="313">
        <v>0</v>
      </c>
      <c r="D42" s="92">
        <v>-11.227</v>
      </c>
      <c r="E42" s="93">
        <v>-0.88800000000000001</v>
      </c>
      <c r="F42" s="94">
        <v>-0.17899999999999999</v>
      </c>
      <c r="G42" s="29" t="s">
        <v>840</v>
      </c>
      <c r="H42" s="30" t="s">
        <v>840</v>
      </c>
      <c r="I42" s="30" t="s">
        <v>840</v>
      </c>
      <c r="J42" s="26">
        <v>0.26600000000000001</v>
      </c>
      <c r="K42" s="28"/>
    </row>
    <row r="43" spans="1:11" ht="30.2" customHeight="1" x14ac:dyDescent="0.2">
      <c r="A43" s="10" t="s">
        <v>770</v>
      </c>
      <c r="B43" s="334" t="s">
        <v>840</v>
      </c>
      <c r="C43" s="313">
        <v>0</v>
      </c>
      <c r="D43" s="92">
        <v>-11.227</v>
      </c>
      <c r="E43" s="93">
        <v>-0.88800000000000001</v>
      </c>
      <c r="F43" s="94">
        <v>-0.17899999999999999</v>
      </c>
      <c r="G43" s="29" t="s">
        <v>840</v>
      </c>
      <c r="H43" s="30" t="s">
        <v>840</v>
      </c>
      <c r="I43" s="30" t="s">
        <v>840</v>
      </c>
      <c r="J43" s="27" t="s">
        <v>840</v>
      </c>
      <c r="K43" s="28"/>
    </row>
    <row r="44" spans="1:11" ht="30.2" customHeight="1" x14ac:dyDescent="0.2">
      <c r="A44" s="10" t="s">
        <v>771</v>
      </c>
      <c r="B44" s="334" t="s">
        <v>1121</v>
      </c>
      <c r="C44" s="313">
        <v>0</v>
      </c>
      <c r="D44" s="92">
        <v>-6.8109999999999999</v>
      </c>
      <c r="E44" s="93">
        <v>-0.41899999999999998</v>
      </c>
      <c r="F44" s="94">
        <v>-0.112</v>
      </c>
      <c r="G44" s="29">
        <v>80.63</v>
      </c>
      <c r="H44" s="30" t="s">
        <v>840</v>
      </c>
      <c r="I44" s="30" t="s">
        <v>840</v>
      </c>
      <c r="J44" s="26">
        <v>0.22700000000000001</v>
      </c>
      <c r="K44" s="28"/>
    </row>
    <row r="45" spans="1:11" ht="30.2" customHeight="1" x14ac:dyDescent="0.2">
      <c r="A45" s="10" t="s">
        <v>772</v>
      </c>
      <c r="B45" s="334" t="s">
        <v>840</v>
      </c>
      <c r="C45" s="313">
        <v>0</v>
      </c>
      <c r="D45" s="92">
        <v>-6.8109999999999999</v>
      </c>
      <c r="E45" s="93">
        <v>-0.41899999999999998</v>
      </c>
      <c r="F45" s="94">
        <v>-0.112</v>
      </c>
      <c r="G45" s="29">
        <v>80.63</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charges_K'; based on connection level, credits may therefore be lower than stated above.</v>
      </c>
    </row>
    <row r="47" spans="1:11" ht="27.75" customHeight="1" x14ac:dyDescent="0.2">
      <c r="A47" s="332" t="s">
        <v>525</v>
      </c>
    </row>
  </sheetData>
  <mergeCells count="19">
    <mergeCell ref="C5:D5"/>
    <mergeCell ref="G5:H5"/>
    <mergeCell ref="E1:K1"/>
    <mergeCell ref="A2:K2"/>
    <mergeCell ref="A4:E4"/>
    <mergeCell ref="G4:K4"/>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75A7B428-A309-4E22-A73C-1A62DDAD1758}"/>
    <hyperlink ref="A47" location="'Annex 4 LDNO charges_K'!A1" display="Annex 4 LDNO charges_K" xr:uid="{2E33EB92-071A-40FA-A109-79C41AA9F59B}"/>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9" width="15.5703125" style="1" customWidth="1"/>
    <col min="20" max="16384" width="9.140625" style="1"/>
  </cols>
  <sheetData>
    <row r="1" spans="1:15" ht="27.75" customHeight="1" x14ac:dyDescent="0.2">
      <c r="A1" s="32" t="s">
        <v>19</v>
      </c>
      <c r="B1" s="46"/>
      <c r="C1" s="46"/>
      <c r="D1" s="46"/>
      <c r="E1" s="370" t="s">
        <v>466</v>
      </c>
      <c r="F1" s="370"/>
      <c r="G1" s="370"/>
      <c r="H1" s="370"/>
      <c r="I1" s="370"/>
      <c r="J1" s="370"/>
      <c r="K1" s="370"/>
      <c r="L1" s="243"/>
      <c r="M1" s="342"/>
      <c r="N1" s="243"/>
      <c r="O1" s="243"/>
    </row>
    <row r="2" spans="1:15" ht="27" customHeight="1" x14ac:dyDescent="0.2">
      <c r="A2" s="371" t="str">
        <f>Overview!B4&amp;" - Effective from "&amp;TEXT(Overview!$D$4,"d mmmm yyyy")&amp;" - Final LV and HV charges in WPD South West Area (GSP Group _L)"</f>
        <v>Leep Electricity Networks Limited - Effective from 1 April 2026 - Final LV and HV charges in WPD South West Area (GSP Group _L)</v>
      </c>
      <c r="B2" s="371"/>
      <c r="C2" s="371"/>
      <c r="D2" s="371"/>
      <c r="E2" s="371"/>
      <c r="F2" s="371"/>
      <c r="G2" s="371"/>
      <c r="H2" s="371"/>
      <c r="I2" s="371"/>
      <c r="J2" s="371"/>
      <c r="K2" s="371"/>
    </row>
    <row r="3" spans="1:15" s="41" customFormat="1" ht="15" customHeight="1" x14ac:dyDescent="0.2">
      <c r="A3" s="46"/>
      <c r="B3" s="46"/>
      <c r="C3" s="46"/>
      <c r="D3" s="46"/>
      <c r="E3" s="46"/>
      <c r="F3" s="46"/>
      <c r="G3" s="46"/>
      <c r="H3" s="46"/>
      <c r="I3" s="46"/>
      <c r="J3" s="46"/>
      <c r="K3" s="46"/>
      <c r="L3" s="100"/>
      <c r="M3" s="344"/>
    </row>
    <row r="4" spans="1:15" ht="18" customHeight="1" x14ac:dyDescent="0.2">
      <c r="A4" s="382" t="s">
        <v>308</v>
      </c>
      <c r="B4" s="383"/>
      <c r="C4" s="383"/>
      <c r="D4" s="383"/>
      <c r="E4" s="384"/>
      <c r="F4" s="46"/>
      <c r="G4" s="382" t="s">
        <v>307</v>
      </c>
      <c r="H4" s="383"/>
      <c r="I4" s="383"/>
      <c r="J4" s="383"/>
      <c r="K4" s="384"/>
    </row>
    <row r="5" spans="1:15" ht="39" customHeight="1" x14ac:dyDescent="0.2">
      <c r="A5" s="102" t="s">
        <v>13</v>
      </c>
      <c r="B5" s="103" t="s">
        <v>299</v>
      </c>
      <c r="C5" s="425" t="s">
        <v>300</v>
      </c>
      <c r="D5" s="426"/>
      <c r="E5" s="104" t="s">
        <v>301</v>
      </c>
      <c r="F5" s="46"/>
      <c r="G5" s="427"/>
      <c r="H5" s="428"/>
      <c r="I5" s="105" t="s">
        <v>305</v>
      </c>
      <c r="J5" s="106" t="s">
        <v>306</v>
      </c>
      <c r="K5" s="104" t="s">
        <v>301</v>
      </c>
      <c r="L5" s="46"/>
      <c r="N5" s="3"/>
    </row>
    <row r="6" spans="1:15" ht="43.5" customHeight="1" x14ac:dyDescent="0.2">
      <c r="A6" s="269" t="s">
        <v>13</v>
      </c>
      <c r="B6" s="13" t="s">
        <v>299</v>
      </c>
      <c r="C6" s="378" t="s">
        <v>300</v>
      </c>
      <c r="D6" s="378"/>
      <c r="E6" s="97" t="s">
        <v>301</v>
      </c>
      <c r="F6" s="46" t="s">
        <v>840</v>
      </c>
      <c r="G6" s="407" t="s">
        <v>840</v>
      </c>
      <c r="H6" s="407"/>
      <c r="I6" s="13" t="s">
        <v>305</v>
      </c>
      <c r="J6" s="250" t="s">
        <v>306</v>
      </c>
      <c r="K6" s="250" t="s">
        <v>301</v>
      </c>
      <c r="L6" s="46"/>
      <c r="N6" s="3"/>
    </row>
    <row r="7" spans="1:15" ht="43.5" customHeight="1" x14ac:dyDescent="0.2">
      <c r="A7" s="269" t="s">
        <v>837</v>
      </c>
      <c r="B7" s="252" t="s">
        <v>2138</v>
      </c>
      <c r="C7" s="378" t="s">
        <v>2139</v>
      </c>
      <c r="D7" s="378"/>
      <c r="E7" s="250" t="s">
        <v>2140</v>
      </c>
      <c r="F7" s="46" t="s">
        <v>840</v>
      </c>
      <c r="G7" s="407" t="s">
        <v>2128</v>
      </c>
      <c r="H7" s="407"/>
      <c r="I7" s="252" t="s">
        <v>2138</v>
      </c>
      <c r="J7" s="250" t="s">
        <v>2139</v>
      </c>
      <c r="K7" s="250" t="s">
        <v>2140</v>
      </c>
      <c r="L7" s="46"/>
      <c r="N7" s="3"/>
    </row>
    <row r="8" spans="1:15" ht="39.75" customHeight="1" x14ac:dyDescent="0.2">
      <c r="A8" s="262" t="s">
        <v>841</v>
      </c>
      <c r="B8" s="419" t="s">
        <v>840</v>
      </c>
      <c r="C8" s="419"/>
      <c r="D8" s="419"/>
      <c r="E8" s="419"/>
      <c r="F8" s="46" t="s">
        <v>840</v>
      </c>
      <c r="G8" s="407" t="s">
        <v>2141</v>
      </c>
      <c r="H8" s="407"/>
      <c r="I8" s="252" t="s">
        <v>840</v>
      </c>
      <c r="J8" s="250" t="s">
        <v>2142</v>
      </c>
      <c r="K8" s="250" t="s">
        <v>2140</v>
      </c>
      <c r="L8" s="46"/>
      <c r="N8" s="3"/>
    </row>
    <row r="9" spans="1:15" s="41" customFormat="1" ht="34.5" customHeight="1" x14ac:dyDescent="0.2">
      <c r="A9" s="263" t="s">
        <v>14</v>
      </c>
      <c r="B9" s="263" t="s">
        <v>15</v>
      </c>
      <c r="C9" s="421" t="s">
        <v>840</v>
      </c>
      <c r="D9" s="421"/>
      <c r="E9" s="263" t="s">
        <v>840</v>
      </c>
      <c r="F9" s="46" t="s">
        <v>840</v>
      </c>
      <c r="G9" s="420" t="s">
        <v>2074</v>
      </c>
      <c r="H9" s="420"/>
      <c r="I9" s="422" t="s">
        <v>840</v>
      </c>
      <c r="J9" s="423"/>
      <c r="K9" s="424"/>
      <c r="L9" s="46"/>
      <c r="M9" s="344"/>
      <c r="N9" s="31"/>
    </row>
    <row r="10" spans="1:15" s="41" customFormat="1" ht="13.5" customHeight="1" x14ac:dyDescent="0.2">
      <c r="A10" s="120"/>
      <c r="B10" s="409"/>
      <c r="C10" s="409"/>
      <c r="D10" s="409"/>
      <c r="E10" s="409"/>
      <c r="F10" s="46"/>
      <c r="G10" s="410"/>
      <c r="H10" s="410"/>
      <c r="I10" s="257"/>
      <c r="J10" s="257"/>
      <c r="K10" s="257"/>
      <c r="L10" s="46"/>
      <c r="M10" s="344"/>
      <c r="N10" s="31"/>
    </row>
    <row r="11" spans="1:15" s="41" customFormat="1" ht="13.5" customHeight="1" x14ac:dyDescent="0.2">
      <c r="A11" s="46"/>
      <c r="B11" s="46"/>
      <c r="C11" s="46"/>
      <c r="D11" s="46"/>
      <c r="E11" s="46"/>
      <c r="F11" s="46"/>
      <c r="G11" s="405"/>
      <c r="H11" s="405"/>
      <c r="I11" s="406"/>
      <c r="J11" s="406"/>
      <c r="K11" s="406"/>
      <c r="L11" s="46"/>
      <c r="M11" s="344"/>
    </row>
    <row r="12" spans="1:15" s="41" customFormat="1" ht="13.5" customHeight="1" x14ac:dyDescent="0.2">
      <c r="A12" s="46"/>
      <c r="B12" s="46"/>
      <c r="C12" s="46"/>
      <c r="D12" s="46"/>
      <c r="E12" s="46"/>
      <c r="F12" s="46"/>
      <c r="G12" s="46"/>
      <c r="H12" s="46"/>
      <c r="I12" s="46"/>
      <c r="J12" s="46"/>
      <c r="K12" s="46"/>
      <c r="L12" s="100"/>
      <c r="M12" s="344"/>
    </row>
    <row r="13" spans="1:15"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5" ht="30.2" customHeight="1" x14ac:dyDescent="0.2">
      <c r="A14" s="10" t="s">
        <v>773</v>
      </c>
      <c r="B14" s="334" t="s">
        <v>1122</v>
      </c>
      <c r="C14" s="313" t="s">
        <v>845</v>
      </c>
      <c r="D14" s="92">
        <v>22.754000000000001</v>
      </c>
      <c r="E14" s="93">
        <v>1.8140000000000001</v>
      </c>
      <c r="F14" s="94">
        <v>0.19800000000000001</v>
      </c>
      <c r="G14" s="29">
        <v>12.57</v>
      </c>
      <c r="H14" s="30" t="s">
        <v>840</v>
      </c>
      <c r="I14" s="30" t="s">
        <v>840</v>
      </c>
      <c r="J14" s="27" t="s">
        <v>840</v>
      </c>
      <c r="K14" s="28"/>
    </row>
    <row r="15" spans="1:15" ht="30.2" customHeight="1" x14ac:dyDescent="0.2">
      <c r="A15" s="10" t="s">
        <v>594</v>
      </c>
      <c r="B15" s="334" t="s">
        <v>840</v>
      </c>
      <c r="C15" s="313" t="s">
        <v>2075</v>
      </c>
      <c r="D15" s="92">
        <v>22.754000000000001</v>
      </c>
      <c r="E15" s="93">
        <v>1.8140000000000001</v>
      </c>
      <c r="F15" s="94">
        <v>0.19800000000000001</v>
      </c>
      <c r="G15" s="30" t="s">
        <v>840</v>
      </c>
      <c r="H15" s="30" t="s">
        <v>840</v>
      </c>
      <c r="I15" s="30" t="s">
        <v>840</v>
      </c>
      <c r="J15" s="27" t="s">
        <v>840</v>
      </c>
      <c r="K15" s="28"/>
    </row>
    <row r="16" spans="1:15" ht="30.2" customHeight="1" x14ac:dyDescent="0.2">
      <c r="A16" s="10" t="s">
        <v>774</v>
      </c>
      <c r="B16" s="334" t="s">
        <v>1123</v>
      </c>
      <c r="C16" s="313" t="s">
        <v>846</v>
      </c>
      <c r="D16" s="92">
        <v>24.204000000000001</v>
      </c>
      <c r="E16" s="93">
        <v>1.93</v>
      </c>
      <c r="F16" s="94">
        <v>0.21099999999999999</v>
      </c>
      <c r="G16" s="29">
        <v>17.41</v>
      </c>
      <c r="H16" s="30" t="s">
        <v>840</v>
      </c>
      <c r="I16" s="30" t="s">
        <v>840</v>
      </c>
      <c r="J16" s="27" t="s">
        <v>840</v>
      </c>
      <c r="K16" s="28"/>
    </row>
    <row r="17" spans="1:11" ht="30.2" customHeight="1" x14ac:dyDescent="0.2">
      <c r="A17" s="10" t="s">
        <v>775</v>
      </c>
      <c r="B17" s="334" t="s">
        <v>1124</v>
      </c>
      <c r="C17" s="313" t="s">
        <v>846</v>
      </c>
      <c r="D17" s="92">
        <v>24.204000000000001</v>
      </c>
      <c r="E17" s="93">
        <v>1.93</v>
      </c>
      <c r="F17" s="94">
        <v>0.21099999999999999</v>
      </c>
      <c r="G17" s="29">
        <v>18.02</v>
      </c>
      <c r="H17" s="30" t="s">
        <v>840</v>
      </c>
      <c r="I17" s="30" t="s">
        <v>840</v>
      </c>
      <c r="J17" s="27" t="s">
        <v>840</v>
      </c>
      <c r="K17" s="28"/>
    </row>
    <row r="18" spans="1:11" ht="30.2" customHeight="1" x14ac:dyDescent="0.2">
      <c r="A18" s="10" t="s">
        <v>776</v>
      </c>
      <c r="B18" s="334" t="s">
        <v>1125</v>
      </c>
      <c r="C18" s="313" t="s">
        <v>846</v>
      </c>
      <c r="D18" s="92">
        <v>24.204000000000001</v>
      </c>
      <c r="E18" s="93">
        <v>1.93</v>
      </c>
      <c r="F18" s="94">
        <v>0.21099999999999999</v>
      </c>
      <c r="G18" s="29">
        <v>19.920000000000002</v>
      </c>
      <c r="H18" s="30" t="s">
        <v>840</v>
      </c>
      <c r="I18" s="30" t="s">
        <v>840</v>
      </c>
      <c r="J18" s="27" t="s">
        <v>840</v>
      </c>
      <c r="K18" s="28"/>
    </row>
    <row r="19" spans="1:11" ht="30.2" customHeight="1" x14ac:dyDescent="0.2">
      <c r="A19" s="10" t="s">
        <v>777</v>
      </c>
      <c r="B19" s="334" t="s">
        <v>1126</v>
      </c>
      <c r="C19" s="313" t="s">
        <v>846</v>
      </c>
      <c r="D19" s="92">
        <v>24.204000000000001</v>
      </c>
      <c r="E19" s="93">
        <v>1.93</v>
      </c>
      <c r="F19" s="94">
        <v>0.21099999999999999</v>
      </c>
      <c r="G19" s="29">
        <v>22.46</v>
      </c>
      <c r="H19" s="30" t="s">
        <v>840</v>
      </c>
      <c r="I19" s="30" t="s">
        <v>840</v>
      </c>
      <c r="J19" s="27" t="s">
        <v>840</v>
      </c>
      <c r="K19" s="28"/>
    </row>
    <row r="20" spans="1:11" ht="30.2" customHeight="1" x14ac:dyDescent="0.2">
      <c r="A20" s="10" t="s">
        <v>778</v>
      </c>
      <c r="B20" s="334" t="s">
        <v>1127</v>
      </c>
      <c r="C20" s="313" t="s">
        <v>846</v>
      </c>
      <c r="D20" s="92">
        <v>24.204000000000001</v>
      </c>
      <c r="E20" s="93">
        <v>1.93</v>
      </c>
      <c r="F20" s="94">
        <v>0.21099999999999999</v>
      </c>
      <c r="G20" s="29">
        <v>29.69</v>
      </c>
      <c r="H20" s="30" t="s">
        <v>840</v>
      </c>
      <c r="I20" s="30" t="s">
        <v>840</v>
      </c>
      <c r="J20" s="27" t="s">
        <v>840</v>
      </c>
      <c r="K20" s="28"/>
    </row>
    <row r="21" spans="1:11" ht="30.2" customHeight="1" x14ac:dyDescent="0.2">
      <c r="A21" s="10" t="s">
        <v>575</v>
      </c>
      <c r="B21" s="334" t="s">
        <v>840</v>
      </c>
      <c r="C21" s="313" t="s">
        <v>2076</v>
      </c>
      <c r="D21" s="92">
        <v>24.204000000000001</v>
      </c>
      <c r="E21" s="93">
        <v>1.93</v>
      </c>
      <c r="F21" s="94">
        <v>0.21099999999999999</v>
      </c>
      <c r="G21" s="30" t="s">
        <v>840</v>
      </c>
      <c r="H21" s="30" t="s">
        <v>840</v>
      </c>
      <c r="I21" s="30" t="s">
        <v>840</v>
      </c>
      <c r="J21" s="27" t="s">
        <v>840</v>
      </c>
      <c r="K21" s="28"/>
    </row>
    <row r="22" spans="1:11" ht="30.2" customHeight="1" x14ac:dyDescent="0.2">
      <c r="A22" s="10" t="s">
        <v>595</v>
      </c>
      <c r="B22" s="334" t="s">
        <v>1128</v>
      </c>
      <c r="C22" s="313">
        <v>0</v>
      </c>
      <c r="D22" s="92">
        <v>14.833</v>
      </c>
      <c r="E22" s="93">
        <v>1.0649999999999999</v>
      </c>
      <c r="F22" s="94">
        <v>0.114</v>
      </c>
      <c r="G22" s="29">
        <v>17.309999999999999</v>
      </c>
      <c r="H22" s="29">
        <v>12.18</v>
      </c>
      <c r="I22" s="91">
        <v>12.18</v>
      </c>
      <c r="J22" s="26">
        <v>0.216</v>
      </c>
      <c r="K22" s="28"/>
    </row>
    <row r="23" spans="1:11" ht="30.2" customHeight="1" x14ac:dyDescent="0.2">
      <c r="A23" s="10" t="s">
        <v>596</v>
      </c>
      <c r="B23" s="334" t="s">
        <v>1129</v>
      </c>
      <c r="C23" s="313">
        <v>0</v>
      </c>
      <c r="D23" s="92">
        <v>14.833</v>
      </c>
      <c r="E23" s="93">
        <v>1.0649999999999999</v>
      </c>
      <c r="F23" s="94">
        <v>0.114</v>
      </c>
      <c r="G23" s="29">
        <v>41.51</v>
      </c>
      <c r="H23" s="29">
        <v>12.18</v>
      </c>
      <c r="I23" s="91">
        <v>12.18</v>
      </c>
      <c r="J23" s="26">
        <v>0.216</v>
      </c>
      <c r="K23" s="28"/>
    </row>
    <row r="24" spans="1:11" ht="30.2" customHeight="1" x14ac:dyDescent="0.2">
      <c r="A24" s="10" t="s">
        <v>597</v>
      </c>
      <c r="B24" s="334" t="s">
        <v>1130</v>
      </c>
      <c r="C24" s="313">
        <v>0</v>
      </c>
      <c r="D24" s="92">
        <v>14.833</v>
      </c>
      <c r="E24" s="93">
        <v>1.0649999999999999</v>
      </c>
      <c r="F24" s="94">
        <v>0.114</v>
      </c>
      <c r="G24" s="29">
        <v>60.79</v>
      </c>
      <c r="H24" s="29">
        <v>12.18</v>
      </c>
      <c r="I24" s="91">
        <v>12.18</v>
      </c>
      <c r="J24" s="26">
        <v>0.216</v>
      </c>
      <c r="K24" s="28"/>
    </row>
    <row r="25" spans="1:11" ht="30.2" customHeight="1" x14ac:dyDescent="0.2">
      <c r="A25" s="10" t="s">
        <v>598</v>
      </c>
      <c r="B25" s="334" t="s">
        <v>1131</v>
      </c>
      <c r="C25" s="313">
        <v>0</v>
      </c>
      <c r="D25" s="92">
        <v>14.833</v>
      </c>
      <c r="E25" s="93">
        <v>1.0649999999999999</v>
      </c>
      <c r="F25" s="94">
        <v>0.114</v>
      </c>
      <c r="G25" s="29">
        <v>86.84</v>
      </c>
      <c r="H25" s="29">
        <v>12.18</v>
      </c>
      <c r="I25" s="91">
        <v>12.18</v>
      </c>
      <c r="J25" s="26">
        <v>0.216</v>
      </c>
      <c r="K25" s="28"/>
    </row>
    <row r="26" spans="1:11" ht="30.2" customHeight="1" x14ac:dyDescent="0.2">
      <c r="A26" s="10" t="s">
        <v>599</v>
      </c>
      <c r="B26" s="334" t="s">
        <v>1132</v>
      </c>
      <c r="C26" s="313">
        <v>0</v>
      </c>
      <c r="D26" s="92">
        <v>14.833</v>
      </c>
      <c r="E26" s="93">
        <v>1.0649999999999999</v>
      </c>
      <c r="F26" s="94">
        <v>0.114</v>
      </c>
      <c r="G26" s="29">
        <v>171.29</v>
      </c>
      <c r="H26" s="29">
        <v>12.18</v>
      </c>
      <c r="I26" s="91">
        <v>12.18</v>
      </c>
      <c r="J26" s="26">
        <v>0.216</v>
      </c>
      <c r="K26" s="28"/>
    </row>
    <row r="27" spans="1:11" ht="30.2" customHeight="1" x14ac:dyDescent="0.2">
      <c r="A27" s="10" t="s">
        <v>600</v>
      </c>
      <c r="B27" s="334" t="s">
        <v>1133</v>
      </c>
      <c r="C27" s="313">
        <v>0</v>
      </c>
      <c r="D27" s="92">
        <v>9.3740000000000006</v>
      </c>
      <c r="E27" s="93">
        <v>0.496</v>
      </c>
      <c r="F27" s="94">
        <v>4.9000000000000002E-2</v>
      </c>
      <c r="G27" s="29">
        <v>13.51</v>
      </c>
      <c r="H27" s="29">
        <v>10.47</v>
      </c>
      <c r="I27" s="91">
        <v>10.47</v>
      </c>
      <c r="J27" s="26">
        <v>0.11799999999999999</v>
      </c>
      <c r="K27" s="28"/>
    </row>
    <row r="28" spans="1:11" ht="30.2" customHeight="1" x14ac:dyDescent="0.2">
      <c r="A28" s="10" t="s">
        <v>601</v>
      </c>
      <c r="B28" s="334" t="s">
        <v>1134</v>
      </c>
      <c r="C28" s="313">
        <v>0</v>
      </c>
      <c r="D28" s="92">
        <v>9.3740000000000006</v>
      </c>
      <c r="E28" s="93">
        <v>0.496</v>
      </c>
      <c r="F28" s="94">
        <v>4.9000000000000002E-2</v>
      </c>
      <c r="G28" s="29">
        <v>37.71</v>
      </c>
      <c r="H28" s="29">
        <v>10.47</v>
      </c>
      <c r="I28" s="91">
        <v>10.47</v>
      </c>
      <c r="J28" s="26">
        <v>0.11799999999999999</v>
      </c>
      <c r="K28" s="28"/>
    </row>
    <row r="29" spans="1:11" ht="30.2" customHeight="1" x14ac:dyDescent="0.2">
      <c r="A29" s="10" t="s">
        <v>602</v>
      </c>
      <c r="B29" s="334" t="s">
        <v>1135</v>
      </c>
      <c r="C29" s="313">
        <v>0</v>
      </c>
      <c r="D29" s="92">
        <v>9.3740000000000006</v>
      </c>
      <c r="E29" s="93">
        <v>0.496</v>
      </c>
      <c r="F29" s="94">
        <v>4.9000000000000002E-2</v>
      </c>
      <c r="G29" s="29">
        <v>56.99</v>
      </c>
      <c r="H29" s="29">
        <v>10.47</v>
      </c>
      <c r="I29" s="91">
        <v>10.47</v>
      </c>
      <c r="J29" s="26">
        <v>0.11799999999999999</v>
      </c>
      <c r="K29" s="28"/>
    </row>
    <row r="30" spans="1:11" ht="30.2" customHeight="1" x14ac:dyDescent="0.2">
      <c r="A30" s="10" t="s">
        <v>603</v>
      </c>
      <c r="B30" s="334" t="s">
        <v>1136</v>
      </c>
      <c r="C30" s="313">
        <v>0</v>
      </c>
      <c r="D30" s="92">
        <v>9.3740000000000006</v>
      </c>
      <c r="E30" s="93">
        <v>0.496</v>
      </c>
      <c r="F30" s="94">
        <v>4.9000000000000002E-2</v>
      </c>
      <c r="G30" s="29">
        <v>83.04</v>
      </c>
      <c r="H30" s="29">
        <v>10.47</v>
      </c>
      <c r="I30" s="91">
        <v>10.47</v>
      </c>
      <c r="J30" s="26">
        <v>0.11799999999999999</v>
      </c>
      <c r="K30" s="28"/>
    </row>
    <row r="31" spans="1:11" ht="30.2" customHeight="1" x14ac:dyDescent="0.2">
      <c r="A31" s="10" t="s">
        <v>604</v>
      </c>
      <c r="B31" s="334" t="s">
        <v>1137</v>
      </c>
      <c r="C31" s="313">
        <v>0</v>
      </c>
      <c r="D31" s="92">
        <v>9.3740000000000006</v>
      </c>
      <c r="E31" s="93">
        <v>0.496</v>
      </c>
      <c r="F31" s="94">
        <v>4.9000000000000002E-2</v>
      </c>
      <c r="G31" s="29">
        <v>167.5</v>
      </c>
      <c r="H31" s="29">
        <v>10.47</v>
      </c>
      <c r="I31" s="91">
        <v>10.47</v>
      </c>
      <c r="J31" s="26">
        <v>0.11799999999999999</v>
      </c>
      <c r="K31" s="28"/>
    </row>
    <row r="32" spans="1:11" ht="30.2" customHeight="1" x14ac:dyDescent="0.2">
      <c r="A32" s="10" t="s">
        <v>605</v>
      </c>
      <c r="B32" s="334" t="s">
        <v>1138</v>
      </c>
      <c r="C32" s="313">
        <v>0</v>
      </c>
      <c r="D32" s="92">
        <v>7.242</v>
      </c>
      <c r="E32" s="93">
        <v>0.30199999999999999</v>
      </c>
      <c r="F32" s="94">
        <v>2.8000000000000001E-2</v>
      </c>
      <c r="G32" s="29">
        <v>124.75</v>
      </c>
      <c r="H32" s="29">
        <v>10.06</v>
      </c>
      <c r="I32" s="91">
        <v>10.06</v>
      </c>
      <c r="J32" s="26">
        <v>8.2000000000000003E-2</v>
      </c>
      <c r="K32" s="28"/>
    </row>
    <row r="33" spans="1:11" ht="30.2" customHeight="1" x14ac:dyDescent="0.2">
      <c r="A33" s="10" t="s">
        <v>606</v>
      </c>
      <c r="B33" s="334" t="s">
        <v>1139</v>
      </c>
      <c r="C33" s="313">
        <v>0</v>
      </c>
      <c r="D33" s="92">
        <v>7.242</v>
      </c>
      <c r="E33" s="93">
        <v>0.30199999999999999</v>
      </c>
      <c r="F33" s="94">
        <v>2.8000000000000001E-2</v>
      </c>
      <c r="G33" s="29">
        <v>298.61</v>
      </c>
      <c r="H33" s="29">
        <v>10.06</v>
      </c>
      <c r="I33" s="91">
        <v>10.06</v>
      </c>
      <c r="J33" s="26">
        <v>8.2000000000000003E-2</v>
      </c>
      <c r="K33" s="28"/>
    </row>
    <row r="34" spans="1:11" ht="30.2" customHeight="1" x14ac:dyDescent="0.2">
      <c r="A34" s="10" t="s">
        <v>607</v>
      </c>
      <c r="B34" s="334" t="s">
        <v>1140</v>
      </c>
      <c r="C34" s="313">
        <v>0</v>
      </c>
      <c r="D34" s="92">
        <v>7.242</v>
      </c>
      <c r="E34" s="93">
        <v>0.30199999999999999</v>
      </c>
      <c r="F34" s="94">
        <v>2.8000000000000001E-2</v>
      </c>
      <c r="G34" s="29">
        <v>525.1</v>
      </c>
      <c r="H34" s="29">
        <v>10.06</v>
      </c>
      <c r="I34" s="91">
        <v>10.06</v>
      </c>
      <c r="J34" s="26">
        <v>8.2000000000000003E-2</v>
      </c>
      <c r="K34" s="28"/>
    </row>
    <row r="35" spans="1:11" ht="30.2" customHeight="1" x14ac:dyDescent="0.2">
      <c r="A35" s="10" t="s">
        <v>608</v>
      </c>
      <c r="B35" s="334" t="s">
        <v>1141</v>
      </c>
      <c r="C35" s="313">
        <v>0</v>
      </c>
      <c r="D35" s="92">
        <v>7.242</v>
      </c>
      <c r="E35" s="93">
        <v>0.30199999999999999</v>
      </c>
      <c r="F35" s="94">
        <v>2.8000000000000001E-2</v>
      </c>
      <c r="G35" s="29">
        <v>1016.12</v>
      </c>
      <c r="H35" s="29">
        <v>10.06</v>
      </c>
      <c r="I35" s="91">
        <v>10.06</v>
      </c>
      <c r="J35" s="26">
        <v>8.2000000000000003E-2</v>
      </c>
      <c r="K35" s="28"/>
    </row>
    <row r="36" spans="1:11" ht="30.2" customHeight="1" x14ac:dyDescent="0.2">
      <c r="A36" s="10" t="s">
        <v>609</v>
      </c>
      <c r="B36" s="334" t="s">
        <v>1142</v>
      </c>
      <c r="C36" s="313">
        <v>0</v>
      </c>
      <c r="D36" s="92">
        <v>7.242</v>
      </c>
      <c r="E36" s="93">
        <v>0.30199999999999999</v>
      </c>
      <c r="F36" s="94">
        <v>2.8000000000000001E-2</v>
      </c>
      <c r="G36" s="29">
        <v>1908.16</v>
      </c>
      <c r="H36" s="29">
        <v>10.06</v>
      </c>
      <c r="I36" s="91">
        <v>10.06</v>
      </c>
      <c r="J36" s="26">
        <v>8.2000000000000003E-2</v>
      </c>
      <c r="K36" s="28"/>
    </row>
    <row r="37" spans="1:11" ht="30.2" customHeight="1" x14ac:dyDescent="0.2">
      <c r="A37" s="10" t="s">
        <v>576</v>
      </c>
      <c r="B37" s="334" t="s">
        <v>1143</v>
      </c>
      <c r="C37" s="313" t="s">
        <v>847</v>
      </c>
      <c r="D37" s="95">
        <v>68.251000000000005</v>
      </c>
      <c r="E37" s="96">
        <v>3.5379999999999998</v>
      </c>
      <c r="F37" s="94">
        <v>1.5349999999999999</v>
      </c>
      <c r="G37" s="30" t="s">
        <v>840</v>
      </c>
      <c r="H37" s="30" t="s">
        <v>840</v>
      </c>
      <c r="I37" s="30" t="s">
        <v>840</v>
      </c>
      <c r="J37" s="27" t="s">
        <v>840</v>
      </c>
      <c r="K37" s="28"/>
    </row>
    <row r="38" spans="1:11" ht="30.2" customHeight="1" x14ac:dyDescent="0.2">
      <c r="A38" s="10" t="s">
        <v>765</v>
      </c>
      <c r="B38" s="334" t="s">
        <v>1144</v>
      </c>
      <c r="C38" s="313">
        <v>0</v>
      </c>
      <c r="D38" s="92">
        <v>-14.503</v>
      </c>
      <c r="E38" s="93">
        <v>-1.1559999999999999</v>
      </c>
      <c r="F38" s="94">
        <v>-0.126</v>
      </c>
      <c r="G38" s="29" t="s">
        <v>840</v>
      </c>
      <c r="H38" s="30" t="s">
        <v>840</v>
      </c>
      <c r="I38" s="30" t="s">
        <v>840</v>
      </c>
      <c r="J38" s="27" t="s">
        <v>840</v>
      </c>
      <c r="K38" s="28"/>
    </row>
    <row r="39" spans="1:11" ht="30.2" customHeight="1" x14ac:dyDescent="0.2">
      <c r="A39" s="10" t="s">
        <v>766</v>
      </c>
      <c r="B39" s="334" t="s">
        <v>1145</v>
      </c>
      <c r="C39" s="313">
        <v>0</v>
      </c>
      <c r="D39" s="92">
        <v>-12.444000000000001</v>
      </c>
      <c r="E39" s="93">
        <v>-0.93100000000000005</v>
      </c>
      <c r="F39" s="94">
        <v>-0.10100000000000001</v>
      </c>
      <c r="G39" s="29" t="s">
        <v>840</v>
      </c>
      <c r="H39" s="30" t="s">
        <v>840</v>
      </c>
      <c r="I39" s="30" t="s">
        <v>840</v>
      </c>
      <c r="J39" s="27" t="s">
        <v>840</v>
      </c>
      <c r="K39" s="28"/>
    </row>
    <row r="40" spans="1:11" ht="30.2" customHeight="1" x14ac:dyDescent="0.2">
      <c r="A40" s="10" t="s">
        <v>767</v>
      </c>
      <c r="B40" s="334" t="s">
        <v>1146</v>
      </c>
      <c r="C40" s="313">
        <v>0</v>
      </c>
      <c r="D40" s="92">
        <v>-14.503</v>
      </c>
      <c r="E40" s="93">
        <v>-1.1559999999999999</v>
      </c>
      <c r="F40" s="94">
        <v>-0.126</v>
      </c>
      <c r="G40" s="29" t="s">
        <v>840</v>
      </c>
      <c r="H40" s="30" t="s">
        <v>840</v>
      </c>
      <c r="I40" s="30" t="s">
        <v>840</v>
      </c>
      <c r="J40" s="26">
        <v>0.26400000000000001</v>
      </c>
      <c r="K40" s="28"/>
    </row>
    <row r="41" spans="1:11" ht="30.2" customHeight="1" x14ac:dyDescent="0.2">
      <c r="A41" s="10" t="s">
        <v>768</v>
      </c>
      <c r="B41" s="334" t="s">
        <v>840</v>
      </c>
      <c r="C41" s="313">
        <v>0</v>
      </c>
      <c r="D41" s="92">
        <v>-14.503</v>
      </c>
      <c r="E41" s="93">
        <v>-1.1559999999999999</v>
      </c>
      <c r="F41" s="94">
        <v>-0.126</v>
      </c>
      <c r="G41" s="29" t="s">
        <v>840</v>
      </c>
      <c r="H41" s="30" t="s">
        <v>840</v>
      </c>
      <c r="I41" s="30" t="s">
        <v>840</v>
      </c>
      <c r="J41" s="27" t="s">
        <v>840</v>
      </c>
      <c r="K41" s="28"/>
    </row>
    <row r="42" spans="1:11" ht="30.2" customHeight="1" x14ac:dyDescent="0.2">
      <c r="A42" s="10" t="s">
        <v>769</v>
      </c>
      <c r="B42" s="334" t="s">
        <v>840</v>
      </c>
      <c r="C42" s="313">
        <v>0</v>
      </c>
      <c r="D42" s="92">
        <v>-12.444000000000001</v>
      </c>
      <c r="E42" s="93">
        <v>-0.93100000000000005</v>
      </c>
      <c r="F42" s="94">
        <v>-0.10100000000000001</v>
      </c>
      <c r="G42" s="29" t="s">
        <v>840</v>
      </c>
      <c r="H42" s="30" t="s">
        <v>840</v>
      </c>
      <c r="I42" s="30" t="s">
        <v>840</v>
      </c>
      <c r="J42" s="26">
        <v>0.189</v>
      </c>
      <c r="K42" s="28"/>
    </row>
    <row r="43" spans="1:11" ht="30.2" customHeight="1" x14ac:dyDescent="0.2">
      <c r="A43" s="10" t="s">
        <v>770</v>
      </c>
      <c r="B43" s="334" t="s">
        <v>840</v>
      </c>
      <c r="C43" s="313">
        <v>0</v>
      </c>
      <c r="D43" s="92">
        <v>-12.444000000000001</v>
      </c>
      <c r="E43" s="93">
        <v>-0.93100000000000005</v>
      </c>
      <c r="F43" s="94">
        <v>-0.10100000000000001</v>
      </c>
      <c r="G43" s="29" t="s">
        <v>840</v>
      </c>
      <c r="H43" s="30" t="s">
        <v>840</v>
      </c>
      <c r="I43" s="30" t="s">
        <v>840</v>
      </c>
      <c r="J43" s="27" t="s">
        <v>840</v>
      </c>
      <c r="K43" s="28"/>
    </row>
    <row r="44" spans="1:11" ht="30.2" customHeight="1" x14ac:dyDescent="0.2">
      <c r="A44" s="10" t="s">
        <v>771</v>
      </c>
      <c r="B44" s="334" t="s">
        <v>1147</v>
      </c>
      <c r="C44" s="313">
        <v>0</v>
      </c>
      <c r="D44" s="92">
        <v>-7.7859999999999996</v>
      </c>
      <c r="E44" s="93">
        <v>-0.41199999999999998</v>
      </c>
      <c r="F44" s="94">
        <v>-4.1000000000000002E-2</v>
      </c>
      <c r="G44" s="29">
        <v>78.08</v>
      </c>
      <c r="H44" s="30" t="s">
        <v>840</v>
      </c>
      <c r="I44" s="30" t="s">
        <v>840</v>
      </c>
      <c r="J44" s="26">
        <v>0.159</v>
      </c>
      <c r="K44" s="28"/>
    </row>
    <row r="45" spans="1:11" ht="30.2" customHeight="1" x14ac:dyDescent="0.2">
      <c r="A45" s="10" t="s">
        <v>772</v>
      </c>
      <c r="B45" s="334" t="s">
        <v>840</v>
      </c>
      <c r="C45" s="313">
        <v>0</v>
      </c>
      <c r="D45" s="92">
        <v>-7.7859999999999996</v>
      </c>
      <c r="E45" s="93">
        <v>-0.41199999999999998</v>
      </c>
      <c r="F45" s="94">
        <v>-4.1000000000000002E-2</v>
      </c>
      <c r="G45" s="29">
        <v>78.08</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charges_L'; based on connection level, credits may therefore be lower than stated above.</v>
      </c>
    </row>
    <row r="47" spans="1:11" ht="27.75" customHeight="1" x14ac:dyDescent="0.2">
      <c r="A47" s="332" t="s">
        <v>526</v>
      </c>
    </row>
  </sheetData>
  <mergeCells count="19">
    <mergeCell ref="C5:D5"/>
    <mergeCell ref="G5:H5"/>
    <mergeCell ref="E1:K1"/>
    <mergeCell ref="A2:K2"/>
    <mergeCell ref="A4:E4"/>
    <mergeCell ref="G4:K4"/>
    <mergeCell ref="G11:H11"/>
    <mergeCell ref="I11:K11"/>
    <mergeCell ref="C6:D6"/>
    <mergeCell ref="G6:H6"/>
    <mergeCell ref="C7:D7"/>
    <mergeCell ref="G7:H7"/>
    <mergeCell ref="B8:E8"/>
    <mergeCell ref="G8:H8"/>
    <mergeCell ref="C9:D9"/>
    <mergeCell ref="G9:H9"/>
    <mergeCell ref="I9:K9"/>
    <mergeCell ref="B10:E10"/>
    <mergeCell ref="G10:H10"/>
  </mergeCells>
  <hyperlinks>
    <hyperlink ref="A1" location="Overview!A1" display="Back to Overview" xr:uid="{966A512B-CFBB-41E1-BE44-CAC3858E49C5}"/>
    <hyperlink ref="A47" location="'Annex 4 LDNO charges_L'!A1" display="Annex 4 LDNO charges_L" xr:uid="{B949EC07-B252-4662-9842-4664CAFC11B1}"/>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3" ht="27.75" customHeight="1" x14ac:dyDescent="0.2">
      <c r="A1" s="32" t="s">
        <v>19</v>
      </c>
      <c r="B1" s="46"/>
      <c r="C1" s="46"/>
      <c r="D1" s="46"/>
      <c r="E1" s="370" t="s">
        <v>466</v>
      </c>
      <c r="F1" s="370"/>
      <c r="G1" s="370"/>
      <c r="H1" s="370"/>
      <c r="I1" s="370"/>
      <c r="J1" s="370"/>
      <c r="K1" s="370"/>
      <c r="L1" s="243"/>
      <c r="M1" s="342"/>
    </row>
    <row r="2" spans="1:13" ht="27" customHeight="1" x14ac:dyDescent="0.2">
      <c r="A2" s="371" t="str">
        <f>Overview!B4&amp;" - Effective from "&amp;TEXT(Overview!$D$4,"d mmmm yyyy")&amp;" - Final LV and HV charges in NPG Yorkshire Area (GSP Group _M)"</f>
        <v>Leep Electricity Networks Limited - Effective from 1 April 2026 - Final LV and HV charges in NPG Yorkshire Area (GSP Group _M)</v>
      </c>
      <c r="B2" s="371"/>
      <c r="C2" s="371"/>
      <c r="D2" s="371"/>
      <c r="E2" s="371"/>
      <c r="F2" s="371"/>
      <c r="G2" s="371"/>
      <c r="H2" s="371"/>
      <c r="I2" s="371"/>
      <c r="J2" s="371"/>
      <c r="K2" s="371"/>
    </row>
    <row r="3" spans="1:13" s="41" customFormat="1" ht="15" customHeight="1" x14ac:dyDescent="0.2">
      <c r="A3" s="46"/>
      <c r="B3" s="46"/>
      <c r="C3" s="46"/>
      <c r="D3" s="46"/>
      <c r="E3" s="46"/>
      <c r="F3" s="46"/>
      <c r="G3" s="46"/>
      <c r="H3" s="46"/>
      <c r="I3" s="46"/>
      <c r="J3" s="46"/>
      <c r="K3" s="46"/>
      <c r="L3" s="100"/>
      <c r="M3" s="344"/>
    </row>
    <row r="4" spans="1:13" ht="27" customHeight="1" x14ac:dyDescent="0.2">
      <c r="A4" s="371" t="s">
        <v>308</v>
      </c>
      <c r="B4" s="371"/>
      <c r="C4" s="371"/>
      <c r="D4" s="371"/>
      <c r="E4" s="371"/>
      <c r="F4" s="46"/>
      <c r="G4" s="371" t="s">
        <v>307</v>
      </c>
      <c r="H4" s="371"/>
      <c r="I4" s="371"/>
      <c r="J4" s="371"/>
      <c r="K4" s="371"/>
    </row>
    <row r="5" spans="1:13" ht="28.5" customHeight="1" x14ac:dyDescent="0.2">
      <c r="A5" s="40" t="s">
        <v>13</v>
      </c>
      <c r="B5" s="258" t="s">
        <v>299</v>
      </c>
      <c r="C5" s="366" t="s">
        <v>300</v>
      </c>
      <c r="D5" s="367"/>
      <c r="E5" s="42" t="s">
        <v>301</v>
      </c>
      <c r="F5" s="46"/>
      <c r="G5" s="368"/>
      <c r="H5" s="369"/>
      <c r="I5" s="44" t="s">
        <v>305</v>
      </c>
      <c r="J5" s="45" t="s">
        <v>306</v>
      </c>
      <c r="K5" s="42" t="s">
        <v>301</v>
      </c>
      <c r="L5" s="46"/>
    </row>
    <row r="6" spans="1:13" ht="65.25" customHeight="1" x14ac:dyDescent="0.2">
      <c r="A6" s="43" t="s">
        <v>837</v>
      </c>
      <c r="B6" s="13" t="s">
        <v>2105</v>
      </c>
      <c r="C6" s="378" t="s">
        <v>2106</v>
      </c>
      <c r="D6" s="378"/>
      <c r="E6" s="13" t="s">
        <v>2107</v>
      </c>
      <c r="F6" s="46" t="s">
        <v>840</v>
      </c>
      <c r="G6" s="413" t="s">
        <v>303</v>
      </c>
      <c r="H6" s="413"/>
      <c r="I6" s="13" t="s">
        <v>2105</v>
      </c>
      <c r="J6" s="250" t="s">
        <v>2106</v>
      </c>
      <c r="K6" s="250" t="s">
        <v>2107</v>
      </c>
      <c r="L6" s="46"/>
    </row>
    <row r="7" spans="1:13" ht="65.25" customHeight="1" x14ac:dyDescent="0.2">
      <c r="A7" s="43" t="s">
        <v>841</v>
      </c>
      <c r="B7" s="121" t="s">
        <v>840</v>
      </c>
      <c r="C7" s="414" t="s">
        <v>840</v>
      </c>
      <c r="D7" s="415"/>
      <c r="E7" s="13" t="s">
        <v>2071</v>
      </c>
      <c r="F7" s="46" t="s">
        <v>840</v>
      </c>
      <c r="G7" s="413" t="s">
        <v>2108</v>
      </c>
      <c r="H7" s="413"/>
      <c r="I7" s="121" t="s">
        <v>840</v>
      </c>
      <c r="J7" s="250" t="s">
        <v>2109</v>
      </c>
      <c r="K7" s="250" t="s">
        <v>2107</v>
      </c>
      <c r="L7" s="46"/>
    </row>
    <row r="8" spans="1:13" ht="42.75" customHeight="1" x14ac:dyDescent="0.2">
      <c r="A8" s="259" t="s">
        <v>14</v>
      </c>
      <c r="B8" s="402" t="s">
        <v>15</v>
      </c>
      <c r="C8" s="403"/>
      <c r="D8" s="403"/>
      <c r="E8" s="404"/>
      <c r="F8" s="46" t="s">
        <v>840</v>
      </c>
      <c r="G8" s="413" t="s">
        <v>2074</v>
      </c>
      <c r="H8" s="413"/>
      <c r="I8" s="121" t="s">
        <v>840</v>
      </c>
      <c r="J8" s="121" t="s">
        <v>840</v>
      </c>
      <c r="K8" s="250" t="s">
        <v>2071</v>
      </c>
      <c r="L8" s="46"/>
    </row>
    <row r="9" spans="1:13" s="41" customFormat="1" ht="27" customHeight="1" x14ac:dyDescent="0.2">
      <c r="A9" s="46" t="s">
        <v>840</v>
      </c>
      <c r="B9" s="46" t="s">
        <v>840</v>
      </c>
      <c r="C9" s="46" t="s">
        <v>840</v>
      </c>
      <c r="D9" s="46" t="s">
        <v>840</v>
      </c>
      <c r="E9" s="46" t="s">
        <v>840</v>
      </c>
      <c r="F9" s="46" t="s">
        <v>840</v>
      </c>
      <c r="G9" s="412" t="s">
        <v>14</v>
      </c>
      <c r="H9" s="412"/>
      <c r="I9" s="402" t="s">
        <v>15</v>
      </c>
      <c r="J9" s="403"/>
      <c r="K9" s="404"/>
      <c r="L9" s="46"/>
      <c r="M9" s="344"/>
    </row>
    <row r="10" spans="1:13" s="41" customFormat="1" ht="13.5" customHeight="1" x14ac:dyDescent="0.2">
      <c r="A10" s="46"/>
      <c r="B10" s="46"/>
      <c r="C10" s="46"/>
      <c r="D10" s="46"/>
      <c r="E10" s="46"/>
      <c r="F10" s="46"/>
      <c r="G10" s="49"/>
      <c r="H10" s="49"/>
      <c r="I10" s="50"/>
      <c r="J10" s="50"/>
      <c r="K10" s="50"/>
      <c r="L10" s="46"/>
      <c r="M10" s="344"/>
    </row>
    <row r="11" spans="1:13" s="41" customFormat="1" ht="13.5" customHeight="1" x14ac:dyDescent="0.2">
      <c r="A11" s="46"/>
      <c r="B11" s="46"/>
      <c r="C11" s="46"/>
      <c r="D11" s="46"/>
      <c r="E11" s="46"/>
      <c r="F11" s="46"/>
      <c r="G11" s="49"/>
      <c r="H11" s="49"/>
      <c r="I11" s="50"/>
      <c r="J11" s="50"/>
      <c r="K11" s="50"/>
      <c r="L11" s="46"/>
      <c r="M11" s="344"/>
    </row>
    <row r="12" spans="1:13" s="41" customFormat="1" ht="13.5" customHeight="1" x14ac:dyDescent="0.2">
      <c r="A12" s="46"/>
      <c r="B12" s="46"/>
      <c r="C12" s="46"/>
      <c r="D12" s="46"/>
      <c r="E12" s="46"/>
      <c r="F12" s="46"/>
      <c r="G12" s="46"/>
      <c r="H12" s="46"/>
      <c r="I12" s="46"/>
      <c r="J12" s="46"/>
      <c r="K12" s="46"/>
      <c r="L12" s="100"/>
      <c r="M12" s="344"/>
    </row>
    <row r="13" spans="1:13"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3" ht="30.2" customHeight="1" x14ac:dyDescent="0.2">
      <c r="A14" s="10" t="s">
        <v>773</v>
      </c>
      <c r="B14" s="334" t="s">
        <v>1148</v>
      </c>
      <c r="C14" s="313" t="s">
        <v>845</v>
      </c>
      <c r="D14" s="92">
        <v>6.7859999999999996</v>
      </c>
      <c r="E14" s="93">
        <v>1.819</v>
      </c>
      <c r="F14" s="94">
        <v>0.21199999999999999</v>
      </c>
      <c r="G14" s="29">
        <v>18.03</v>
      </c>
      <c r="H14" s="30" t="s">
        <v>840</v>
      </c>
      <c r="I14" s="30" t="s">
        <v>840</v>
      </c>
      <c r="J14" s="27" t="s">
        <v>840</v>
      </c>
      <c r="K14" s="28"/>
    </row>
    <row r="15" spans="1:13" ht="30.2" customHeight="1" x14ac:dyDescent="0.2">
      <c r="A15" s="10" t="s">
        <v>594</v>
      </c>
      <c r="B15" s="334" t="s">
        <v>840</v>
      </c>
      <c r="C15" s="313">
        <v>2</v>
      </c>
      <c r="D15" s="92">
        <v>6.7859999999999996</v>
      </c>
      <c r="E15" s="93">
        <v>1.819</v>
      </c>
      <c r="F15" s="94">
        <v>0.21199999999999999</v>
      </c>
      <c r="G15" s="30" t="s">
        <v>840</v>
      </c>
      <c r="H15" s="30" t="s">
        <v>840</v>
      </c>
      <c r="I15" s="30" t="s">
        <v>840</v>
      </c>
      <c r="J15" s="27" t="s">
        <v>840</v>
      </c>
      <c r="K15" s="28"/>
    </row>
    <row r="16" spans="1:13" ht="30.2" customHeight="1" x14ac:dyDescent="0.2">
      <c r="A16" s="10" t="s">
        <v>774</v>
      </c>
      <c r="B16" s="334" t="s">
        <v>1149</v>
      </c>
      <c r="C16" s="313" t="s">
        <v>846</v>
      </c>
      <c r="D16" s="92">
        <v>8.1649999999999991</v>
      </c>
      <c r="E16" s="93">
        <v>2.1880000000000002</v>
      </c>
      <c r="F16" s="94">
        <v>0.255</v>
      </c>
      <c r="G16" s="29">
        <v>12.11</v>
      </c>
      <c r="H16" s="30" t="s">
        <v>840</v>
      </c>
      <c r="I16" s="30" t="s">
        <v>840</v>
      </c>
      <c r="J16" s="27" t="s">
        <v>840</v>
      </c>
      <c r="K16" s="28"/>
    </row>
    <row r="17" spans="1:11" ht="30.2" customHeight="1" x14ac:dyDescent="0.2">
      <c r="A17" s="10" t="s">
        <v>775</v>
      </c>
      <c r="B17" s="334" t="s">
        <v>1150</v>
      </c>
      <c r="C17" s="313" t="s">
        <v>846</v>
      </c>
      <c r="D17" s="92">
        <v>8.1649999999999991</v>
      </c>
      <c r="E17" s="93">
        <v>2.1880000000000002</v>
      </c>
      <c r="F17" s="94">
        <v>0.255</v>
      </c>
      <c r="G17" s="29">
        <v>17.829999999999998</v>
      </c>
      <c r="H17" s="30" t="s">
        <v>840</v>
      </c>
      <c r="I17" s="30" t="s">
        <v>840</v>
      </c>
      <c r="J17" s="27" t="s">
        <v>840</v>
      </c>
      <c r="K17" s="28"/>
    </row>
    <row r="18" spans="1:11" ht="30.2" customHeight="1" x14ac:dyDescent="0.2">
      <c r="A18" s="10" t="s">
        <v>776</v>
      </c>
      <c r="B18" s="334" t="s">
        <v>1151</v>
      </c>
      <c r="C18" s="313" t="s">
        <v>846</v>
      </c>
      <c r="D18" s="92">
        <v>8.1649999999999991</v>
      </c>
      <c r="E18" s="93">
        <v>2.1880000000000002</v>
      </c>
      <c r="F18" s="94">
        <v>0.255</v>
      </c>
      <c r="G18" s="29">
        <v>26.38</v>
      </c>
      <c r="H18" s="30" t="s">
        <v>840</v>
      </c>
      <c r="I18" s="30" t="s">
        <v>840</v>
      </c>
      <c r="J18" s="27" t="s">
        <v>840</v>
      </c>
      <c r="K18" s="28"/>
    </row>
    <row r="19" spans="1:11" ht="30.2" customHeight="1" x14ac:dyDescent="0.2">
      <c r="A19" s="10" t="s">
        <v>777</v>
      </c>
      <c r="B19" s="334" t="s">
        <v>1152</v>
      </c>
      <c r="C19" s="313" t="s">
        <v>846</v>
      </c>
      <c r="D19" s="92">
        <v>8.1649999999999991</v>
      </c>
      <c r="E19" s="93">
        <v>2.1880000000000002</v>
      </c>
      <c r="F19" s="94">
        <v>0.255</v>
      </c>
      <c r="G19" s="29">
        <v>41.96</v>
      </c>
      <c r="H19" s="30" t="s">
        <v>840</v>
      </c>
      <c r="I19" s="30" t="s">
        <v>840</v>
      </c>
      <c r="J19" s="27" t="s">
        <v>840</v>
      </c>
      <c r="K19" s="28"/>
    </row>
    <row r="20" spans="1:11" ht="30.2" customHeight="1" x14ac:dyDescent="0.2">
      <c r="A20" s="10" t="s">
        <v>778</v>
      </c>
      <c r="B20" s="334" t="s">
        <v>1153</v>
      </c>
      <c r="C20" s="313" t="s">
        <v>846</v>
      </c>
      <c r="D20" s="92">
        <v>8.1649999999999991</v>
      </c>
      <c r="E20" s="93">
        <v>2.1880000000000002</v>
      </c>
      <c r="F20" s="94">
        <v>0.255</v>
      </c>
      <c r="G20" s="29">
        <v>95.09</v>
      </c>
      <c r="H20" s="30" t="s">
        <v>840</v>
      </c>
      <c r="I20" s="30" t="s">
        <v>840</v>
      </c>
      <c r="J20" s="27" t="s">
        <v>840</v>
      </c>
      <c r="K20" s="28"/>
    </row>
    <row r="21" spans="1:11" ht="30.2" customHeight="1" x14ac:dyDescent="0.2">
      <c r="A21" s="10" t="s">
        <v>575</v>
      </c>
      <c r="B21" s="334" t="s">
        <v>840</v>
      </c>
      <c r="C21" s="313">
        <v>4</v>
      </c>
      <c r="D21" s="92">
        <v>8.1649999999999991</v>
      </c>
      <c r="E21" s="93">
        <v>2.1880000000000002</v>
      </c>
      <c r="F21" s="94">
        <v>0.255</v>
      </c>
      <c r="G21" s="30" t="s">
        <v>840</v>
      </c>
      <c r="H21" s="30" t="s">
        <v>840</v>
      </c>
      <c r="I21" s="30" t="s">
        <v>840</v>
      </c>
      <c r="J21" s="27" t="s">
        <v>840</v>
      </c>
      <c r="K21" s="28"/>
    </row>
    <row r="22" spans="1:11" ht="30.2" customHeight="1" x14ac:dyDescent="0.2">
      <c r="A22" s="10" t="s">
        <v>595</v>
      </c>
      <c r="B22" s="334" t="s">
        <v>1154</v>
      </c>
      <c r="C22" s="313">
        <v>0</v>
      </c>
      <c r="D22" s="92">
        <v>5.8289999999999997</v>
      </c>
      <c r="E22" s="93">
        <v>1.528</v>
      </c>
      <c r="F22" s="94">
        <v>0.17199999999999999</v>
      </c>
      <c r="G22" s="29">
        <v>16.100000000000001</v>
      </c>
      <c r="H22" s="29">
        <v>3.82</v>
      </c>
      <c r="I22" s="91">
        <v>3.82</v>
      </c>
      <c r="J22" s="26">
        <v>0.11799999999999999</v>
      </c>
      <c r="K22" s="28"/>
    </row>
    <row r="23" spans="1:11" ht="30.2" customHeight="1" x14ac:dyDescent="0.2">
      <c r="A23" s="10" t="s">
        <v>596</v>
      </c>
      <c r="B23" s="334" t="s">
        <v>1155</v>
      </c>
      <c r="C23" s="313">
        <v>0</v>
      </c>
      <c r="D23" s="92">
        <v>5.8289999999999997</v>
      </c>
      <c r="E23" s="93">
        <v>1.528</v>
      </c>
      <c r="F23" s="94">
        <v>0.17199999999999999</v>
      </c>
      <c r="G23" s="29">
        <v>154.80000000000001</v>
      </c>
      <c r="H23" s="29">
        <v>3.82</v>
      </c>
      <c r="I23" s="91">
        <v>3.82</v>
      </c>
      <c r="J23" s="26">
        <v>0.11799999999999999</v>
      </c>
      <c r="K23" s="28"/>
    </row>
    <row r="24" spans="1:11" ht="30.2" customHeight="1" x14ac:dyDescent="0.2">
      <c r="A24" s="10" t="s">
        <v>597</v>
      </c>
      <c r="B24" s="334" t="s">
        <v>1156</v>
      </c>
      <c r="C24" s="313">
        <v>0</v>
      </c>
      <c r="D24" s="92">
        <v>5.8289999999999997</v>
      </c>
      <c r="E24" s="93">
        <v>1.528</v>
      </c>
      <c r="F24" s="94">
        <v>0.17199999999999999</v>
      </c>
      <c r="G24" s="29">
        <v>293.64999999999998</v>
      </c>
      <c r="H24" s="29">
        <v>3.82</v>
      </c>
      <c r="I24" s="91">
        <v>3.82</v>
      </c>
      <c r="J24" s="26">
        <v>0.11799999999999999</v>
      </c>
      <c r="K24" s="28"/>
    </row>
    <row r="25" spans="1:11" ht="30.2" customHeight="1" x14ac:dyDescent="0.2">
      <c r="A25" s="10" t="s">
        <v>598</v>
      </c>
      <c r="B25" s="334" t="s">
        <v>1157</v>
      </c>
      <c r="C25" s="313">
        <v>0</v>
      </c>
      <c r="D25" s="92">
        <v>5.8289999999999997</v>
      </c>
      <c r="E25" s="93">
        <v>1.528</v>
      </c>
      <c r="F25" s="94">
        <v>0.17199999999999999</v>
      </c>
      <c r="G25" s="29">
        <v>433.95</v>
      </c>
      <c r="H25" s="29">
        <v>3.82</v>
      </c>
      <c r="I25" s="91">
        <v>3.82</v>
      </c>
      <c r="J25" s="26">
        <v>0.11799999999999999</v>
      </c>
      <c r="K25" s="28"/>
    </row>
    <row r="26" spans="1:11" ht="30.2" customHeight="1" x14ac:dyDescent="0.2">
      <c r="A26" s="10" t="s">
        <v>599</v>
      </c>
      <c r="B26" s="334" t="s">
        <v>1158</v>
      </c>
      <c r="C26" s="313">
        <v>0</v>
      </c>
      <c r="D26" s="92">
        <v>5.8289999999999997</v>
      </c>
      <c r="E26" s="93">
        <v>1.528</v>
      </c>
      <c r="F26" s="94">
        <v>0.17199999999999999</v>
      </c>
      <c r="G26" s="29">
        <v>886.25</v>
      </c>
      <c r="H26" s="29">
        <v>3.82</v>
      </c>
      <c r="I26" s="91">
        <v>3.82</v>
      </c>
      <c r="J26" s="26">
        <v>0.11799999999999999</v>
      </c>
      <c r="K26" s="28"/>
    </row>
    <row r="27" spans="1:11" ht="30.2" customHeight="1" x14ac:dyDescent="0.2">
      <c r="A27" s="10" t="s">
        <v>600</v>
      </c>
      <c r="B27" s="334" t="s">
        <v>1159</v>
      </c>
      <c r="C27" s="313">
        <v>0</v>
      </c>
      <c r="D27" s="92">
        <v>3.714</v>
      </c>
      <c r="E27" s="93">
        <v>0.92300000000000004</v>
      </c>
      <c r="F27" s="94">
        <v>9.4E-2</v>
      </c>
      <c r="G27" s="29">
        <v>16.100000000000001</v>
      </c>
      <c r="H27" s="29">
        <v>3.07</v>
      </c>
      <c r="I27" s="91">
        <v>3.07</v>
      </c>
      <c r="J27" s="26">
        <v>6.8000000000000005E-2</v>
      </c>
      <c r="K27" s="28"/>
    </row>
    <row r="28" spans="1:11" ht="30.2" customHeight="1" x14ac:dyDescent="0.2">
      <c r="A28" s="10" t="s">
        <v>601</v>
      </c>
      <c r="B28" s="334" t="s">
        <v>1160</v>
      </c>
      <c r="C28" s="313">
        <v>0</v>
      </c>
      <c r="D28" s="92">
        <v>3.714</v>
      </c>
      <c r="E28" s="93">
        <v>0.92300000000000004</v>
      </c>
      <c r="F28" s="94">
        <v>9.4E-2</v>
      </c>
      <c r="G28" s="29">
        <v>154.80000000000001</v>
      </c>
      <c r="H28" s="29">
        <v>3.07</v>
      </c>
      <c r="I28" s="91">
        <v>3.07</v>
      </c>
      <c r="J28" s="26">
        <v>6.8000000000000005E-2</v>
      </c>
      <c r="K28" s="28"/>
    </row>
    <row r="29" spans="1:11" ht="30.2" customHeight="1" x14ac:dyDescent="0.2">
      <c r="A29" s="10" t="s">
        <v>602</v>
      </c>
      <c r="B29" s="334" t="s">
        <v>1161</v>
      </c>
      <c r="C29" s="313">
        <v>0</v>
      </c>
      <c r="D29" s="92">
        <v>3.714</v>
      </c>
      <c r="E29" s="93">
        <v>0.92300000000000004</v>
      </c>
      <c r="F29" s="94">
        <v>9.4E-2</v>
      </c>
      <c r="G29" s="29">
        <v>293.64999999999998</v>
      </c>
      <c r="H29" s="29">
        <v>3.07</v>
      </c>
      <c r="I29" s="91">
        <v>3.07</v>
      </c>
      <c r="J29" s="26">
        <v>6.8000000000000005E-2</v>
      </c>
      <c r="K29" s="28"/>
    </row>
    <row r="30" spans="1:11" ht="30.2" customHeight="1" x14ac:dyDescent="0.2">
      <c r="A30" s="10" t="s">
        <v>603</v>
      </c>
      <c r="B30" s="334" t="s">
        <v>1162</v>
      </c>
      <c r="C30" s="313">
        <v>0</v>
      </c>
      <c r="D30" s="92">
        <v>3.714</v>
      </c>
      <c r="E30" s="93">
        <v>0.92300000000000004</v>
      </c>
      <c r="F30" s="94">
        <v>9.4E-2</v>
      </c>
      <c r="G30" s="29">
        <v>433.95</v>
      </c>
      <c r="H30" s="29">
        <v>3.07</v>
      </c>
      <c r="I30" s="91">
        <v>3.07</v>
      </c>
      <c r="J30" s="26">
        <v>6.8000000000000005E-2</v>
      </c>
      <c r="K30" s="28"/>
    </row>
    <row r="31" spans="1:11" ht="30.2" customHeight="1" x14ac:dyDescent="0.2">
      <c r="A31" s="10" t="s">
        <v>604</v>
      </c>
      <c r="B31" s="334" t="s">
        <v>1163</v>
      </c>
      <c r="C31" s="313">
        <v>0</v>
      </c>
      <c r="D31" s="92">
        <v>3.714</v>
      </c>
      <c r="E31" s="93">
        <v>0.92300000000000004</v>
      </c>
      <c r="F31" s="94">
        <v>9.4E-2</v>
      </c>
      <c r="G31" s="29">
        <v>886.25</v>
      </c>
      <c r="H31" s="29">
        <v>3.07</v>
      </c>
      <c r="I31" s="91">
        <v>3.07</v>
      </c>
      <c r="J31" s="26">
        <v>6.8000000000000005E-2</v>
      </c>
      <c r="K31" s="28"/>
    </row>
    <row r="32" spans="1:11" ht="30.2" customHeight="1" x14ac:dyDescent="0.2">
      <c r="A32" s="10" t="s">
        <v>605</v>
      </c>
      <c r="B32" s="334" t="s">
        <v>1164</v>
      </c>
      <c r="C32" s="313">
        <v>0</v>
      </c>
      <c r="D32" s="92">
        <v>2.5139999999999998</v>
      </c>
      <c r="E32" s="93">
        <v>0.58799999999999997</v>
      </c>
      <c r="F32" s="94">
        <v>5.1999999999999998E-2</v>
      </c>
      <c r="G32" s="29">
        <v>421.64</v>
      </c>
      <c r="H32" s="29">
        <v>3.78</v>
      </c>
      <c r="I32" s="91">
        <v>3.78</v>
      </c>
      <c r="J32" s="26">
        <v>4.1000000000000002E-2</v>
      </c>
      <c r="K32" s="28"/>
    </row>
    <row r="33" spans="1:11" ht="30.2" customHeight="1" x14ac:dyDescent="0.2">
      <c r="A33" s="10" t="s">
        <v>606</v>
      </c>
      <c r="B33" s="334" t="s">
        <v>1165</v>
      </c>
      <c r="C33" s="313">
        <v>0</v>
      </c>
      <c r="D33" s="92">
        <v>2.5139999999999998</v>
      </c>
      <c r="E33" s="93">
        <v>0.58799999999999997</v>
      </c>
      <c r="F33" s="94">
        <v>5.1999999999999998E-2</v>
      </c>
      <c r="G33" s="29">
        <v>1251.4100000000001</v>
      </c>
      <c r="H33" s="29">
        <v>3.78</v>
      </c>
      <c r="I33" s="91">
        <v>3.78</v>
      </c>
      <c r="J33" s="26">
        <v>4.1000000000000002E-2</v>
      </c>
      <c r="K33" s="28"/>
    </row>
    <row r="34" spans="1:11" ht="30.2" customHeight="1" x14ac:dyDescent="0.2">
      <c r="A34" s="10" t="s">
        <v>607</v>
      </c>
      <c r="B34" s="334" t="s">
        <v>1166</v>
      </c>
      <c r="C34" s="313">
        <v>0</v>
      </c>
      <c r="D34" s="92">
        <v>2.5139999999999998</v>
      </c>
      <c r="E34" s="93">
        <v>0.58799999999999997</v>
      </c>
      <c r="F34" s="94">
        <v>5.1999999999999998E-2</v>
      </c>
      <c r="G34" s="29">
        <v>2908.28</v>
      </c>
      <c r="H34" s="29">
        <v>3.78</v>
      </c>
      <c r="I34" s="91">
        <v>3.78</v>
      </c>
      <c r="J34" s="26">
        <v>4.1000000000000002E-2</v>
      </c>
      <c r="K34" s="28"/>
    </row>
    <row r="35" spans="1:11" ht="30.2" customHeight="1" x14ac:dyDescent="0.2">
      <c r="A35" s="10" t="s">
        <v>608</v>
      </c>
      <c r="B35" s="334" t="s">
        <v>1167</v>
      </c>
      <c r="C35" s="313">
        <v>0</v>
      </c>
      <c r="D35" s="92">
        <v>2.5139999999999998</v>
      </c>
      <c r="E35" s="93">
        <v>0.58799999999999997</v>
      </c>
      <c r="F35" s="94">
        <v>5.1999999999999998E-2</v>
      </c>
      <c r="G35" s="29">
        <v>5506.52</v>
      </c>
      <c r="H35" s="29">
        <v>3.78</v>
      </c>
      <c r="I35" s="91">
        <v>3.78</v>
      </c>
      <c r="J35" s="26">
        <v>4.1000000000000002E-2</v>
      </c>
      <c r="K35" s="28"/>
    </row>
    <row r="36" spans="1:11" ht="30.2" customHeight="1" x14ac:dyDescent="0.2">
      <c r="A36" s="10" t="s">
        <v>609</v>
      </c>
      <c r="B36" s="334" t="s">
        <v>1168</v>
      </c>
      <c r="C36" s="313">
        <v>0</v>
      </c>
      <c r="D36" s="92">
        <v>2.5139999999999998</v>
      </c>
      <c r="E36" s="93">
        <v>0.58799999999999997</v>
      </c>
      <c r="F36" s="94">
        <v>5.1999999999999998E-2</v>
      </c>
      <c r="G36" s="29">
        <v>12820.57</v>
      </c>
      <c r="H36" s="29">
        <v>3.78</v>
      </c>
      <c r="I36" s="91">
        <v>3.78</v>
      </c>
      <c r="J36" s="26">
        <v>4.1000000000000002E-2</v>
      </c>
      <c r="K36" s="28"/>
    </row>
    <row r="37" spans="1:11" ht="30.2" customHeight="1" x14ac:dyDescent="0.2">
      <c r="A37" s="10" t="s">
        <v>576</v>
      </c>
      <c r="B37" s="334" t="s">
        <v>1169</v>
      </c>
      <c r="C37" s="313" t="s">
        <v>2110</v>
      </c>
      <c r="D37" s="95">
        <v>20.504000000000001</v>
      </c>
      <c r="E37" s="96">
        <v>2.3929999999999998</v>
      </c>
      <c r="F37" s="94">
        <v>0.89</v>
      </c>
      <c r="G37" s="30" t="s">
        <v>840</v>
      </c>
      <c r="H37" s="30" t="s">
        <v>840</v>
      </c>
      <c r="I37" s="30" t="s">
        <v>840</v>
      </c>
      <c r="J37" s="27" t="s">
        <v>840</v>
      </c>
      <c r="K37" s="28"/>
    </row>
    <row r="38" spans="1:11" ht="30.2" customHeight="1" x14ac:dyDescent="0.2">
      <c r="A38" s="10" t="s">
        <v>765</v>
      </c>
      <c r="B38" s="334" t="s">
        <v>1170</v>
      </c>
      <c r="C38" s="313">
        <v>0</v>
      </c>
      <c r="D38" s="92">
        <v>-4.8949999999999996</v>
      </c>
      <c r="E38" s="93">
        <v>-1.3120000000000001</v>
      </c>
      <c r="F38" s="94">
        <v>-0.153</v>
      </c>
      <c r="G38" s="29" t="s">
        <v>840</v>
      </c>
      <c r="H38" s="30" t="s">
        <v>840</v>
      </c>
      <c r="I38" s="30" t="s">
        <v>840</v>
      </c>
      <c r="J38" s="27" t="s">
        <v>840</v>
      </c>
      <c r="K38" s="28"/>
    </row>
    <row r="39" spans="1:11" ht="30.2" customHeight="1" x14ac:dyDescent="0.2">
      <c r="A39" s="10" t="s">
        <v>766</v>
      </c>
      <c r="B39" s="334" t="s">
        <v>1171</v>
      </c>
      <c r="C39" s="313">
        <v>0</v>
      </c>
      <c r="D39" s="92">
        <v>-4.0460000000000003</v>
      </c>
      <c r="E39" s="93">
        <v>-1.07</v>
      </c>
      <c r="F39" s="94">
        <v>-0.122</v>
      </c>
      <c r="G39" s="29" t="s">
        <v>840</v>
      </c>
      <c r="H39" s="30" t="s">
        <v>840</v>
      </c>
      <c r="I39" s="30" t="s">
        <v>840</v>
      </c>
      <c r="J39" s="27" t="s">
        <v>840</v>
      </c>
      <c r="K39" s="28"/>
    </row>
    <row r="40" spans="1:11" ht="30.2" customHeight="1" x14ac:dyDescent="0.2">
      <c r="A40" s="10" t="s">
        <v>767</v>
      </c>
      <c r="B40" s="334" t="s">
        <v>1172</v>
      </c>
      <c r="C40" s="313">
        <v>0</v>
      </c>
      <c r="D40" s="92">
        <v>-4.8949999999999996</v>
      </c>
      <c r="E40" s="93">
        <v>-1.3120000000000001</v>
      </c>
      <c r="F40" s="94">
        <v>-0.153</v>
      </c>
      <c r="G40" s="29" t="s">
        <v>840</v>
      </c>
      <c r="H40" s="30" t="s">
        <v>840</v>
      </c>
      <c r="I40" s="30" t="s">
        <v>840</v>
      </c>
      <c r="J40" s="26">
        <v>9.0999999999999998E-2</v>
      </c>
      <c r="K40" s="28"/>
    </row>
    <row r="41" spans="1:11" ht="30.2" customHeight="1" x14ac:dyDescent="0.2">
      <c r="A41" s="10" t="s">
        <v>768</v>
      </c>
      <c r="B41" s="334" t="s">
        <v>840</v>
      </c>
      <c r="C41" s="313">
        <v>0</v>
      </c>
      <c r="D41" s="92">
        <v>-4.8949999999999996</v>
      </c>
      <c r="E41" s="93">
        <v>-1.3120000000000001</v>
      </c>
      <c r="F41" s="94">
        <v>-0.153</v>
      </c>
      <c r="G41" s="29" t="s">
        <v>840</v>
      </c>
      <c r="H41" s="30" t="s">
        <v>840</v>
      </c>
      <c r="I41" s="30" t="s">
        <v>840</v>
      </c>
      <c r="J41" s="27" t="s">
        <v>840</v>
      </c>
      <c r="K41" s="28"/>
    </row>
    <row r="42" spans="1:11" ht="30.2" customHeight="1" x14ac:dyDescent="0.2">
      <c r="A42" s="10" t="s">
        <v>769</v>
      </c>
      <c r="B42" s="334" t="s">
        <v>840</v>
      </c>
      <c r="C42" s="313">
        <v>0</v>
      </c>
      <c r="D42" s="92">
        <v>-4.0460000000000003</v>
      </c>
      <c r="E42" s="93">
        <v>-1.07</v>
      </c>
      <c r="F42" s="94">
        <v>-0.122</v>
      </c>
      <c r="G42" s="29" t="s">
        <v>840</v>
      </c>
      <c r="H42" s="30" t="s">
        <v>840</v>
      </c>
      <c r="I42" s="30" t="s">
        <v>840</v>
      </c>
      <c r="J42" s="26">
        <v>8.3000000000000004E-2</v>
      </c>
      <c r="K42" s="28"/>
    </row>
    <row r="43" spans="1:11" ht="30.2" customHeight="1" x14ac:dyDescent="0.2">
      <c r="A43" s="10" t="s">
        <v>770</v>
      </c>
      <c r="B43" s="334" t="s">
        <v>840</v>
      </c>
      <c r="C43" s="313">
        <v>0</v>
      </c>
      <c r="D43" s="92">
        <v>-4.0460000000000003</v>
      </c>
      <c r="E43" s="93">
        <v>-1.07</v>
      </c>
      <c r="F43" s="94">
        <v>-0.122</v>
      </c>
      <c r="G43" s="29" t="s">
        <v>840</v>
      </c>
      <c r="H43" s="30" t="s">
        <v>840</v>
      </c>
      <c r="I43" s="30" t="s">
        <v>840</v>
      </c>
      <c r="J43" s="27" t="s">
        <v>840</v>
      </c>
      <c r="K43" s="28"/>
    </row>
    <row r="44" spans="1:11" ht="30.2" customHeight="1" x14ac:dyDescent="0.2">
      <c r="A44" s="10" t="s">
        <v>771</v>
      </c>
      <c r="B44" s="334" t="s">
        <v>1173</v>
      </c>
      <c r="C44" s="313">
        <v>0</v>
      </c>
      <c r="D44" s="92">
        <v>-2.8260000000000001</v>
      </c>
      <c r="E44" s="93">
        <v>-0.70199999999999996</v>
      </c>
      <c r="F44" s="94">
        <v>-7.0999999999999994E-2</v>
      </c>
      <c r="G44" s="29">
        <v>93.7</v>
      </c>
      <c r="H44" s="30" t="s">
        <v>840</v>
      </c>
      <c r="I44" s="30" t="s">
        <v>840</v>
      </c>
      <c r="J44" s="26">
        <v>7.2999999999999995E-2</v>
      </c>
      <c r="K44" s="28"/>
    </row>
    <row r="45" spans="1:11" ht="30.2" customHeight="1" x14ac:dyDescent="0.2">
      <c r="A45" s="10" t="s">
        <v>772</v>
      </c>
      <c r="B45" s="334" t="s">
        <v>840</v>
      </c>
      <c r="C45" s="313">
        <v>0</v>
      </c>
      <c r="D45" s="92">
        <v>-2.8260000000000001</v>
      </c>
      <c r="E45" s="93">
        <v>-0.70199999999999996</v>
      </c>
      <c r="F45" s="94">
        <v>-7.0999999999999994E-2</v>
      </c>
      <c r="G45" s="29">
        <v>93.7</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charges_M'; based on connection level, credits may therefore be lower than stated above.</v>
      </c>
    </row>
    <row r="47" spans="1:11" ht="27.75" customHeight="1" x14ac:dyDescent="0.2">
      <c r="A47" s="332" t="s">
        <v>527</v>
      </c>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3D77E467-C7DE-4A57-B6BC-05ACB553F7D5}"/>
    <hyperlink ref="A47" location="'Annex 4 LDNO charges_M'!A1" display="Annex 4 LDNO charges_M" xr:uid="{EE2896D3-4988-4045-9D93-ADF5F99C731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pageSetUpPr fitToPage="1"/>
  </sheetPr>
  <dimension ref="A1:Q47"/>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17" ht="27.75" customHeight="1" x14ac:dyDescent="0.2">
      <c r="A1" s="32" t="s">
        <v>19</v>
      </c>
      <c r="B1" s="46"/>
      <c r="C1" s="46"/>
      <c r="D1" s="46"/>
      <c r="E1" s="370" t="s">
        <v>466</v>
      </c>
      <c r="F1" s="370"/>
      <c r="G1" s="370"/>
      <c r="H1" s="370"/>
      <c r="I1" s="370"/>
      <c r="J1" s="370"/>
      <c r="K1" s="370"/>
      <c r="L1" s="243"/>
      <c r="M1" s="342"/>
    </row>
    <row r="2" spans="1:17" ht="27" customHeight="1" x14ac:dyDescent="0.2">
      <c r="A2" s="371" t="str">
        <f>Overview!B4&amp;" - Effective from "&amp;TEXT(Overview!$D$4,"d mmmm yyyy")&amp;" - Final LV and HV charges in SP Distribution Area (GSP Group _N)"</f>
        <v>Leep Electricity Networks Limited - Effective from 1 April 2026 - Final LV and HV charges in SP Distribution Area (GSP Group _N)</v>
      </c>
      <c r="B2" s="371"/>
      <c r="C2" s="371"/>
      <c r="D2" s="371"/>
      <c r="E2" s="371"/>
      <c r="F2" s="371"/>
      <c r="G2" s="371"/>
      <c r="H2" s="371"/>
      <c r="I2" s="371"/>
      <c r="J2" s="371"/>
      <c r="K2" s="371"/>
    </row>
    <row r="3" spans="1:17" s="41" customFormat="1" ht="15" customHeight="1" x14ac:dyDescent="0.2">
      <c r="A3" s="46"/>
      <c r="B3" s="46"/>
      <c r="C3" s="46"/>
      <c r="D3" s="46"/>
      <c r="E3" s="46"/>
      <c r="F3" s="46"/>
      <c r="G3" s="46"/>
      <c r="H3" s="46"/>
      <c r="I3" s="46"/>
      <c r="J3" s="46"/>
      <c r="K3" s="46"/>
      <c r="L3" s="100"/>
      <c r="M3" s="344"/>
    </row>
    <row r="4" spans="1:17" ht="27" customHeight="1" x14ac:dyDescent="0.2">
      <c r="A4" s="371" t="s">
        <v>308</v>
      </c>
      <c r="B4" s="371"/>
      <c r="C4" s="371"/>
      <c r="D4" s="371"/>
      <c r="E4" s="371"/>
      <c r="F4" s="46"/>
      <c r="G4" s="371" t="s">
        <v>307</v>
      </c>
      <c r="H4" s="371"/>
      <c r="I4" s="371"/>
      <c r="J4" s="371"/>
      <c r="K4" s="371"/>
    </row>
    <row r="5" spans="1:17" ht="28.5" customHeight="1" x14ac:dyDescent="0.2">
      <c r="A5" s="40" t="s">
        <v>13</v>
      </c>
      <c r="B5" s="258" t="s">
        <v>299</v>
      </c>
      <c r="C5" s="366" t="s">
        <v>300</v>
      </c>
      <c r="D5" s="367"/>
      <c r="E5" s="42" t="s">
        <v>301</v>
      </c>
      <c r="F5" s="46"/>
      <c r="G5" s="368"/>
      <c r="H5" s="369"/>
      <c r="I5" s="44" t="s">
        <v>305</v>
      </c>
      <c r="J5" s="45" t="s">
        <v>306</v>
      </c>
      <c r="K5" s="42" t="s">
        <v>301</v>
      </c>
      <c r="L5" s="46"/>
    </row>
    <row r="6" spans="1:17" ht="65.25" customHeight="1" x14ac:dyDescent="0.2">
      <c r="A6" s="43" t="s">
        <v>837</v>
      </c>
      <c r="B6" s="13" t="s">
        <v>2092</v>
      </c>
      <c r="C6" s="378" t="s">
        <v>2093</v>
      </c>
      <c r="D6" s="378"/>
      <c r="E6" s="13" t="s">
        <v>2094</v>
      </c>
      <c r="F6" s="46" t="s">
        <v>840</v>
      </c>
      <c r="G6" s="374" t="s">
        <v>302</v>
      </c>
      <c r="H6" s="374"/>
      <c r="I6" s="119" t="s">
        <v>840</v>
      </c>
      <c r="J6" s="13" t="s">
        <v>2095</v>
      </c>
      <c r="K6" s="250" t="s">
        <v>2094</v>
      </c>
      <c r="L6" s="46"/>
    </row>
    <row r="7" spans="1:17" ht="65.25" customHeight="1" x14ac:dyDescent="0.2">
      <c r="A7" s="43" t="s">
        <v>841</v>
      </c>
      <c r="B7" s="121" t="s">
        <v>840</v>
      </c>
      <c r="C7" s="429" t="s">
        <v>2096</v>
      </c>
      <c r="D7" s="430"/>
      <c r="E7" s="13" t="s">
        <v>2097</v>
      </c>
      <c r="F7" s="46" t="s">
        <v>840</v>
      </c>
      <c r="G7" s="374" t="s">
        <v>303</v>
      </c>
      <c r="H7" s="374"/>
      <c r="I7" s="13" t="s">
        <v>2092</v>
      </c>
      <c r="J7" s="250" t="s">
        <v>2093</v>
      </c>
      <c r="K7" s="97" t="s">
        <v>2094</v>
      </c>
      <c r="L7" s="46"/>
    </row>
    <row r="8" spans="1:17" ht="66" customHeight="1" x14ac:dyDescent="0.2">
      <c r="A8" s="259" t="s">
        <v>14</v>
      </c>
      <c r="B8" s="402" t="s">
        <v>15</v>
      </c>
      <c r="C8" s="403"/>
      <c r="D8" s="403"/>
      <c r="E8" s="404"/>
      <c r="F8" s="46" t="s">
        <v>840</v>
      </c>
      <c r="G8" s="374" t="s">
        <v>2091</v>
      </c>
      <c r="H8" s="374"/>
      <c r="I8" s="311" t="s">
        <v>840</v>
      </c>
      <c r="J8" s="250" t="s">
        <v>2095</v>
      </c>
      <c r="K8" s="97" t="s">
        <v>2094</v>
      </c>
      <c r="L8" s="46"/>
    </row>
    <row r="9" spans="1:17" s="41" customFormat="1" ht="66" customHeight="1" x14ac:dyDescent="0.2">
      <c r="A9" s="46" t="s">
        <v>840</v>
      </c>
      <c r="B9" s="46" t="s">
        <v>840</v>
      </c>
      <c r="C9" s="46" t="s">
        <v>840</v>
      </c>
      <c r="D9" s="46" t="s">
        <v>840</v>
      </c>
      <c r="E9" s="46" t="s">
        <v>840</v>
      </c>
      <c r="F9" s="46" t="s">
        <v>840</v>
      </c>
      <c r="G9" s="380" t="s">
        <v>2074</v>
      </c>
      <c r="H9" s="381"/>
      <c r="I9" s="252" t="s">
        <v>840</v>
      </c>
      <c r="J9" s="97" t="s">
        <v>2096</v>
      </c>
      <c r="K9" s="13" t="s">
        <v>2099</v>
      </c>
      <c r="L9" s="46"/>
      <c r="M9" s="344"/>
    </row>
    <row r="10" spans="1:17" s="41" customFormat="1" ht="27" customHeight="1" x14ac:dyDescent="0.2">
      <c r="A10" s="46" t="s">
        <v>840</v>
      </c>
      <c r="B10" s="46" t="s">
        <v>840</v>
      </c>
      <c r="C10" s="46" t="s">
        <v>840</v>
      </c>
      <c r="D10" s="46" t="s">
        <v>840</v>
      </c>
      <c r="E10" s="46" t="s">
        <v>840</v>
      </c>
      <c r="F10" s="46" t="s">
        <v>840</v>
      </c>
      <c r="G10" s="380" t="s">
        <v>14</v>
      </c>
      <c r="H10" s="381"/>
      <c r="I10" s="402" t="s">
        <v>15</v>
      </c>
      <c r="J10" s="403"/>
      <c r="K10" s="404"/>
      <c r="L10" s="46"/>
      <c r="M10" s="344"/>
    </row>
    <row r="11" spans="1:17" s="41" customFormat="1" ht="12.75" customHeight="1" x14ac:dyDescent="0.2">
      <c r="A11" s="46"/>
      <c r="B11" s="46"/>
      <c r="C11" s="46"/>
      <c r="D11" s="46"/>
      <c r="E11" s="46"/>
      <c r="F11" s="46"/>
      <c r="G11" s="46"/>
      <c r="H11" s="46"/>
      <c r="I11" s="46"/>
      <c r="J11" s="46"/>
      <c r="K11" s="46"/>
      <c r="L11" s="46"/>
      <c r="M11" s="344"/>
      <c r="N11" s="46"/>
      <c r="O11" s="46"/>
      <c r="P11" s="46"/>
      <c r="Q11" s="46"/>
    </row>
    <row r="12" spans="1:17" s="41" customFormat="1" ht="12.75" customHeight="1" x14ac:dyDescent="0.2">
      <c r="A12" s="46"/>
      <c r="B12" s="46"/>
      <c r="C12" s="46"/>
      <c r="D12" s="46"/>
      <c r="E12" s="46"/>
      <c r="F12" s="46"/>
      <c r="G12" s="46"/>
      <c r="H12" s="46"/>
      <c r="I12" s="46"/>
      <c r="J12" s="46"/>
      <c r="K12" s="46"/>
      <c r="L12" s="100"/>
      <c r="M12" s="344"/>
    </row>
    <row r="13" spans="1:17"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17" ht="30.2" customHeight="1" x14ac:dyDescent="0.2">
      <c r="A14" s="10" t="s">
        <v>773</v>
      </c>
      <c r="B14" s="334" t="s">
        <v>1174</v>
      </c>
      <c r="C14" s="313" t="s">
        <v>845</v>
      </c>
      <c r="D14" s="92">
        <v>13.090999999999999</v>
      </c>
      <c r="E14" s="93">
        <v>1.423</v>
      </c>
      <c r="F14" s="94">
        <v>3.5999999999999997E-2</v>
      </c>
      <c r="G14" s="29">
        <v>17.61</v>
      </c>
      <c r="H14" s="30" t="s">
        <v>840</v>
      </c>
      <c r="I14" s="30" t="s">
        <v>840</v>
      </c>
      <c r="J14" s="27" t="s">
        <v>840</v>
      </c>
      <c r="K14" s="28"/>
    </row>
    <row r="15" spans="1:17" ht="30.2" customHeight="1" x14ac:dyDescent="0.2">
      <c r="A15" s="10" t="s">
        <v>594</v>
      </c>
      <c r="B15" s="334" t="s">
        <v>840</v>
      </c>
      <c r="C15" s="313" t="s">
        <v>2075</v>
      </c>
      <c r="D15" s="92">
        <v>13.090999999999999</v>
      </c>
      <c r="E15" s="93">
        <v>1.423</v>
      </c>
      <c r="F15" s="94">
        <v>3.5999999999999997E-2</v>
      </c>
      <c r="G15" s="30" t="s">
        <v>840</v>
      </c>
      <c r="H15" s="30" t="s">
        <v>840</v>
      </c>
      <c r="I15" s="30" t="s">
        <v>840</v>
      </c>
      <c r="J15" s="27" t="s">
        <v>840</v>
      </c>
      <c r="K15" s="28"/>
    </row>
    <row r="16" spans="1:17" ht="30.2" customHeight="1" x14ac:dyDescent="0.2">
      <c r="A16" s="10" t="s">
        <v>774</v>
      </c>
      <c r="B16" s="334" t="s">
        <v>1175</v>
      </c>
      <c r="C16" s="313" t="s">
        <v>846</v>
      </c>
      <c r="D16" s="92">
        <v>14.103</v>
      </c>
      <c r="E16" s="93">
        <v>1.5329999999999999</v>
      </c>
      <c r="F16" s="94">
        <v>3.9E-2</v>
      </c>
      <c r="G16" s="29">
        <v>8.7799999999999994</v>
      </c>
      <c r="H16" s="30" t="s">
        <v>840</v>
      </c>
      <c r="I16" s="30" t="s">
        <v>840</v>
      </c>
      <c r="J16" s="27" t="s">
        <v>840</v>
      </c>
      <c r="K16" s="28"/>
    </row>
    <row r="17" spans="1:11" ht="30.2" customHeight="1" x14ac:dyDescent="0.2">
      <c r="A17" s="10" t="s">
        <v>775</v>
      </c>
      <c r="B17" s="334" t="s">
        <v>1176</v>
      </c>
      <c r="C17" s="313" t="s">
        <v>846</v>
      </c>
      <c r="D17" s="92">
        <v>14.103</v>
      </c>
      <c r="E17" s="93">
        <v>1.5329999999999999</v>
      </c>
      <c r="F17" s="94">
        <v>3.9E-2</v>
      </c>
      <c r="G17" s="29">
        <v>21</v>
      </c>
      <c r="H17" s="30" t="s">
        <v>840</v>
      </c>
      <c r="I17" s="30" t="s">
        <v>840</v>
      </c>
      <c r="J17" s="27" t="s">
        <v>840</v>
      </c>
      <c r="K17" s="28"/>
    </row>
    <row r="18" spans="1:11" ht="30.2" customHeight="1" x14ac:dyDescent="0.2">
      <c r="A18" s="10" t="s">
        <v>776</v>
      </c>
      <c r="B18" s="334" t="s">
        <v>1177</v>
      </c>
      <c r="C18" s="313" t="s">
        <v>846</v>
      </c>
      <c r="D18" s="92">
        <v>14.103</v>
      </c>
      <c r="E18" s="93">
        <v>1.5329999999999999</v>
      </c>
      <c r="F18" s="94">
        <v>3.9E-2</v>
      </c>
      <c r="G18" s="29">
        <v>36.049999999999997</v>
      </c>
      <c r="H18" s="30" t="s">
        <v>840</v>
      </c>
      <c r="I18" s="30" t="s">
        <v>840</v>
      </c>
      <c r="J18" s="27" t="s">
        <v>840</v>
      </c>
      <c r="K18" s="28"/>
    </row>
    <row r="19" spans="1:11" ht="30.2" customHeight="1" x14ac:dyDescent="0.2">
      <c r="A19" s="10" t="s">
        <v>777</v>
      </c>
      <c r="B19" s="334" t="s">
        <v>1178</v>
      </c>
      <c r="C19" s="313" t="s">
        <v>846</v>
      </c>
      <c r="D19" s="92">
        <v>14.103</v>
      </c>
      <c r="E19" s="93">
        <v>1.5329999999999999</v>
      </c>
      <c r="F19" s="94">
        <v>3.9E-2</v>
      </c>
      <c r="G19" s="29">
        <v>65.48</v>
      </c>
      <c r="H19" s="30" t="s">
        <v>840</v>
      </c>
      <c r="I19" s="30" t="s">
        <v>840</v>
      </c>
      <c r="J19" s="27" t="s">
        <v>840</v>
      </c>
      <c r="K19" s="28"/>
    </row>
    <row r="20" spans="1:11" ht="30.2" customHeight="1" x14ac:dyDescent="0.2">
      <c r="A20" s="10" t="s">
        <v>778</v>
      </c>
      <c r="B20" s="334" t="s">
        <v>1179</v>
      </c>
      <c r="C20" s="313" t="s">
        <v>846</v>
      </c>
      <c r="D20" s="92">
        <v>14.103</v>
      </c>
      <c r="E20" s="93">
        <v>1.5329999999999999</v>
      </c>
      <c r="F20" s="94">
        <v>3.9E-2</v>
      </c>
      <c r="G20" s="29">
        <v>168.99</v>
      </c>
      <c r="H20" s="30" t="s">
        <v>840</v>
      </c>
      <c r="I20" s="30" t="s">
        <v>840</v>
      </c>
      <c r="J20" s="27" t="s">
        <v>840</v>
      </c>
      <c r="K20" s="28"/>
    </row>
    <row r="21" spans="1:11" ht="30.2" customHeight="1" x14ac:dyDescent="0.2">
      <c r="A21" s="10" t="s">
        <v>575</v>
      </c>
      <c r="B21" s="334" t="s">
        <v>840</v>
      </c>
      <c r="C21" s="313" t="s">
        <v>2076</v>
      </c>
      <c r="D21" s="92">
        <v>14.103</v>
      </c>
      <c r="E21" s="93">
        <v>1.5329999999999999</v>
      </c>
      <c r="F21" s="94">
        <v>3.9E-2</v>
      </c>
      <c r="G21" s="30" t="s">
        <v>840</v>
      </c>
      <c r="H21" s="30" t="s">
        <v>840</v>
      </c>
      <c r="I21" s="30" t="s">
        <v>840</v>
      </c>
      <c r="J21" s="27" t="s">
        <v>840</v>
      </c>
      <c r="K21" s="28"/>
    </row>
    <row r="22" spans="1:11" ht="30.2" customHeight="1" x14ac:dyDescent="0.2">
      <c r="A22" s="10" t="s">
        <v>595</v>
      </c>
      <c r="B22" s="334" t="s">
        <v>1180</v>
      </c>
      <c r="C22" s="313">
        <v>0</v>
      </c>
      <c r="D22" s="92">
        <v>10.798</v>
      </c>
      <c r="E22" s="93">
        <v>1.103</v>
      </c>
      <c r="F22" s="94">
        <v>2.9000000000000001E-2</v>
      </c>
      <c r="G22" s="29">
        <v>29.9</v>
      </c>
      <c r="H22" s="29">
        <v>5.34</v>
      </c>
      <c r="I22" s="91">
        <v>5.34</v>
      </c>
      <c r="J22" s="26">
        <v>0.23699999999999999</v>
      </c>
      <c r="K22" s="28"/>
    </row>
    <row r="23" spans="1:11" ht="30.2" customHeight="1" x14ac:dyDescent="0.2">
      <c r="A23" s="10" t="s">
        <v>596</v>
      </c>
      <c r="B23" s="334" t="s">
        <v>1181</v>
      </c>
      <c r="C23" s="313">
        <v>0</v>
      </c>
      <c r="D23" s="92">
        <v>10.798</v>
      </c>
      <c r="E23" s="93">
        <v>1.103</v>
      </c>
      <c r="F23" s="94">
        <v>2.9000000000000001E-2</v>
      </c>
      <c r="G23" s="29">
        <v>376.44</v>
      </c>
      <c r="H23" s="29">
        <v>5.34</v>
      </c>
      <c r="I23" s="91">
        <v>5.34</v>
      </c>
      <c r="J23" s="26">
        <v>0.23699999999999999</v>
      </c>
      <c r="K23" s="28"/>
    </row>
    <row r="24" spans="1:11" ht="30.2" customHeight="1" x14ac:dyDescent="0.2">
      <c r="A24" s="10" t="s">
        <v>597</v>
      </c>
      <c r="B24" s="334" t="s">
        <v>1182</v>
      </c>
      <c r="C24" s="313">
        <v>0</v>
      </c>
      <c r="D24" s="92">
        <v>10.798</v>
      </c>
      <c r="E24" s="93">
        <v>1.103</v>
      </c>
      <c r="F24" s="94">
        <v>2.9000000000000001E-2</v>
      </c>
      <c r="G24" s="29">
        <v>608</v>
      </c>
      <c r="H24" s="29">
        <v>5.34</v>
      </c>
      <c r="I24" s="91">
        <v>5.34</v>
      </c>
      <c r="J24" s="26">
        <v>0.23699999999999999</v>
      </c>
      <c r="K24" s="28"/>
    </row>
    <row r="25" spans="1:11" ht="30.2" customHeight="1" x14ac:dyDescent="0.2">
      <c r="A25" s="10" t="s">
        <v>598</v>
      </c>
      <c r="B25" s="334" t="s">
        <v>1183</v>
      </c>
      <c r="C25" s="313">
        <v>0</v>
      </c>
      <c r="D25" s="92">
        <v>10.798</v>
      </c>
      <c r="E25" s="93">
        <v>1.103</v>
      </c>
      <c r="F25" s="94">
        <v>2.9000000000000001E-2</v>
      </c>
      <c r="G25" s="29">
        <v>1008.94</v>
      </c>
      <c r="H25" s="29">
        <v>5.34</v>
      </c>
      <c r="I25" s="91">
        <v>5.34</v>
      </c>
      <c r="J25" s="26">
        <v>0.23699999999999999</v>
      </c>
      <c r="K25" s="28"/>
    </row>
    <row r="26" spans="1:11" ht="30.2" customHeight="1" x14ac:dyDescent="0.2">
      <c r="A26" s="10" t="s">
        <v>599</v>
      </c>
      <c r="B26" s="334" t="s">
        <v>1184</v>
      </c>
      <c r="C26" s="313">
        <v>0</v>
      </c>
      <c r="D26" s="92">
        <v>10.798</v>
      </c>
      <c r="E26" s="93">
        <v>1.103</v>
      </c>
      <c r="F26" s="94">
        <v>2.9000000000000001E-2</v>
      </c>
      <c r="G26" s="29">
        <v>2096.7800000000002</v>
      </c>
      <c r="H26" s="29">
        <v>5.34</v>
      </c>
      <c r="I26" s="91">
        <v>5.34</v>
      </c>
      <c r="J26" s="26">
        <v>0.23699999999999999</v>
      </c>
      <c r="K26" s="28"/>
    </row>
    <row r="27" spans="1:11" ht="30.2" customHeight="1" x14ac:dyDescent="0.2">
      <c r="A27" s="10" t="s">
        <v>600</v>
      </c>
      <c r="B27" s="334" t="s">
        <v>1185</v>
      </c>
      <c r="C27" s="313">
        <v>0</v>
      </c>
      <c r="D27" s="92">
        <v>6.0919999999999996</v>
      </c>
      <c r="E27" s="93">
        <v>0.504</v>
      </c>
      <c r="F27" s="94">
        <v>1.4999999999999999E-2</v>
      </c>
      <c r="G27" s="29">
        <v>10.55</v>
      </c>
      <c r="H27" s="29">
        <v>7.56</v>
      </c>
      <c r="I27" s="91">
        <v>7.56</v>
      </c>
      <c r="J27" s="26">
        <v>0.123</v>
      </c>
      <c r="K27" s="28"/>
    </row>
    <row r="28" spans="1:11" ht="30.2" customHeight="1" x14ac:dyDescent="0.2">
      <c r="A28" s="10" t="s">
        <v>601</v>
      </c>
      <c r="B28" s="334" t="s">
        <v>1186</v>
      </c>
      <c r="C28" s="313">
        <v>0</v>
      </c>
      <c r="D28" s="92">
        <v>6.0919999999999996</v>
      </c>
      <c r="E28" s="93">
        <v>0.504</v>
      </c>
      <c r="F28" s="94">
        <v>1.4999999999999999E-2</v>
      </c>
      <c r="G28" s="29">
        <v>357.09</v>
      </c>
      <c r="H28" s="29">
        <v>7.56</v>
      </c>
      <c r="I28" s="91">
        <v>7.56</v>
      </c>
      <c r="J28" s="26">
        <v>0.123</v>
      </c>
      <c r="K28" s="28"/>
    </row>
    <row r="29" spans="1:11" ht="30.2" customHeight="1" x14ac:dyDescent="0.2">
      <c r="A29" s="10" t="s">
        <v>602</v>
      </c>
      <c r="B29" s="334" t="s">
        <v>1187</v>
      </c>
      <c r="C29" s="313">
        <v>0</v>
      </c>
      <c r="D29" s="92">
        <v>6.0919999999999996</v>
      </c>
      <c r="E29" s="93">
        <v>0.504</v>
      </c>
      <c r="F29" s="94">
        <v>1.4999999999999999E-2</v>
      </c>
      <c r="G29" s="29">
        <v>588.65</v>
      </c>
      <c r="H29" s="29">
        <v>7.56</v>
      </c>
      <c r="I29" s="91">
        <v>7.56</v>
      </c>
      <c r="J29" s="26">
        <v>0.123</v>
      </c>
      <c r="K29" s="28"/>
    </row>
    <row r="30" spans="1:11" ht="30.2" customHeight="1" x14ac:dyDescent="0.2">
      <c r="A30" s="10" t="s">
        <v>603</v>
      </c>
      <c r="B30" s="334" t="s">
        <v>1188</v>
      </c>
      <c r="C30" s="313">
        <v>0</v>
      </c>
      <c r="D30" s="92">
        <v>6.0919999999999996</v>
      </c>
      <c r="E30" s="93">
        <v>0.504</v>
      </c>
      <c r="F30" s="94">
        <v>1.4999999999999999E-2</v>
      </c>
      <c r="G30" s="29">
        <v>989.6</v>
      </c>
      <c r="H30" s="29">
        <v>7.56</v>
      </c>
      <c r="I30" s="91">
        <v>7.56</v>
      </c>
      <c r="J30" s="26">
        <v>0.123</v>
      </c>
      <c r="K30" s="28"/>
    </row>
    <row r="31" spans="1:11" ht="30.2" customHeight="1" x14ac:dyDescent="0.2">
      <c r="A31" s="10" t="s">
        <v>604</v>
      </c>
      <c r="B31" s="334" t="s">
        <v>1189</v>
      </c>
      <c r="C31" s="313">
        <v>0</v>
      </c>
      <c r="D31" s="92">
        <v>6.0919999999999996</v>
      </c>
      <c r="E31" s="93">
        <v>0.504</v>
      </c>
      <c r="F31" s="94">
        <v>1.4999999999999999E-2</v>
      </c>
      <c r="G31" s="29">
        <v>2077.4299999999998</v>
      </c>
      <c r="H31" s="29">
        <v>7.56</v>
      </c>
      <c r="I31" s="91">
        <v>7.56</v>
      </c>
      <c r="J31" s="26">
        <v>0.123</v>
      </c>
      <c r="K31" s="28"/>
    </row>
    <row r="32" spans="1:11" ht="30.2" customHeight="1" x14ac:dyDescent="0.2">
      <c r="A32" s="10" t="s">
        <v>605</v>
      </c>
      <c r="B32" s="334" t="s">
        <v>1190</v>
      </c>
      <c r="C32" s="313">
        <v>0</v>
      </c>
      <c r="D32" s="92">
        <v>4.3769999999999998</v>
      </c>
      <c r="E32" s="93">
        <v>0.32200000000000001</v>
      </c>
      <c r="F32" s="94">
        <v>0.01</v>
      </c>
      <c r="G32" s="29">
        <v>159.79</v>
      </c>
      <c r="H32" s="29">
        <v>8.99</v>
      </c>
      <c r="I32" s="91">
        <v>8.99</v>
      </c>
      <c r="J32" s="26">
        <v>8.3000000000000004E-2</v>
      </c>
      <c r="K32" s="28"/>
    </row>
    <row r="33" spans="1:11" ht="30.2" customHeight="1" x14ac:dyDescent="0.2">
      <c r="A33" s="10" t="s">
        <v>606</v>
      </c>
      <c r="B33" s="334" t="s">
        <v>1191</v>
      </c>
      <c r="C33" s="313">
        <v>0</v>
      </c>
      <c r="D33" s="92">
        <v>4.3769999999999998</v>
      </c>
      <c r="E33" s="93">
        <v>0.32200000000000001</v>
      </c>
      <c r="F33" s="94">
        <v>0.01</v>
      </c>
      <c r="G33" s="29">
        <v>1809.84</v>
      </c>
      <c r="H33" s="29">
        <v>8.99</v>
      </c>
      <c r="I33" s="91">
        <v>8.99</v>
      </c>
      <c r="J33" s="26">
        <v>8.3000000000000004E-2</v>
      </c>
      <c r="K33" s="28"/>
    </row>
    <row r="34" spans="1:11" ht="30.2" customHeight="1" x14ac:dyDescent="0.2">
      <c r="A34" s="10" t="s">
        <v>607</v>
      </c>
      <c r="B34" s="334" t="s">
        <v>1192</v>
      </c>
      <c r="C34" s="313">
        <v>0</v>
      </c>
      <c r="D34" s="92">
        <v>4.3769999999999998</v>
      </c>
      <c r="E34" s="93">
        <v>0.32200000000000001</v>
      </c>
      <c r="F34" s="94">
        <v>0.01</v>
      </c>
      <c r="G34" s="29">
        <v>5424.49</v>
      </c>
      <c r="H34" s="29">
        <v>8.99</v>
      </c>
      <c r="I34" s="91">
        <v>8.99</v>
      </c>
      <c r="J34" s="26">
        <v>8.3000000000000004E-2</v>
      </c>
      <c r="K34" s="28"/>
    </row>
    <row r="35" spans="1:11" ht="30.2" customHeight="1" x14ac:dyDescent="0.2">
      <c r="A35" s="10" t="s">
        <v>608</v>
      </c>
      <c r="B35" s="334" t="s">
        <v>1193</v>
      </c>
      <c r="C35" s="313">
        <v>0</v>
      </c>
      <c r="D35" s="92">
        <v>4.3769999999999998</v>
      </c>
      <c r="E35" s="93">
        <v>0.32200000000000001</v>
      </c>
      <c r="F35" s="94">
        <v>0.01</v>
      </c>
      <c r="G35" s="29">
        <v>10544.78</v>
      </c>
      <c r="H35" s="29">
        <v>8.99</v>
      </c>
      <c r="I35" s="91">
        <v>8.99</v>
      </c>
      <c r="J35" s="26">
        <v>8.3000000000000004E-2</v>
      </c>
      <c r="K35" s="28"/>
    </row>
    <row r="36" spans="1:11" ht="30.2" customHeight="1" x14ac:dyDescent="0.2">
      <c r="A36" s="10" t="s">
        <v>609</v>
      </c>
      <c r="B36" s="334" t="s">
        <v>1194</v>
      </c>
      <c r="C36" s="313">
        <v>0</v>
      </c>
      <c r="D36" s="92">
        <v>4.3769999999999998</v>
      </c>
      <c r="E36" s="93">
        <v>0.32200000000000001</v>
      </c>
      <c r="F36" s="94">
        <v>0.01</v>
      </c>
      <c r="G36" s="29">
        <v>27740.35</v>
      </c>
      <c r="H36" s="29">
        <v>8.99</v>
      </c>
      <c r="I36" s="91">
        <v>8.99</v>
      </c>
      <c r="J36" s="26">
        <v>8.3000000000000004E-2</v>
      </c>
      <c r="K36" s="28"/>
    </row>
    <row r="37" spans="1:11" ht="30.2" customHeight="1" x14ac:dyDescent="0.2">
      <c r="A37" s="10" t="s">
        <v>576</v>
      </c>
      <c r="B37" s="334" t="s">
        <v>1195</v>
      </c>
      <c r="C37" s="313" t="s">
        <v>847</v>
      </c>
      <c r="D37" s="95">
        <v>35.823999999999998</v>
      </c>
      <c r="E37" s="96">
        <v>3.06</v>
      </c>
      <c r="F37" s="94">
        <v>1.8360000000000001</v>
      </c>
      <c r="G37" s="30" t="s">
        <v>840</v>
      </c>
      <c r="H37" s="30" t="s">
        <v>840</v>
      </c>
      <c r="I37" s="30" t="s">
        <v>840</v>
      </c>
      <c r="J37" s="27" t="s">
        <v>840</v>
      </c>
      <c r="K37" s="28"/>
    </row>
    <row r="38" spans="1:11" ht="30.2" customHeight="1" x14ac:dyDescent="0.2">
      <c r="A38" s="10" t="s">
        <v>765</v>
      </c>
      <c r="B38" s="334" t="s">
        <v>1196</v>
      </c>
      <c r="C38" s="313">
        <v>0</v>
      </c>
      <c r="D38" s="92">
        <v>-9.4149999999999991</v>
      </c>
      <c r="E38" s="93">
        <v>-1.024</v>
      </c>
      <c r="F38" s="94">
        <v>-2.5999999999999999E-2</v>
      </c>
      <c r="G38" s="29" t="s">
        <v>840</v>
      </c>
      <c r="H38" s="30" t="s">
        <v>840</v>
      </c>
      <c r="I38" s="30" t="s">
        <v>840</v>
      </c>
      <c r="J38" s="27" t="s">
        <v>840</v>
      </c>
      <c r="K38" s="28"/>
    </row>
    <row r="39" spans="1:11" ht="30.2" customHeight="1" x14ac:dyDescent="0.2">
      <c r="A39" s="10" t="s">
        <v>766</v>
      </c>
      <c r="B39" s="334" t="s">
        <v>1197</v>
      </c>
      <c r="C39" s="313">
        <v>0</v>
      </c>
      <c r="D39" s="92">
        <v>-8.1029999999999998</v>
      </c>
      <c r="E39" s="93">
        <v>-0.85299999999999998</v>
      </c>
      <c r="F39" s="94">
        <v>-2.1999999999999999E-2</v>
      </c>
      <c r="G39" s="29" t="s">
        <v>840</v>
      </c>
      <c r="H39" s="30" t="s">
        <v>840</v>
      </c>
      <c r="I39" s="30" t="s">
        <v>840</v>
      </c>
      <c r="J39" s="27" t="s">
        <v>840</v>
      </c>
      <c r="K39" s="28"/>
    </row>
    <row r="40" spans="1:11" ht="30.2" customHeight="1" x14ac:dyDescent="0.2">
      <c r="A40" s="10" t="s">
        <v>767</v>
      </c>
      <c r="B40" s="334" t="s">
        <v>1198</v>
      </c>
      <c r="C40" s="313">
        <v>0</v>
      </c>
      <c r="D40" s="92">
        <v>-9.4149999999999991</v>
      </c>
      <c r="E40" s="93">
        <v>-1.024</v>
      </c>
      <c r="F40" s="94">
        <v>-2.5999999999999999E-2</v>
      </c>
      <c r="G40" s="29" t="s">
        <v>840</v>
      </c>
      <c r="H40" s="30" t="s">
        <v>840</v>
      </c>
      <c r="I40" s="30" t="s">
        <v>840</v>
      </c>
      <c r="J40" s="26">
        <v>0.22</v>
      </c>
      <c r="K40" s="28"/>
    </row>
    <row r="41" spans="1:11" ht="30.2" customHeight="1" x14ac:dyDescent="0.2">
      <c r="A41" s="10" t="s">
        <v>768</v>
      </c>
      <c r="B41" s="334" t="s">
        <v>840</v>
      </c>
      <c r="C41" s="313">
        <v>0</v>
      </c>
      <c r="D41" s="92">
        <v>-9.4149999999999991</v>
      </c>
      <c r="E41" s="93">
        <v>-1.024</v>
      </c>
      <c r="F41" s="94">
        <v>-2.5999999999999999E-2</v>
      </c>
      <c r="G41" s="29" t="s">
        <v>840</v>
      </c>
      <c r="H41" s="30" t="s">
        <v>840</v>
      </c>
      <c r="I41" s="30" t="s">
        <v>840</v>
      </c>
      <c r="J41" s="27" t="s">
        <v>840</v>
      </c>
      <c r="K41" s="28"/>
    </row>
    <row r="42" spans="1:11" ht="30.2" customHeight="1" x14ac:dyDescent="0.2">
      <c r="A42" s="10" t="s">
        <v>769</v>
      </c>
      <c r="B42" s="334" t="s">
        <v>840</v>
      </c>
      <c r="C42" s="313">
        <v>0</v>
      </c>
      <c r="D42" s="92">
        <v>-8.1029999999999998</v>
      </c>
      <c r="E42" s="93">
        <v>-0.85299999999999998</v>
      </c>
      <c r="F42" s="94">
        <v>-2.1999999999999999E-2</v>
      </c>
      <c r="G42" s="29" t="s">
        <v>840</v>
      </c>
      <c r="H42" s="30" t="s">
        <v>840</v>
      </c>
      <c r="I42" s="30" t="s">
        <v>840</v>
      </c>
      <c r="J42" s="26">
        <v>0.17899999999999999</v>
      </c>
      <c r="K42" s="28"/>
    </row>
    <row r="43" spans="1:11" ht="30.2" customHeight="1" x14ac:dyDescent="0.2">
      <c r="A43" s="10" t="s">
        <v>770</v>
      </c>
      <c r="B43" s="334" t="s">
        <v>840</v>
      </c>
      <c r="C43" s="313">
        <v>0</v>
      </c>
      <c r="D43" s="92">
        <v>-8.1029999999999998</v>
      </c>
      <c r="E43" s="93">
        <v>-0.85299999999999998</v>
      </c>
      <c r="F43" s="94">
        <v>-2.1999999999999999E-2</v>
      </c>
      <c r="G43" s="29" t="s">
        <v>840</v>
      </c>
      <c r="H43" s="30" t="s">
        <v>840</v>
      </c>
      <c r="I43" s="30" t="s">
        <v>840</v>
      </c>
      <c r="J43" s="27" t="s">
        <v>840</v>
      </c>
      <c r="K43" s="28"/>
    </row>
    <row r="44" spans="1:11" ht="30.2" customHeight="1" x14ac:dyDescent="0.2">
      <c r="A44" s="10" t="s">
        <v>771</v>
      </c>
      <c r="B44" s="334" t="s">
        <v>1199</v>
      </c>
      <c r="C44" s="313">
        <v>0</v>
      </c>
      <c r="D44" s="92">
        <v>-5.194</v>
      </c>
      <c r="E44" s="93">
        <v>-0.43</v>
      </c>
      <c r="F44" s="94">
        <v>-1.2999999999999999E-2</v>
      </c>
      <c r="G44" s="29">
        <v>116.68</v>
      </c>
      <c r="H44" s="30" t="s">
        <v>840</v>
      </c>
      <c r="I44" s="30" t="s">
        <v>840</v>
      </c>
      <c r="J44" s="26">
        <v>0.16</v>
      </c>
      <c r="K44" s="28"/>
    </row>
    <row r="45" spans="1:11" ht="30.2" customHeight="1" x14ac:dyDescent="0.2">
      <c r="A45" s="10" t="s">
        <v>772</v>
      </c>
      <c r="B45" s="334" t="s">
        <v>840</v>
      </c>
      <c r="C45" s="313">
        <v>0</v>
      </c>
      <c r="D45" s="92">
        <v>-5.194</v>
      </c>
      <c r="E45" s="93">
        <v>-0.43</v>
      </c>
      <c r="F45" s="94">
        <v>-1.2999999999999999E-2</v>
      </c>
      <c r="G45" s="29">
        <v>116.68</v>
      </c>
      <c r="H45" s="30" t="s">
        <v>840</v>
      </c>
      <c r="I45" s="30" t="s">
        <v>840</v>
      </c>
      <c r="J45" s="27" t="s">
        <v>840</v>
      </c>
      <c r="K45" s="28"/>
    </row>
    <row r="46" spans="1:11" ht="27.75" customHeight="1" x14ac:dyDescent="0.2">
      <c r="A46"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charges_N'; based on connection level, credits may therefore be lower than stated above.</v>
      </c>
    </row>
    <row r="47" spans="1:11" ht="27.75" customHeight="1" x14ac:dyDescent="0.2">
      <c r="A47" s="332" t="s">
        <v>528</v>
      </c>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F9865D4-00B5-4327-847B-3B443B4D87A6}"/>
    <hyperlink ref="A47" location="'Annex 4 LDNO charges_N'!A1" display="Annex 4 LDNO charges_N" xr:uid="{E741539C-39E1-4C91-B132-0491B7BDBE4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pageSetUpPr fitToPage="1"/>
  </sheetPr>
  <dimension ref="A1:T53"/>
  <sheetViews>
    <sheetView zoomScale="70" zoomScaleNormal="70" workbookViewId="0"/>
  </sheetViews>
  <sheetFormatPr defaultColWidth="9.140625" defaultRowHeight="27.75" customHeight="1" x14ac:dyDescent="0.2"/>
  <cols>
    <col min="1" max="1" width="49" style="1" customWidth="1"/>
    <col min="2" max="2" width="40.5703125" style="2" customWidth="1"/>
    <col min="3" max="3" width="12.7109375" style="1" customWidth="1"/>
    <col min="4" max="4" width="17.5703125" style="1" customWidth="1"/>
    <col min="5" max="5" width="20" style="2" bestFit="1" customWidth="1"/>
    <col min="6" max="7" width="17.5703125" style="2" customWidth="1"/>
    <col min="8" max="9" width="17.5703125" style="6" customWidth="1"/>
    <col min="10" max="10" width="19.140625" style="4" bestFit="1" customWidth="1"/>
    <col min="11" max="11" width="18.42578125" style="5" bestFit="1" customWidth="1"/>
    <col min="12" max="12" width="1.42578125" style="99" customWidth="1"/>
    <col min="13" max="13" width="15.5703125" style="343" customWidth="1"/>
    <col min="14" max="16384" width="9.140625" style="1"/>
  </cols>
  <sheetData>
    <row r="1" spans="1:20" ht="27.75" customHeight="1" x14ac:dyDescent="0.2">
      <c r="A1" s="32" t="s">
        <v>19</v>
      </c>
      <c r="B1" s="46"/>
      <c r="C1" s="46"/>
      <c r="D1" s="46"/>
      <c r="E1" s="370" t="s">
        <v>466</v>
      </c>
      <c r="F1" s="370"/>
      <c r="G1" s="370"/>
      <c r="H1" s="370"/>
      <c r="I1" s="370"/>
      <c r="J1" s="370"/>
      <c r="K1" s="370"/>
      <c r="L1" s="243"/>
      <c r="M1" s="342"/>
    </row>
    <row r="2" spans="1:20" ht="27" customHeight="1" x14ac:dyDescent="0.2">
      <c r="A2" s="371" t="str">
        <f>Overview!B4&amp;" - Effective from "&amp;TEXT(Overview!$D$4,"d mmmm yyyy")&amp;" - Final LV and HV charges in SSE SHEPD Area (GSP Group_P)"</f>
        <v>Leep Electricity Networks Limited - Effective from 1 April 2026 - Final LV and HV charges in SSE SHEPD Area (GSP Group_P)</v>
      </c>
      <c r="B2" s="371"/>
      <c r="C2" s="371"/>
      <c r="D2" s="371"/>
      <c r="E2" s="371"/>
      <c r="F2" s="371"/>
      <c r="G2" s="371"/>
      <c r="H2" s="371"/>
      <c r="I2" s="371"/>
      <c r="J2" s="371"/>
      <c r="K2" s="371"/>
    </row>
    <row r="3" spans="1:20" s="41" customFormat="1" ht="15" customHeight="1" x14ac:dyDescent="0.2">
      <c r="A3" s="46"/>
      <c r="B3" s="46"/>
      <c r="C3" s="46"/>
      <c r="D3" s="46"/>
      <c r="E3" s="46"/>
      <c r="F3" s="46"/>
      <c r="G3" s="46"/>
      <c r="H3" s="46"/>
      <c r="I3" s="46"/>
      <c r="J3" s="46"/>
      <c r="K3" s="46"/>
      <c r="L3" s="100"/>
      <c r="M3" s="344"/>
    </row>
    <row r="4" spans="1:20" ht="27" customHeight="1" x14ac:dyDescent="0.2">
      <c r="A4" s="371" t="s">
        <v>308</v>
      </c>
      <c r="B4" s="371"/>
      <c r="C4" s="371"/>
      <c r="D4" s="371"/>
      <c r="E4" s="371"/>
      <c r="F4" s="46"/>
      <c r="G4" s="371" t="s">
        <v>307</v>
      </c>
      <c r="H4" s="371"/>
      <c r="I4" s="371"/>
      <c r="J4" s="371"/>
      <c r="K4" s="371"/>
      <c r="N4" s="395"/>
      <c r="O4" s="396"/>
      <c r="P4" s="396"/>
      <c r="Q4" s="396"/>
      <c r="R4" s="396"/>
      <c r="S4" s="396"/>
      <c r="T4" s="397"/>
    </row>
    <row r="5" spans="1:20" ht="28.5" customHeight="1" x14ac:dyDescent="0.2">
      <c r="A5" s="40" t="s">
        <v>13</v>
      </c>
      <c r="B5" s="258" t="s">
        <v>299</v>
      </c>
      <c r="C5" s="366" t="s">
        <v>300</v>
      </c>
      <c r="D5" s="367"/>
      <c r="E5" s="42" t="s">
        <v>301</v>
      </c>
      <c r="F5" s="46"/>
      <c r="G5" s="368"/>
      <c r="H5" s="369"/>
      <c r="I5" s="44" t="s">
        <v>305</v>
      </c>
      <c r="J5" s="45" t="s">
        <v>306</v>
      </c>
      <c r="K5" s="42" t="s">
        <v>301</v>
      </c>
      <c r="L5" s="46"/>
      <c r="N5" s="396"/>
      <c r="O5" s="396"/>
      <c r="P5" s="396"/>
      <c r="Q5" s="396"/>
      <c r="R5" s="396"/>
      <c r="S5" s="396"/>
      <c r="T5" s="397"/>
    </row>
    <row r="6" spans="1:20" ht="65.25" customHeight="1" x14ac:dyDescent="0.2">
      <c r="A6" s="43" t="s">
        <v>837</v>
      </c>
      <c r="B6" s="13" t="s">
        <v>469</v>
      </c>
      <c r="C6" s="379" t="s">
        <v>840</v>
      </c>
      <c r="D6" s="379"/>
      <c r="E6" s="252" t="s">
        <v>840</v>
      </c>
      <c r="F6" s="46" t="s">
        <v>840</v>
      </c>
      <c r="G6" s="412" t="s">
        <v>843</v>
      </c>
      <c r="H6" s="412"/>
      <c r="I6" s="252" t="s">
        <v>840</v>
      </c>
      <c r="J6" s="250" t="s">
        <v>2149</v>
      </c>
      <c r="K6" s="252" t="s">
        <v>840</v>
      </c>
      <c r="L6" s="46"/>
    </row>
    <row r="7" spans="1:20" ht="65.25" customHeight="1" x14ac:dyDescent="0.2">
      <c r="A7" s="43" t="s">
        <v>837</v>
      </c>
      <c r="B7" s="252" t="s">
        <v>840</v>
      </c>
      <c r="C7" s="389" t="s">
        <v>2150</v>
      </c>
      <c r="D7" s="391"/>
      <c r="E7" s="252" t="s">
        <v>840</v>
      </c>
      <c r="F7" s="46" t="s">
        <v>840</v>
      </c>
      <c r="G7" s="412" t="s">
        <v>303</v>
      </c>
      <c r="H7" s="412"/>
      <c r="I7" s="250" t="s">
        <v>469</v>
      </c>
      <c r="J7" s="250" t="s">
        <v>2150</v>
      </c>
      <c r="K7" s="252" t="s">
        <v>840</v>
      </c>
      <c r="L7" s="46"/>
    </row>
    <row r="8" spans="1:20" ht="42.75" customHeight="1" x14ac:dyDescent="0.2">
      <c r="A8" s="43" t="s">
        <v>837</v>
      </c>
      <c r="B8" s="252" t="s">
        <v>840</v>
      </c>
      <c r="C8" s="379" t="s">
        <v>840</v>
      </c>
      <c r="D8" s="379"/>
      <c r="E8" s="97" t="s">
        <v>2151</v>
      </c>
      <c r="F8" s="46" t="s">
        <v>840</v>
      </c>
      <c r="G8" s="412" t="s">
        <v>2122</v>
      </c>
      <c r="H8" s="412"/>
      <c r="I8" s="252" t="s">
        <v>840</v>
      </c>
      <c r="J8" s="252" t="s">
        <v>840</v>
      </c>
      <c r="K8" s="97" t="s">
        <v>2151</v>
      </c>
      <c r="L8" s="46"/>
    </row>
    <row r="9" spans="1:20" ht="42.75" customHeight="1" x14ac:dyDescent="0.2">
      <c r="A9" s="274" t="s">
        <v>841</v>
      </c>
      <c r="B9" s="252" t="s">
        <v>840</v>
      </c>
      <c r="C9" s="416" t="s">
        <v>2152</v>
      </c>
      <c r="D9" s="416"/>
      <c r="E9" s="97" t="s">
        <v>2153</v>
      </c>
      <c r="F9" s="46" t="s">
        <v>840</v>
      </c>
      <c r="G9" s="412" t="s">
        <v>2074</v>
      </c>
      <c r="H9" s="412"/>
      <c r="I9" s="252" t="s">
        <v>840</v>
      </c>
      <c r="J9" s="250" t="s">
        <v>2152</v>
      </c>
      <c r="K9" s="97" t="s">
        <v>2153</v>
      </c>
      <c r="L9" s="46"/>
      <c r="M9" s="344"/>
    </row>
    <row r="10" spans="1:20" s="41" customFormat="1" ht="27" customHeight="1" x14ac:dyDescent="0.2">
      <c r="A10" s="259" t="s">
        <v>14</v>
      </c>
      <c r="B10" s="402" t="s">
        <v>15</v>
      </c>
      <c r="C10" s="403"/>
      <c r="D10" s="403"/>
      <c r="E10" s="404"/>
      <c r="F10" s="46" t="s">
        <v>840</v>
      </c>
      <c r="G10" s="412" t="s">
        <v>14</v>
      </c>
      <c r="H10" s="412"/>
      <c r="I10" s="417" t="s">
        <v>15</v>
      </c>
      <c r="J10" s="417"/>
      <c r="K10" s="417"/>
      <c r="L10" s="46"/>
      <c r="M10" s="344"/>
    </row>
    <row r="11" spans="1:20" s="41" customFormat="1" ht="13.5" customHeight="1" x14ac:dyDescent="0.2">
      <c r="A11" s="296"/>
      <c r="B11" s="50"/>
      <c r="C11" s="50"/>
      <c r="D11" s="50"/>
      <c r="E11" s="50"/>
      <c r="F11" s="46"/>
      <c r="G11" s="49"/>
      <c r="H11" s="49"/>
      <c r="I11" s="50"/>
      <c r="J11" s="50"/>
      <c r="K11" s="50"/>
      <c r="L11" s="46"/>
      <c r="M11" s="344"/>
    </row>
    <row r="12" spans="1:20" s="41" customFormat="1" ht="13.5" customHeight="1" x14ac:dyDescent="0.2">
      <c r="A12" s="46"/>
      <c r="B12" s="46"/>
      <c r="C12" s="46"/>
      <c r="D12" s="46"/>
      <c r="E12" s="46"/>
      <c r="F12" s="46"/>
      <c r="G12" s="46"/>
      <c r="H12" s="46"/>
      <c r="I12" s="46"/>
      <c r="J12" s="46"/>
      <c r="K12" s="46"/>
      <c r="L12" s="100"/>
      <c r="M12" s="344"/>
    </row>
    <row r="13" spans="1:20" ht="78.75" customHeight="1" x14ac:dyDescent="0.2">
      <c r="A13" s="19" t="s">
        <v>458</v>
      </c>
      <c r="B13" s="16" t="s">
        <v>23</v>
      </c>
      <c r="C13" s="16" t="s">
        <v>24</v>
      </c>
      <c r="D13" s="128" t="s">
        <v>577</v>
      </c>
      <c r="E13" s="128" t="s">
        <v>578</v>
      </c>
      <c r="F13" s="128" t="s">
        <v>579</v>
      </c>
      <c r="G13" s="16" t="s">
        <v>25</v>
      </c>
      <c r="H13" s="16" t="s">
        <v>26</v>
      </c>
      <c r="I13" s="19" t="s">
        <v>459</v>
      </c>
      <c r="J13" s="16" t="s">
        <v>270</v>
      </c>
      <c r="K13" s="16" t="s">
        <v>0</v>
      </c>
    </row>
    <row r="14" spans="1:20" ht="30.2" customHeight="1" x14ac:dyDescent="0.2">
      <c r="A14" s="10" t="s">
        <v>773</v>
      </c>
      <c r="B14" s="334" t="s">
        <v>1200</v>
      </c>
      <c r="C14" s="313" t="s">
        <v>845</v>
      </c>
      <c r="D14" s="92">
        <v>11.446999999999999</v>
      </c>
      <c r="E14" s="93">
        <v>3.9929999999999999</v>
      </c>
      <c r="F14" s="94">
        <v>0.85699999999999998</v>
      </c>
      <c r="G14" s="29">
        <v>11.77</v>
      </c>
      <c r="H14" s="30" t="s">
        <v>840</v>
      </c>
      <c r="I14" s="30" t="s">
        <v>840</v>
      </c>
      <c r="J14" s="27" t="s">
        <v>840</v>
      </c>
      <c r="K14" s="28"/>
    </row>
    <row r="15" spans="1:20" ht="30.2" customHeight="1" x14ac:dyDescent="0.2">
      <c r="A15" s="10" t="s">
        <v>594</v>
      </c>
      <c r="B15" s="334" t="s">
        <v>840</v>
      </c>
      <c r="C15" s="313">
        <v>2</v>
      </c>
      <c r="D15" s="92">
        <v>11.446999999999999</v>
      </c>
      <c r="E15" s="93">
        <v>3.9929999999999999</v>
      </c>
      <c r="F15" s="94">
        <v>0.85699999999999998</v>
      </c>
      <c r="G15" s="30" t="s">
        <v>840</v>
      </c>
      <c r="H15" s="30" t="s">
        <v>840</v>
      </c>
      <c r="I15" s="30" t="s">
        <v>840</v>
      </c>
      <c r="J15" s="27" t="s">
        <v>840</v>
      </c>
      <c r="K15" s="28"/>
    </row>
    <row r="16" spans="1:20" ht="30.2" customHeight="1" x14ac:dyDescent="0.2">
      <c r="A16" s="10" t="s">
        <v>774</v>
      </c>
      <c r="B16" s="334" t="s">
        <v>1201</v>
      </c>
      <c r="C16" s="313" t="s">
        <v>846</v>
      </c>
      <c r="D16" s="92">
        <v>13.842000000000001</v>
      </c>
      <c r="E16" s="93">
        <v>4.8289999999999997</v>
      </c>
      <c r="F16" s="94">
        <v>1.0369999999999999</v>
      </c>
      <c r="G16" s="29">
        <v>27.65</v>
      </c>
      <c r="H16" s="30" t="s">
        <v>840</v>
      </c>
      <c r="I16" s="30" t="s">
        <v>840</v>
      </c>
      <c r="J16" s="27" t="s">
        <v>840</v>
      </c>
      <c r="K16" s="28"/>
    </row>
    <row r="17" spans="1:13" ht="30.2" customHeight="1" x14ac:dyDescent="0.2">
      <c r="A17" s="10" t="s">
        <v>775</v>
      </c>
      <c r="B17" s="334" t="s">
        <v>1202</v>
      </c>
      <c r="C17" s="313" t="s">
        <v>846</v>
      </c>
      <c r="D17" s="92">
        <v>13.842000000000001</v>
      </c>
      <c r="E17" s="93">
        <v>4.8289999999999997</v>
      </c>
      <c r="F17" s="94">
        <v>1.0369999999999999</v>
      </c>
      <c r="G17" s="29">
        <v>25.24</v>
      </c>
      <c r="H17" s="30" t="s">
        <v>840</v>
      </c>
      <c r="I17" s="30" t="s">
        <v>840</v>
      </c>
      <c r="J17" s="27" t="s">
        <v>840</v>
      </c>
      <c r="K17" s="28"/>
    </row>
    <row r="18" spans="1:13" ht="30.2" customHeight="1" x14ac:dyDescent="0.2">
      <c r="A18" s="10" t="s">
        <v>776</v>
      </c>
      <c r="B18" s="334" t="s">
        <v>1203</v>
      </c>
      <c r="C18" s="313" t="s">
        <v>846</v>
      </c>
      <c r="D18" s="92">
        <v>13.842000000000001</v>
      </c>
      <c r="E18" s="93">
        <v>4.8289999999999997</v>
      </c>
      <c r="F18" s="94">
        <v>1.0369999999999999</v>
      </c>
      <c r="G18" s="29">
        <v>13.62</v>
      </c>
      <c r="H18" s="30" t="s">
        <v>840</v>
      </c>
      <c r="I18" s="30" t="s">
        <v>840</v>
      </c>
      <c r="J18" s="27" t="s">
        <v>840</v>
      </c>
      <c r="K18" s="28"/>
    </row>
    <row r="19" spans="1:13" s="3" customFormat="1" ht="30.2" customHeight="1" x14ac:dyDescent="0.2">
      <c r="A19" s="10" t="s">
        <v>777</v>
      </c>
      <c r="B19" s="334" t="s">
        <v>1204</v>
      </c>
      <c r="C19" s="313" t="s">
        <v>846</v>
      </c>
      <c r="D19" s="92">
        <v>13.763</v>
      </c>
      <c r="E19" s="93">
        <v>4.7489999999999997</v>
      </c>
      <c r="F19" s="94">
        <v>0.95699999999999996</v>
      </c>
      <c r="G19" s="29" t="s">
        <v>840</v>
      </c>
      <c r="H19" s="30" t="s">
        <v>840</v>
      </c>
      <c r="I19" s="30" t="s">
        <v>840</v>
      </c>
      <c r="J19" s="27" t="s">
        <v>840</v>
      </c>
      <c r="K19" s="28"/>
      <c r="L19" s="99"/>
      <c r="M19" s="343"/>
    </row>
    <row r="20" spans="1:13" s="3" customFormat="1" ht="30.2" customHeight="1" x14ac:dyDescent="0.2">
      <c r="A20" s="10" t="s">
        <v>778</v>
      </c>
      <c r="B20" s="334" t="s">
        <v>1205</v>
      </c>
      <c r="C20" s="313" t="s">
        <v>846</v>
      </c>
      <c r="D20" s="92">
        <v>13.388999999999999</v>
      </c>
      <c r="E20" s="93">
        <v>4.375</v>
      </c>
      <c r="F20" s="94">
        <v>0.58299999999999996</v>
      </c>
      <c r="G20" s="29" t="s">
        <v>840</v>
      </c>
      <c r="H20" s="30" t="s">
        <v>840</v>
      </c>
      <c r="I20" s="30" t="s">
        <v>840</v>
      </c>
      <c r="J20" s="27" t="s">
        <v>840</v>
      </c>
      <c r="K20" s="28"/>
      <c r="L20" s="99"/>
      <c r="M20" s="343"/>
    </row>
    <row r="21" spans="1:13" s="3" customFormat="1" ht="30.2" customHeight="1" x14ac:dyDescent="0.2">
      <c r="A21" s="10" t="s">
        <v>575</v>
      </c>
      <c r="B21" s="334" t="s">
        <v>840</v>
      </c>
      <c r="C21" s="313">
        <v>4</v>
      </c>
      <c r="D21" s="92">
        <v>13.842000000000001</v>
      </c>
      <c r="E21" s="93">
        <v>4.8289999999999997</v>
      </c>
      <c r="F21" s="94">
        <v>1.0369999999999999</v>
      </c>
      <c r="G21" s="30" t="s">
        <v>840</v>
      </c>
      <c r="H21" s="30" t="s">
        <v>840</v>
      </c>
      <c r="I21" s="30" t="s">
        <v>840</v>
      </c>
      <c r="J21" s="27" t="s">
        <v>840</v>
      </c>
      <c r="K21" s="28"/>
      <c r="L21" s="99"/>
      <c r="M21" s="343"/>
    </row>
    <row r="22" spans="1:13" s="3" customFormat="1" ht="30.2" customHeight="1" x14ac:dyDescent="0.2">
      <c r="A22" s="10" t="s">
        <v>595</v>
      </c>
      <c r="B22" s="334" t="s">
        <v>1206</v>
      </c>
      <c r="C22" s="313">
        <v>0</v>
      </c>
      <c r="D22" s="92">
        <v>8.56</v>
      </c>
      <c r="E22" s="93">
        <v>2.8319999999999999</v>
      </c>
      <c r="F22" s="94">
        <v>0.68300000000000005</v>
      </c>
      <c r="G22" s="29">
        <v>73.17</v>
      </c>
      <c r="H22" s="29">
        <v>13.83</v>
      </c>
      <c r="I22" s="91">
        <v>13.83</v>
      </c>
      <c r="J22" s="26">
        <v>0.442</v>
      </c>
      <c r="K22" s="28"/>
      <c r="L22" s="99"/>
      <c r="M22" s="343"/>
    </row>
    <row r="23" spans="1:13" s="3" customFormat="1" ht="30.2" customHeight="1" x14ac:dyDescent="0.2">
      <c r="A23" s="10" t="s">
        <v>596</v>
      </c>
      <c r="B23" s="334" t="s">
        <v>1207</v>
      </c>
      <c r="C23" s="313">
        <v>0</v>
      </c>
      <c r="D23" s="92">
        <v>8.2230000000000008</v>
      </c>
      <c r="E23" s="93">
        <v>2.496</v>
      </c>
      <c r="F23" s="94">
        <v>0.34599999999999997</v>
      </c>
      <c r="G23" s="29" t="s">
        <v>840</v>
      </c>
      <c r="H23" s="29">
        <v>13.83</v>
      </c>
      <c r="I23" s="91">
        <v>13.83</v>
      </c>
      <c r="J23" s="26">
        <v>0.442</v>
      </c>
      <c r="K23" s="28"/>
      <c r="L23" s="99"/>
      <c r="M23" s="343"/>
    </row>
    <row r="24" spans="1:13" s="3" customFormat="1" ht="30.2" customHeight="1" x14ac:dyDescent="0.2">
      <c r="A24" s="10" t="s">
        <v>597</v>
      </c>
      <c r="B24" s="334" t="s">
        <v>1208</v>
      </c>
      <c r="C24" s="313">
        <v>0</v>
      </c>
      <c r="D24" s="92">
        <v>8.0489999999999995</v>
      </c>
      <c r="E24" s="93">
        <v>2.3210000000000002</v>
      </c>
      <c r="F24" s="94">
        <v>0.29899999999999999</v>
      </c>
      <c r="G24" s="29" t="s">
        <v>840</v>
      </c>
      <c r="H24" s="29">
        <v>13.83</v>
      </c>
      <c r="I24" s="91">
        <v>13.83</v>
      </c>
      <c r="J24" s="26">
        <v>0.442</v>
      </c>
      <c r="K24" s="28"/>
      <c r="L24" s="99"/>
      <c r="M24" s="343"/>
    </row>
    <row r="25" spans="1:13" s="3" customFormat="1" ht="30.2" customHeight="1" x14ac:dyDescent="0.2">
      <c r="A25" s="10" t="s">
        <v>598</v>
      </c>
      <c r="B25" s="334" t="s">
        <v>1209</v>
      </c>
      <c r="C25" s="313">
        <v>0</v>
      </c>
      <c r="D25" s="92">
        <v>7.9480000000000004</v>
      </c>
      <c r="E25" s="93">
        <v>2.2210000000000001</v>
      </c>
      <c r="F25" s="94">
        <v>0.29899999999999999</v>
      </c>
      <c r="G25" s="29" t="s">
        <v>840</v>
      </c>
      <c r="H25" s="29">
        <v>13.83</v>
      </c>
      <c r="I25" s="91">
        <v>13.83</v>
      </c>
      <c r="J25" s="26">
        <v>0.442</v>
      </c>
      <c r="K25" s="28"/>
      <c r="L25" s="99"/>
      <c r="M25" s="343"/>
    </row>
    <row r="26" spans="1:13" s="3" customFormat="1" ht="30.2" customHeight="1" x14ac:dyDescent="0.2">
      <c r="A26" s="10" t="s">
        <v>599</v>
      </c>
      <c r="B26" s="334" t="s">
        <v>1210</v>
      </c>
      <c r="C26" s="313">
        <v>0</v>
      </c>
      <c r="D26" s="92">
        <v>7.85</v>
      </c>
      <c r="E26" s="93">
        <v>2.1219999999999999</v>
      </c>
      <c r="F26" s="94">
        <v>0.29899999999999999</v>
      </c>
      <c r="G26" s="29" t="s">
        <v>840</v>
      </c>
      <c r="H26" s="29">
        <v>13.83</v>
      </c>
      <c r="I26" s="91">
        <v>13.83</v>
      </c>
      <c r="J26" s="26">
        <v>0.442</v>
      </c>
      <c r="K26" s="28"/>
      <c r="L26" s="99"/>
      <c r="M26" s="343"/>
    </row>
    <row r="27" spans="1:13" s="3" customFormat="1" ht="30.2" customHeight="1" x14ac:dyDescent="0.2">
      <c r="A27" s="10" t="s">
        <v>600</v>
      </c>
      <c r="B27" s="334" t="s">
        <v>1211</v>
      </c>
      <c r="C27" s="313">
        <v>0</v>
      </c>
      <c r="D27" s="92">
        <v>3.819</v>
      </c>
      <c r="E27" s="93">
        <v>0.97</v>
      </c>
      <c r="F27" s="94">
        <v>0.38400000000000001</v>
      </c>
      <c r="G27" s="29">
        <v>185.47</v>
      </c>
      <c r="H27" s="29">
        <v>17.97</v>
      </c>
      <c r="I27" s="91">
        <v>17.97</v>
      </c>
      <c r="J27" s="26">
        <v>0.17599999999999999</v>
      </c>
      <c r="K27" s="28"/>
      <c r="L27" s="99"/>
      <c r="M27" s="343"/>
    </row>
    <row r="28" spans="1:13" s="3" customFormat="1" ht="30.2" customHeight="1" x14ac:dyDescent="0.2">
      <c r="A28" s="10" t="s">
        <v>601</v>
      </c>
      <c r="B28" s="334" t="s">
        <v>1212</v>
      </c>
      <c r="C28" s="313">
        <v>0</v>
      </c>
      <c r="D28" s="92">
        <v>3.4830000000000001</v>
      </c>
      <c r="E28" s="93">
        <v>0.63400000000000001</v>
      </c>
      <c r="F28" s="94">
        <v>4.7E-2</v>
      </c>
      <c r="G28" s="29">
        <v>112.3</v>
      </c>
      <c r="H28" s="29">
        <v>17.97</v>
      </c>
      <c r="I28" s="91">
        <v>17.97</v>
      </c>
      <c r="J28" s="26">
        <v>0.17599999999999999</v>
      </c>
      <c r="K28" s="28"/>
      <c r="L28" s="99"/>
      <c r="M28" s="343"/>
    </row>
    <row r="29" spans="1:13" s="3" customFormat="1" ht="30.2" customHeight="1" x14ac:dyDescent="0.2">
      <c r="A29" s="10" t="s">
        <v>602</v>
      </c>
      <c r="B29" s="334" t="s">
        <v>1213</v>
      </c>
      <c r="C29" s="313">
        <v>0</v>
      </c>
      <c r="D29" s="92">
        <v>3.3090000000000002</v>
      </c>
      <c r="E29" s="93">
        <v>0.46</v>
      </c>
      <c r="F29" s="94" t="s">
        <v>840</v>
      </c>
      <c r="G29" s="29">
        <v>112.3</v>
      </c>
      <c r="H29" s="29">
        <v>17.97</v>
      </c>
      <c r="I29" s="91">
        <v>17.97</v>
      </c>
      <c r="J29" s="26">
        <v>0.17599999999999999</v>
      </c>
      <c r="K29" s="28"/>
      <c r="L29" s="99"/>
      <c r="M29" s="343"/>
    </row>
    <row r="30" spans="1:13" s="3" customFormat="1" ht="30.2" customHeight="1" x14ac:dyDescent="0.2">
      <c r="A30" s="10" t="s">
        <v>603</v>
      </c>
      <c r="B30" s="334" t="s">
        <v>1214</v>
      </c>
      <c r="C30" s="313">
        <v>0</v>
      </c>
      <c r="D30" s="92">
        <v>3.2080000000000002</v>
      </c>
      <c r="E30" s="93">
        <v>0.35899999999999999</v>
      </c>
      <c r="F30" s="94" t="s">
        <v>840</v>
      </c>
      <c r="G30" s="29">
        <v>112.3</v>
      </c>
      <c r="H30" s="29">
        <v>17.97</v>
      </c>
      <c r="I30" s="91">
        <v>17.97</v>
      </c>
      <c r="J30" s="26">
        <v>0.17599999999999999</v>
      </c>
      <c r="K30" s="28"/>
      <c r="L30" s="99"/>
      <c r="M30" s="343"/>
    </row>
    <row r="31" spans="1:13" s="3" customFormat="1" ht="30.2" customHeight="1" x14ac:dyDescent="0.2">
      <c r="A31" s="10" t="s">
        <v>604</v>
      </c>
      <c r="B31" s="334" t="s">
        <v>1215</v>
      </c>
      <c r="C31" s="313">
        <v>0</v>
      </c>
      <c r="D31" s="92">
        <v>3.109</v>
      </c>
      <c r="E31" s="93">
        <v>0.26</v>
      </c>
      <c r="F31" s="94" t="s">
        <v>840</v>
      </c>
      <c r="G31" s="29">
        <v>112.3</v>
      </c>
      <c r="H31" s="29">
        <v>17.97</v>
      </c>
      <c r="I31" s="91">
        <v>17.97</v>
      </c>
      <c r="J31" s="26">
        <v>0.17599999999999999</v>
      </c>
      <c r="K31" s="28"/>
      <c r="L31" s="99"/>
      <c r="M31" s="343"/>
    </row>
    <row r="32" spans="1:13" s="3" customFormat="1" ht="30.2" customHeight="1" x14ac:dyDescent="0.2">
      <c r="A32" s="10" t="s">
        <v>605</v>
      </c>
      <c r="B32" s="334" t="s">
        <v>1216</v>
      </c>
      <c r="C32" s="313">
        <v>0</v>
      </c>
      <c r="D32" s="92">
        <v>1.97</v>
      </c>
      <c r="E32" s="93">
        <v>0.52500000000000002</v>
      </c>
      <c r="F32" s="94">
        <v>0.32300000000000001</v>
      </c>
      <c r="G32" s="29">
        <v>821.93</v>
      </c>
      <c r="H32" s="29">
        <v>20.100000000000001</v>
      </c>
      <c r="I32" s="91">
        <v>20.100000000000001</v>
      </c>
      <c r="J32" s="26">
        <v>0.10299999999999999</v>
      </c>
      <c r="K32" s="28"/>
      <c r="L32" s="99"/>
      <c r="M32" s="343"/>
    </row>
    <row r="33" spans="1:13" ht="30.2" customHeight="1" x14ac:dyDescent="0.2">
      <c r="A33" s="10" t="s">
        <v>606</v>
      </c>
      <c r="B33" s="334" t="s">
        <v>1217</v>
      </c>
      <c r="C33" s="313">
        <v>0</v>
      </c>
      <c r="D33" s="92">
        <v>1.97</v>
      </c>
      <c r="E33" s="93">
        <v>0.52500000000000002</v>
      </c>
      <c r="F33" s="94">
        <v>0.32300000000000001</v>
      </c>
      <c r="G33" s="29">
        <v>111.58</v>
      </c>
      <c r="H33" s="29">
        <v>20.100000000000001</v>
      </c>
      <c r="I33" s="91">
        <v>20.100000000000001</v>
      </c>
      <c r="J33" s="26">
        <v>0.10299999999999999</v>
      </c>
      <c r="K33" s="28"/>
    </row>
    <row r="34" spans="1:13" ht="30.2" customHeight="1" x14ac:dyDescent="0.2">
      <c r="A34" s="10" t="s">
        <v>607</v>
      </c>
      <c r="B34" s="334" t="s">
        <v>1218</v>
      </c>
      <c r="C34" s="313">
        <v>0</v>
      </c>
      <c r="D34" s="92">
        <v>1.4630000000000001</v>
      </c>
      <c r="E34" s="93">
        <v>1.7999999999999999E-2</v>
      </c>
      <c r="F34" s="94" t="s">
        <v>840</v>
      </c>
      <c r="G34" s="29" t="s">
        <v>840</v>
      </c>
      <c r="H34" s="29">
        <v>20.100000000000001</v>
      </c>
      <c r="I34" s="91">
        <v>20.100000000000001</v>
      </c>
      <c r="J34" s="26">
        <v>0.10299999999999999</v>
      </c>
      <c r="K34" s="28"/>
    </row>
    <row r="35" spans="1:13" ht="30.2" customHeight="1" x14ac:dyDescent="0.2">
      <c r="A35" s="10" t="s">
        <v>608</v>
      </c>
      <c r="B35" s="334" t="s">
        <v>1219</v>
      </c>
      <c r="C35" s="313">
        <v>0</v>
      </c>
      <c r="D35" s="92">
        <v>0.65700000000000003</v>
      </c>
      <c r="E35" s="93" t="s">
        <v>840</v>
      </c>
      <c r="F35" s="94" t="s">
        <v>840</v>
      </c>
      <c r="G35" s="29" t="s">
        <v>840</v>
      </c>
      <c r="H35" s="29">
        <v>20.100000000000001</v>
      </c>
      <c r="I35" s="91">
        <v>20.100000000000001</v>
      </c>
      <c r="J35" s="26">
        <v>0.10299999999999999</v>
      </c>
      <c r="K35" s="28"/>
    </row>
    <row r="36" spans="1:13" ht="30.2" customHeight="1" x14ac:dyDescent="0.2">
      <c r="A36" s="10" t="s">
        <v>609</v>
      </c>
      <c r="B36" s="334" t="s">
        <v>1220</v>
      </c>
      <c r="C36" s="313">
        <v>0</v>
      </c>
      <c r="D36" s="92" t="s">
        <v>840</v>
      </c>
      <c r="E36" s="93" t="s">
        <v>840</v>
      </c>
      <c r="F36" s="94" t="s">
        <v>840</v>
      </c>
      <c r="G36" s="29" t="s">
        <v>840</v>
      </c>
      <c r="H36" s="29">
        <v>20.100000000000001</v>
      </c>
      <c r="I36" s="91">
        <v>20.100000000000001</v>
      </c>
      <c r="J36" s="26">
        <v>0.10299999999999999</v>
      </c>
      <c r="K36" s="28"/>
    </row>
    <row r="37" spans="1:13" ht="30.2" customHeight="1" x14ac:dyDescent="0.2">
      <c r="A37" s="10" t="s">
        <v>576</v>
      </c>
      <c r="B37" s="334" t="s">
        <v>1221</v>
      </c>
      <c r="C37" s="313" t="s">
        <v>847</v>
      </c>
      <c r="D37" s="95">
        <v>27.663</v>
      </c>
      <c r="E37" s="96">
        <v>8.9700000000000006</v>
      </c>
      <c r="F37" s="94">
        <v>6.8460000000000001</v>
      </c>
      <c r="G37" s="30" t="s">
        <v>840</v>
      </c>
      <c r="H37" s="30" t="s">
        <v>840</v>
      </c>
      <c r="I37" s="30" t="s">
        <v>840</v>
      </c>
      <c r="J37" s="27" t="s">
        <v>840</v>
      </c>
      <c r="K37" s="28"/>
    </row>
    <row r="38" spans="1:13" ht="30.2" customHeight="1" x14ac:dyDescent="0.2">
      <c r="A38" s="10" t="s">
        <v>765</v>
      </c>
      <c r="B38" s="334" t="s">
        <v>1222</v>
      </c>
      <c r="C38" s="313" t="s">
        <v>2118</v>
      </c>
      <c r="D38" s="92">
        <v>-8.3970000000000002</v>
      </c>
      <c r="E38" s="93">
        <v>-2.9289999999999998</v>
      </c>
      <c r="F38" s="94">
        <v>-0.629</v>
      </c>
      <c r="G38" s="29" t="s">
        <v>840</v>
      </c>
      <c r="H38" s="30" t="s">
        <v>840</v>
      </c>
      <c r="I38" s="30" t="s">
        <v>840</v>
      </c>
      <c r="J38" s="27" t="s">
        <v>840</v>
      </c>
      <c r="K38" s="28"/>
    </row>
    <row r="39" spans="1:13" ht="30.2" customHeight="1" x14ac:dyDescent="0.2">
      <c r="A39" s="10" t="s">
        <v>766</v>
      </c>
      <c r="B39" s="334" t="s">
        <v>1223</v>
      </c>
      <c r="C39" s="313" t="s">
        <v>2118</v>
      </c>
      <c r="D39" s="92">
        <v>-7.2679999999999998</v>
      </c>
      <c r="E39" s="93">
        <v>-2.4710000000000001</v>
      </c>
      <c r="F39" s="94">
        <v>-0.56200000000000006</v>
      </c>
      <c r="G39" s="29" t="s">
        <v>840</v>
      </c>
      <c r="H39" s="30" t="s">
        <v>840</v>
      </c>
      <c r="I39" s="30" t="s">
        <v>840</v>
      </c>
      <c r="J39" s="27" t="s">
        <v>840</v>
      </c>
      <c r="K39" s="28"/>
    </row>
    <row r="40" spans="1:13" ht="30.2" customHeight="1" x14ac:dyDescent="0.2">
      <c r="A40" s="10" t="s">
        <v>767</v>
      </c>
      <c r="B40" s="334" t="s">
        <v>1224</v>
      </c>
      <c r="C40" s="313">
        <v>0</v>
      </c>
      <c r="D40" s="92">
        <v>-8.3970000000000002</v>
      </c>
      <c r="E40" s="93">
        <v>-2.9289999999999998</v>
      </c>
      <c r="F40" s="94">
        <v>-0.629</v>
      </c>
      <c r="G40" s="29" t="s">
        <v>840</v>
      </c>
      <c r="H40" s="30" t="s">
        <v>840</v>
      </c>
      <c r="I40" s="30" t="s">
        <v>840</v>
      </c>
      <c r="J40" s="26">
        <v>0.502</v>
      </c>
      <c r="K40" s="28"/>
    </row>
    <row r="41" spans="1:13" ht="30.2" customHeight="1" x14ac:dyDescent="0.2">
      <c r="A41" s="10" t="s">
        <v>768</v>
      </c>
      <c r="B41" s="334" t="s">
        <v>840</v>
      </c>
      <c r="C41" s="313">
        <v>0</v>
      </c>
      <c r="D41" s="92">
        <v>-8.3970000000000002</v>
      </c>
      <c r="E41" s="93">
        <v>-2.9289999999999998</v>
      </c>
      <c r="F41" s="94">
        <v>-0.629</v>
      </c>
      <c r="G41" s="29" t="s">
        <v>840</v>
      </c>
      <c r="H41" s="30" t="s">
        <v>840</v>
      </c>
      <c r="I41" s="30" t="s">
        <v>840</v>
      </c>
      <c r="J41" s="27" t="s">
        <v>840</v>
      </c>
      <c r="K41" s="28"/>
    </row>
    <row r="42" spans="1:13" ht="30.2" customHeight="1" x14ac:dyDescent="0.2">
      <c r="A42" s="10" t="s">
        <v>769</v>
      </c>
      <c r="B42" s="334" t="s">
        <v>840</v>
      </c>
      <c r="C42" s="313">
        <v>0</v>
      </c>
      <c r="D42" s="92">
        <v>-7.2679999999999998</v>
      </c>
      <c r="E42" s="93">
        <v>-2.4710000000000001</v>
      </c>
      <c r="F42" s="94">
        <v>-0.56200000000000006</v>
      </c>
      <c r="G42" s="29" t="s">
        <v>840</v>
      </c>
      <c r="H42" s="30" t="s">
        <v>840</v>
      </c>
      <c r="I42" s="30" t="s">
        <v>840</v>
      </c>
      <c r="J42" s="26">
        <v>0.38400000000000001</v>
      </c>
      <c r="K42" s="28"/>
    </row>
    <row r="43" spans="1:13" ht="30.2" customHeight="1" x14ac:dyDescent="0.2">
      <c r="A43" s="10" t="s">
        <v>770</v>
      </c>
      <c r="B43" s="334" t="s">
        <v>840</v>
      </c>
      <c r="C43" s="313">
        <v>0</v>
      </c>
      <c r="D43" s="92">
        <v>-7.2679999999999998</v>
      </c>
      <c r="E43" s="93">
        <v>-2.4710000000000001</v>
      </c>
      <c r="F43" s="94">
        <v>-0.56200000000000006</v>
      </c>
      <c r="G43" s="29" t="s">
        <v>840</v>
      </c>
      <c r="H43" s="30" t="s">
        <v>840</v>
      </c>
      <c r="I43" s="30" t="s">
        <v>840</v>
      </c>
      <c r="J43" s="27" t="s">
        <v>840</v>
      </c>
      <c r="K43" s="28"/>
    </row>
    <row r="44" spans="1:13" ht="30.2" customHeight="1" x14ac:dyDescent="0.2">
      <c r="A44" s="10" t="s">
        <v>771</v>
      </c>
      <c r="B44" s="334" t="s">
        <v>1225</v>
      </c>
      <c r="C44" s="313">
        <v>0</v>
      </c>
      <c r="D44" s="92">
        <v>-3.3719999999999999</v>
      </c>
      <c r="E44" s="93">
        <v>-0.85699999999999998</v>
      </c>
      <c r="F44" s="94">
        <v>-0.33900000000000002</v>
      </c>
      <c r="G44" s="29">
        <v>1073.07</v>
      </c>
      <c r="H44" s="30" t="s">
        <v>840</v>
      </c>
      <c r="I44" s="30" t="s">
        <v>840</v>
      </c>
      <c r="J44" s="26">
        <v>0.32900000000000001</v>
      </c>
      <c r="K44" s="28"/>
    </row>
    <row r="45" spans="1:13" ht="30.2" customHeight="1" x14ac:dyDescent="0.2">
      <c r="A45" s="10" t="s">
        <v>772</v>
      </c>
      <c r="B45" s="334" t="s">
        <v>840</v>
      </c>
      <c r="C45" s="313">
        <v>0</v>
      </c>
      <c r="D45" s="92">
        <v>-3.3719999999999999</v>
      </c>
      <c r="E45" s="93">
        <v>-0.85699999999999998</v>
      </c>
      <c r="F45" s="94">
        <v>-0.33900000000000002</v>
      </c>
      <c r="G45" s="29">
        <v>1073.07</v>
      </c>
      <c r="H45" s="30" t="s">
        <v>840</v>
      </c>
      <c r="I45" s="30" t="s">
        <v>840</v>
      </c>
      <c r="J45" s="27" t="s">
        <v>840</v>
      </c>
      <c r="K45" s="28"/>
    </row>
    <row r="46" spans="1:13" s="3" customFormat="1" ht="30.2" customHeight="1" x14ac:dyDescent="0.2">
      <c r="A46" s="10" t="s">
        <v>835</v>
      </c>
      <c r="B46" s="334" t="s">
        <v>836</v>
      </c>
      <c r="C46" s="313">
        <v>0</v>
      </c>
      <c r="D46" s="92">
        <v>0.67300000000000004</v>
      </c>
      <c r="E46" s="93">
        <v>0.20799999999999999</v>
      </c>
      <c r="F46" s="94">
        <v>0.25900000000000001</v>
      </c>
      <c r="G46" s="29">
        <v>1380.84</v>
      </c>
      <c r="H46" s="29">
        <v>2.92</v>
      </c>
      <c r="I46" s="91">
        <v>5.21</v>
      </c>
      <c r="J46" s="26" t="s">
        <v>2157</v>
      </c>
      <c r="K46" s="28"/>
      <c r="L46" s="99"/>
      <c r="M46" s="343"/>
    </row>
    <row r="47" spans="1:13" ht="27.75" customHeight="1" x14ac:dyDescent="0.2">
      <c r="A47" s="333" t="str">
        <f>"* The credits paid by LENL to Suppliers are limited to a maximum of the credit received by LENL as set out at 'Annex 4 LDNO charges"&amp;LEFT(RIGHT($A$2,3),2)&amp;"'; based on connection level, credits may therefore be lower than stated above."</f>
        <v>* The credits paid by LENL to Suppliers are limited to a maximum of the credit received by LENL as set out at 'Annex 4 LDNO charges_P'; based on connection level, credits may therefore be lower than stated above.</v>
      </c>
    </row>
    <row r="48" spans="1:13" ht="27.75" customHeight="1" x14ac:dyDescent="0.2">
      <c r="A48" s="332" t="s">
        <v>529</v>
      </c>
    </row>
    <row r="53" spans="2:2" ht="27.75" customHeight="1" x14ac:dyDescent="0.2">
      <c r="B53" s="1"/>
    </row>
  </sheetData>
  <mergeCells count="18">
    <mergeCell ref="N4:T5"/>
    <mergeCell ref="C6:D6"/>
    <mergeCell ref="G6:H6"/>
    <mergeCell ref="C7:D7"/>
    <mergeCell ref="G7:H7"/>
    <mergeCell ref="G8:H8"/>
    <mergeCell ref="B10:E10"/>
    <mergeCell ref="I10:K10"/>
    <mergeCell ref="G10:H10"/>
    <mergeCell ref="C8:D8"/>
    <mergeCell ref="C9:D9"/>
    <mergeCell ref="G9:H9"/>
    <mergeCell ref="E1:K1"/>
    <mergeCell ref="A2:K2"/>
    <mergeCell ref="A4:E4"/>
    <mergeCell ref="G4:K4"/>
    <mergeCell ref="C5:D5"/>
    <mergeCell ref="G5:H5"/>
  </mergeCells>
  <hyperlinks>
    <hyperlink ref="A1" location="Overview!A1" display="Back to Overview" xr:uid="{87C9A8BE-0C5D-4423-B10F-3C2F40BBF2C2}"/>
    <hyperlink ref="A48" location="'Annex 1 LV and HV charges_P'!A1" display="Annex 4 LDNO charges_P" xr:uid="{4C3CBA3B-D17A-483B-A961-CFC67617FD3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7"/>
  <sheetViews>
    <sheetView zoomScale="80" zoomScaleNormal="80" workbookViewId="0"/>
  </sheetViews>
  <sheetFormatPr defaultColWidth="9.140625" defaultRowHeight="27.75" customHeight="1" x14ac:dyDescent="0.2"/>
  <cols>
    <col min="1" max="1" width="8.7109375" style="98" customWidth="1"/>
    <col min="2" max="2" width="17.28515625" style="98" customWidth="1"/>
    <col min="3" max="3" width="8.7109375" style="111" customWidth="1"/>
    <col min="4" max="4" width="17.28515625" style="111" customWidth="1"/>
    <col min="5" max="6" width="15.7109375" style="111" customWidth="1"/>
    <col min="7" max="7" width="15.7109375" style="178" customWidth="1"/>
    <col min="8" max="9" width="15.7109375" style="99" customWidth="1"/>
    <col min="10" max="13" width="15.7109375" style="98" customWidth="1"/>
    <col min="14" max="15" width="15.5703125" style="98" customWidth="1"/>
    <col min="16" max="16" width="11.28515625" style="98" bestFit="1" customWidth="1"/>
    <col min="17" max="16384" width="9.140625" style="98"/>
  </cols>
  <sheetData>
    <row r="1" spans="1:16" ht="66.75" customHeight="1" x14ac:dyDescent="0.2">
      <c r="A1" s="32" t="s">
        <v>19</v>
      </c>
      <c r="B1" s="123"/>
      <c r="C1" s="123"/>
      <c r="D1" s="467" t="s">
        <v>30</v>
      </c>
      <c r="E1" s="467"/>
      <c r="F1" s="467"/>
      <c r="G1" s="467"/>
      <c r="H1" s="467"/>
      <c r="I1" s="467"/>
      <c r="J1" s="467"/>
      <c r="K1" s="467"/>
      <c r="L1" s="467"/>
      <c r="M1" s="467"/>
    </row>
    <row r="2" spans="1:16" s="124" customFormat="1" ht="39.950000000000003" customHeight="1" x14ac:dyDescent="0.2">
      <c r="A2" s="468" t="str">
        <f>Overview!B4&amp; " - Effective from "&amp;TEXT(Overview!$D$4,"d mmmm yyyy")&amp;" - "&amp;Overview!E4&amp;" Schedule of Charges for use of the Distribution System by EHV Properties (including LDNOs with EHV Properties/end-users) in UKPN EPN Area (GSP Group _A)"</f>
        <v>Leep Electricity Networks Limited - Effective from 1 April 2026 - Final Schedule of Charges for use of the Distribution System by EHV Properties (including LDNOs with EHV Properties/end-users) in UKPN EPN Area (GSP Group _A)</v>
      </c>
      <c r="B2" s="468"/>
      <c r="C2" s="468"/>
      <c r="D2" s="468"/>
      <c r="E2" s="468"/>
      <c r="F2" s="468"/>
      <c r="G2" s="468"/>
      <c r="H2" s="468"/>
      <c r="I2" s="468"/>
      <c r="J2" s="468"/>
      <c r="K2" s="468"/>
      <c r="L2" s="468"/>
      <c r="M2" s="468"/>
    </row>
    <row r="3" spans="1:16" s="125" customFormat="1" ht="10.5" customHeight="1" x14ac:dyDescent="0.2">
      <c r="A3" s="47"/>
      <c r="B3" s="47"/>
      <c r="C3" s="47"/>
      <c r="D3" s="47"/>
      <c r="E3" s="47"/>
      <c r="F3" s="47"/>
      <c r="G3" s="47"/>
      <c r="H3" s="47"/>
      <c r="I3" s="47"/>
      <c r="J3" s="47"/>
      <c r="K3" s="47"/>
      <c r="L3" s="47"/>
      <c r="M3" s="47"/>
    </row>
    <row r="4" spans="1:16" s="125" customFormat="1" ht="25.5" customHeight="1" x14ac:dyDescent="0.2">
      <c r="A4" s="464" t="s">
        <v>474</v>
      </c>
      <c r="B4" s="464"/>
      <c r="C4" s="464"/>
      <c r="D4" s="464"/>
      <c r="E4" s="464"/>
      <c r="F4" s="464"/>
      <c r="G4" s="126"/>
      <c r="H4" s="126"/>
      <c r="I4" s="126"/>
      <c r="J4" s="126"/>
      <c r="K4" s="126"/>
      <c r="L4" s="126"/>
      <c r="M4" s="127"/>
    </row>
    <row r="5" spans="1:16" s="125" customFormat="1" ht="25.5" customHeight="1" x14ac:dyDescent="0.2">
      <c r="A5" s="442" t="s">
        <v>13</v>
      </c>
      <c r="B5" s="443"/>
      <c r="C5" s="443"/>
      <c r="D5" s="462" t="s">
        <v>304</v>
      </c>
      <c r="E5" s="462"/>
      <c r="F5" s="462"/>
      <c r="G5" s="126"/>
      <c r="H5" s="126"/>
      <c r="I5" s="126"/>
      <c r="J5" s="126"/>
      <c r="K5" s="126"/>
      <c r="L5" s="126"/>
      <c r="M5" s="127"/>
    </row>
    <row r="6" spans="1:16" s="125" customFormat="1" ht="45" customHeight="1" x14ac:dyDescent="0.2">
      <c r="A6" s="374" t="s">
        <v>303</v>
      </c>
      <c r="B6" s="374"/>
      <c r="C6" s="374"/>
      <c r="D6" s="378" t="s">
        <v>469</v>
      </c>
      <c r="E6" s="378"/>
      <c r="F6" s="378"/>
      <c r="G6" s="126"/>
      <c r="H6" s="126"/>
      <c r="I6" s="126"/>
      <c r="J6" s="126"/>
      <c r="K6" s="126"/>
      <c r="L6" s="126"/>
      <c r="M6" s="127"/>
    </row>
    <row r="7" spans="1:16" s="125" customFormat="1" ht="20.25" customHeight="1" x14ac:dyDescent="0.2">
      <c r="A7" s="374" t="s">
        <v>14</v>
      </c>
      <c r="B7" s="374"/>
      <c r="C7" s="374"/>
      <c r="D7" s="407" t="s">
        <v>470</v>
      </c>
      <c r="E7" s="407"/>
      <c r="F7" s="407"/>
      <c r="G7" s="126"/>
      <c r="H7" s="126"/>
      <c r="I7" s="126"/>
      <c r="J7" s="126"/>
      <c r="K7" s="126"/>
      <c r="L7" s="126"/>
      <c r="M7" s="127"/>
    </row>
    <row r="8" spans="1:16" s="125" customFormat="1" ht="18" customHeight="1" x14ac:dyDescent="0.2">
      <c r="A8" s="126"/>
      <c r="B8" s="126"/>
      <c r="C8" s="126"/>
      <c r="D8" s="126"/>
      <c r="E8" s="126"/>
      <c r="F8" s="126"/>
      <c r="G8" s="126"/>
      <c r="H8" s="126"/>
      <c r="I8" s="126"/>
      <c r="J8" s="126"/>
      <c r="K8" s="126"/>
      <c r="L8" s="126"/>
      <c r="M8" s="127"/>
    </row>
    <row r="9" spans="1:16" s="125" customFormat="1" ht="63.75" customHeight="1" x14ac:dyDescent="0.2">
      <c r="A9" s="33" t="s">
        <v>475</v>
      </c>
      <c r="B9" s="128" t="s">
        <v>286</v>
      </c>
      <c r="C9" s="33" t="s">
        <v>476</v>
      </c>
      <c r="D9" s="128" t="s">
        <v>287</v>
      </c>
      <c r="E9" s="129" t="s">
        <v>29</v>
      </c>
      <c r="F9" s="130" t="s">
        <v>406</v>
      </c>
      <c r="G9" s="129" t="s">
        <v>297</v>
      </c>
      <c r="H9" s="129" t="s">
        <v>404</v>
      </c>
      <c r="I9" s="129" t="s">
        <v>460</v>
      </c>
      <c r="J9" s="129" t="s">
        <v>407</v>
      </c>
      <c r="K9" s="129" t="s">
        <v>298</v>
      </c>
      <c r="L9" s="129" t="s">
        <v>405</v>
      </c>
      <c r="M9" s="129" t="s">
        <v>461</v>
      </c>
    </row>
    <row r="10" spans="1:16" ht="12.75" x14ac:dyDescent="0.2">
      <c r="A10" s="131"/>
      <c r="B10" s="132"/>
      <c r="C10" s="133"/>
      <c r="D10" s="134"/>
      <c r="E10" s="135"/>
      <c r="F10" s="136"/>
      <c r="G10" s="137"/>
      <c r="H10" s="137"/>
      <c r="I10" s="137"/>
      <c r="J10" s="138"/>
      <c r="K10" s="139"/>
      <c r="L10" s="140"/>
      <c r="M10" s="140"/>
      <c r="P10" s="260"/>
    </row>
    <row r="11" spans="1:16" ht="27.75" customHeight="1" x14ac:dyDescent="0.2">
      <c r="A11" s="142"/>
      <c r="B11" s="142"/>
      <c r="C11" s="142"/>
      <c r="D11" s="143"/>
      <c r="E11" s="143"/>
      <c r="F11" s="143"/>
      <c r="G11" s="143"/>
      <c r="H11" s="143"/>
      <c r="I11" s="144"/>
      <c r="J11" s="145"/>
      <c r="K11" s="145"/>
      <c r="L11" s="142"/>
      <c r="M11" s="146"/>
    </row>
    <row r="12" spans="1:16" ht="27.75" customHeight="1" x14ac:dyDescent="0.2">
      <c r="A12" s="142"/>
      <c r="B12" s="142"/>
      <c r="C12" s="142"/>
      <c r="D12" s="143"/>
      <c r="E12" s="143"/>
      <c r="F12" s="143"/>
      <c r="G12" s="143"/>
      <c r="H12" s="143"/>
      <c r="I12" s="144"/>
      <c r="J12" s="145"/>
      <c r="K12" s="145"/>
      <c r="L12" s="142"/>
      <c r="M12" s="146"/>
    </row>
    <row r="13" spans="1:16" ht="39.950000000000003" customHeight="1" x14ac:dyDescent="0.2">
      <c r="A13" s="382" t="str">
        <f>Overview!B4&amp;" - Effective from "&amp;TEXT(Overview!$D$4,"d mmmm yyyy")&amp;" - Final Schedule of Charges for use of the Distribution System by EHV Properties (including LDNOs with EHV Properties/end-users) in WPD EM Area (GSP Group_B)"</f>
        <v>Leep Electricity Networks Limited - Effective from 1 April 2026 - Final Schedule of Charges for use of the Distribution System by EHV Properties (including LDNOs with EHV Properties/end-users) in WPD EM Area (GSP Group_B)</v>
      </c>
      <c r="B13" s="383"/>
      <c r="C13" s="383"/>
      <c r="D13" s="383"/>
      <c r="E13" s="383"/>
      <c r="F13" s="383"/>
      <c r="G13" s="383"/>
      <c r="H13" s="383"/>
      <c r="I13" s="383"/>
      <c r="J13" s="383"/>
      <c r="K13" s="383"/>
      <c r="L13" s="431"/>
      <c r="M13" s="432"/>
    </row>
    <row r="14" spans="1:16" ht="27.75" customHeight="1" x14ac:dyDescent="0.2">
      <c r="A14" s="126"/>
      <c r="B14" s="126"/>
      <c r="C14" s="126"/>
      <c r="D14" s="126"/>
      <c r="E14" s="126"/>
      <c r="F14" s="126"/>
      <c r="G14" s="126"/>
      <c r="H14" s="126"/>
      <c r="I14" s="126"/>
      <c r="J14" s="126"/>
      <c r="K14" s="126"/>
      <c r="L14" s="126"/>
      <c r="M14" s="126"/>
    </row>
    <row r="15" spans="1:16" ht="27.75" customHeight="1" x14ac:dyDescent="0.2">
      <c r="A15" s="464" t="s">
        <v>474</v>
      </c>
      <c r="B15" s="464"/>
      <c r="C15" s="464"/>
      <c r="D15" s="464"/>
      <c r="E15" s="464"/>
      <c r="F15" s="464"/>
      <c r="G15" s="126"/>
      <c r="H15" s="126"/>
      <c r="I15" s="126"/>
      <c r="J15" s="126"/>
      <c r="K15" s="126"/>
      <c r="L15" s="126"/>
      <c r="M15" s="126"/>
    </row>
    <row r="16" spans="1:16" ht="27.75" customHeight="1" x14ac:dyDescent="0.2">
      <c r="A16" s="442" t="s">
        <v>13</v>
      </c>
      <c r="B16" s="443"/>
      <c r="C16" s="443"/>
      <c r="D16" s="439" t="s">
        <v>304</v>
      </c>
      <c r="E16" s="440"/>
      <c r="F16" s="441"/>
      <c r="G16" s="126"/>
      <c r="H16" s="126"/>
      <c r="I16" s="126"/>
      <c r="J16" s="126"/>
      <c r="K16" s="126"/>
      <c r="L16" s="126"/>
      <c r="M16" s="126"/>
    </row>
    <row r="17" spans="1:13" ht="45" customHeight="1" x14ac:dyDescent="0.2">
      <c r="A17" s="412" t="s">
        <v>472</v>
      </c>
      <c r="B17" s="412"/>
      <c r="C17" s="412"/>
      <c r="D17" s="389" t="s">
        <v>471</v>
      </c>
      <c r="E17" s="390"/>
      <c r="F17" s="391"/>
      <c r="G17" s="126"/>
      <c r="H17" s="126"/>
      <c r="I17" s="126"/>
      <c r="J17" s="126"/>
      <c r="K17" s="126"/>
      <c r="L17" s="126"/>
      <c r="M17" s="126"/>
    </row>
    <row r="18" spans="1:13" ht="20.25" customHeight="1" x14ac:dyDescent="0.2">
      <c r="A18" s="412" t="s">
        <v>14</v>
      </c>
      <c r="B18" s="412"/>
      <c r="C18" s="412"/>
      <c r="D18" s="389" t="s">
        <v>15</v>
      </c>
      <c r="E18" s="390"/>
      <c r="F18" s="391"/>
      <c r="G18" s="126"/>
      <c r="H18" s="126"/>
      <c r="I18" s="126"/>
      <c r="J18" s="126"/>
      <c r="K18" s="126"/>
      <c r="L18" s="126"/>
      <c r="M18" s="126"/>
    </row>
    <row r="19" spans="1:13" ht="27.75" customHeight="1" x14ac:dyDescent="0.2">
      <c r="A19" s="126"/>
      <c r="B19" s="126"/>
      <c r="C19" s="126"/>
      <c r="D19" s="126"/>
      <c r="E19" s="126"/>
      <c r="F19" s="126"/>
      <c r="G19" s="126"/>
      <c r="H19" s="126"/>
      <c r="I19" s="126"/>
      <c r="J19" s="126"/>
      <c r="K19" s="126"/>
      <c r="L19" s="126"/>
      <c r="M19" s="126"/>
    </row>
    <row r="20" spans="1:13" ht="63.75" customHeight="1" x14ac:dyDescent="0.2">
      <c r="A20" s="33" t="s">
        <v>475</v>
      </c>
      <c r="B20" s="128" t="s">
        <v>286</v>
      </c>
      <c r="C20" s="33" t="s">
        <v>476</v>
      </c>
      <c r="D20" s="128" t="s">
        <v>287</v>
      </c>
      <c r="E20" s="129" t="s">
        <v>29</v>
      </c>
      <c r="F20" s="130" t="s">
        <v>406</v>
      </c>
      <c r="G20" s="129" t="s">
        <v>297</v>
      </c>
      <c r="H20" s="129" t="s">
        <v>404</v>
      </c>
      <c r="I20" s="129" t="s">
        <v>460</v>
      </c>
      <c r="J20" s="129" t="s">
        <v>407</v>
      </c>
      <c r="K20" s="129" t="s">
        <v>298</v>
      </c>
      <c r="L20" s="129" t="s">
        <v>405</v>
      </c>
      <c r="M20" s="129" t="s">
        <v>461</v>
      </c>
    </row>
    <row r="21" spans="1:13" ht="15" customHeight="1" x14ac:dyDescent="0.2">
      <c r="A21" s="147"/>
      <c r="B21" s="148"/>
      <c r="C21" s="149"/>
      <c r="D21" s="148"/>
      <c r="E21" s="150"/>
      <c r="F21" s="151"/>
      <c r="G21" s="152"/>
      <c r="H21" s="152"/>
      <c r="I21" s="152"/>
      <c r="J21" s="153"/>
      <c r="K21" s="154"/>
      <c r="L21" s="154"/>
      <c r="M21" s="154"/>
    </row>
    <row r="22" spans="1:13" ht="27.75" customHeight="1" x14ac:dyDescent="0.2">
      <c r="A22" s="142"/>
      <c r="B22" s="142"/>
      <c r="C22" s="142"/>
      <c r="D22" s="143"/>
      <c r="E22" s="143"/>
      <c r="F22" s="143"/>
      <c r="G22" s="143"/>
      <c r="H22" s="143"/>
      <c r="I22" s="144"/>
      <c r="J22" s="145"/>
      <c r="K22" s="145"/>
      <c r="L22" s="142"/>
      <c r="M22" s="146"/>
    </row>
    <row r="23" spans="1:13" ht="27.75" customHeight="1" x14ac:dyDescent="0.2">
      <c r="A23" s="142"/>
      <c r="B23" s="142"/>
      <c r="C23" s="142"/>
      <c r="D23" s="143"/>
      <c r="E23" s="143"/>
      <c r="F23" s="143"/>
      <c r="G23" s="143"/>
      <c r="H23" s="143"/>
      <c r="I23" s="144"/>
      <c r="J23" s="145"/>
      <c r="K23" s="145"/>
      <c r="L23" s="142"/>
      <c r="M23" s="146"/>
    </row>
    <row r="24" spans="1:13" ht="39.950000000000003" customHeight="1" x14ac:dyDescent="0.2">
      <c r="A24" s="382" t="str">
        <f>Overview!B4&amp;" - Effective from "&amp;TEXT(Overview!$D$4,"d mmmm yyyy")&amp;" - Final Schedule of Charges for use of the Distribution System by EHV Properties (including LDNOs with EHV Properties/end-users) in UKPN LPN Area (GSP Group_C)"</f>
        <v>Leep Electricity Networks Limited - Effective from 1 April 2026 - Final Schedule of Charges for use of the Distribution System by EHV Properties (including LDNOs with EHV Properties/end-users) in UKPN LPN Area (GSP Group_C)</v>
      </c>
      <c r="B24" s="383"/>
      <c r="C24" s="383"/>
      <c r="D24" s="383"/>
      <c r="E24" s="383"/>
      <c r="F24" s="383"/>
      <c r="G24" s="383"/>
      <c r="H24" s="383"/>
      <c r="I24" s="383"/>
      <c r="J24" s="383"/>
      <c r="K24" s="383"/>
      <c r="L24" s="431"/>
      <c r="M24" s="432"/>
    </row>
    <row r="25" spans="1:13" ht="27.75" customHeight="1" x14ac:dyDescent="0.2">
      <c r="A25" s="126"/>
      <c r="B25" s="126"/>
      <c r="C25" s="126"/>
      <c r="D25" s="126"/>
      <c r="E25" s="126"/>
      <c r="F25" s="126"/>
      <c r="G25" s="126"/>
      <c r="H25" s="126"/>
      <c r="I25" s="126"/>
      <c r="J25" s="126"/>
      <c r="K25" s="126"/>
      <c r="L25" s="126"/>
      <c r="M25" s="126"/>
    </row>
    <row r="26" spans="1:13" ht="27.75" customHeight="1" x14ac:dyDescent="0.2">
      <c r="A26" s="464" t="s">
        <v>474</v>
      </c>
      <c r="B26" s="464"/>
      <c r="C26" s="464"/>
      <c r="D26" s="464"/>
      <c r="E26" s="464"/>
      <c r="F26" s="464"/>
      <c r="G26" s="126"/>
      <c r="H26" s="126"/>
      <c r="I26" s="126"/>
      <c r="J26" s="126"/>
      <c r="K26" s="126"/>
      <c r="L26" s="126"/>
      <c r="M26" s="126"/>
    </row>
    <row r="27" spans="1:13" ht="27.75" customHeight="1" x14ac:dyDescent="0.2">
      <c r="A27" s="456" t="s">
        <v>13</v>
      </c>
      <c r="B27" s="457"/>
      <c r="C27" s="457"/>
      <c r="D27" s="466" t="s">
        <v>304</v>
      </c>
      <c r="E27" s="466"/>
      <c r="F27" s="466"/>
      <c r="G27" s="126"/>
      <c r="H27" s="126"/>
      <c r="I27" s="126"/>
      <c r="J27" s="126"/>
      <c r="K27" s="126"/>
      <c r="L27" s="126"/>
      <c r="M27" s="126"/>
    </row>
    <row r="28" spans="1:13" ht="45" customHeight="1" x14ac:dyDescent="0.2">
      <c r="A28" s="374" t="s">
        <v>302</v>
      </c>
      <c r="B28" s="374"/>
      <c r="C28" s="374"/>
      <c r="D28" s="378" t="s">
        <v>473</v>
      </c>
      <c r="E28" s="378"/>
      <c r="F28" s="378"/>
      <c r="G28" s="126"/>
      <c r="H28" s="126"/>
      <c r="I28" s="126"/>
      <c r="J28" s="126"/>
      <c r="K28" s="126"/>
      <c r="L28" s="126"/>
      <c r="M28" s="126"/>
    </row>
    <row r="29" spans="1:13" ht="45" customHeight="1" x14ac:dyDescent="0.2">
      <c r="A29" s="374" t="s">
        <v>303</v>
      </c>
      <c r="B29" s="374"/>
      <c r="C29" s="374"/>
      <c r="D29" s="378" t="s">
        <v>469</v>
      </c>
      <c r="E29" s="378"/>
      <c r="F29" s="378"/>
      <c r="G29" s="126"/>
      <c r="H29" s="126"/>
      <c r="I29" s="126"/>
      <c r="J29" s="126"/>
      <c r="K29" s="126"/>
      <c r="L29" s="126"/>
      <c r="M29" s="126"/>
    </row>
    <row r="30" spans="1:13" ht="20.25" customHeight="1" x14ac:dyDescent="0.2">
      <c r="A30" s="374" t="s">
        <v>14</v>
      </c>
      <c r="B30" s="374"/>
      <c r="C30" s="374"/>
      <c r="D30" s="407" t="s">
        <v>470</v>
      </c>
      <c r="E30" s="407"/>
      <c r="F30" s="407"/>
      <c r="G30" s="126"/>
      <c r="H30" s="126"/>
      <c r="I30" s="126"/>
      <c r="J30" s="126"/>
      <c r="K30" s="126"/>
      <c r="L30" s="126"/>
      <c r="M30" s="126"/>
    </row>
    <row r="31" spans="1:13" ht="27.75" customHeight="1" x14ac:dyDescent="0.2">
      <c r="A31" s="126"/>
      <c r="B31" s="126"/>
      <c r="C31" s="126"/>
      <c r="D31" s="126"/>
      <c r="E31" s="126"/>
      <c r="F31" s="126"/>
      <c r="G31" s="126"/>
      <c r="H31" s="126"/>
      <c r="I31" s="126"/>
      <c r="J31" s="126"/>
      <c r="K31" s="126"/>
      <c r="L31" s="126"/>
      <c r="M31" s="126"/>
    </row>
    <row r="32" spans="1:13" ht="63.75" customHeight="1" x14ac:dyDescent="0.2">
      <c r="A32" s="33" t="s">
        <v>475</v>
      </c>
      <c r="B32" s="128" t="s">
        <v>286</v>
      </c>
      <c r="C32" s="33" t="s">
        <v>476</v>
      </c>
      <c r="D32" s="128" t="s">
        <v>287</v>
      </c>
      <c r="E32" s="129" t="s">
        <v>29</v>
      </c>
      <c r="F32" s="130" t="s">
        <v>406</v>
      </c>
      <c r="G32" s="129" t="s">
        <v>297</v>
      </c>
      <c r="H32" s="129" t="s">
        <v>404</v>
      </c>
      <c r="I32" s="129" t="s">
        <v>460</v>
      </c>
      <c r="J32" s="129" t="s">
        <v>407</v>
      </c>
      <c r="K32" s="129" t="s">
        <v>298</v>
      </c>
      <c r="L32" s="129" t="s">
        <v>405</v>
      </c>
      <c r="M32" s="129" t="s">
        <v>461</v>
      </c>
    </row>
    <row r="33" spans="1:13" ht="15" customHeight="1" x14ac:dyDescent="0.2">
      <c r="A33" s="147"/>
      <c r="B33" s="155"/>
      <c r="C33" s="149"/>
      <c r="D33" s="148"/>
      <c r="E33" s="150"/>
      <c r="F33" s="156"/>
      <c r="G33" s="157"/>
      <c r="H33" s="157"/>
      <c r="I33" s="157"/>
      <c r="J33" s="158"/>
      <c r="K33" s="139"/>
      <c r="L33" s="159"/>
      <c r="M33" s="159"/>
    </row>
    <row r="34" spans="1:13" ht="27.75" customHeight="1" x14ac:dyDescent="0.2">
      <c r="A34" s="142"/>
      <c r="B34" s="142"/>
      <c r="C34" s="142"/>
      <c r="D34" s="143"/>
      <c r="E34" s="143"/>
      <c r="F34" s="143"/>
      <c r="G34" s="143"/>
      <c r="H34" s="143"/>
      <c r="I34" s="144"/>
      <c r="J34" s="145"/>
      <c r="K34" s="145"/>
      <c r="L34" s="142"/>
      <c r="M34" s="146"/>
    </row>
    <row r="35" spans="1:13" ht="27.75" customHeight="1" x14ac:dyDescent="0.2">
      <c r="A35" s="142"/>
      <c r="B35" s="142"/>
      <c r="C35" s="142"/>
      <c r="D35" s="143"/>
      <c r="E35" s="143"/>
      <c r="F35" s="143"/>
      <c r="G35" s="143"/>
      <c r="H35" s="143"/>
      <c r="I35" s="144"/>
      <c r="J35" s="145"/>
      <c r="K35" s="145"/>
      <c r="L35" s="142"/>
      <c r="M35" s="146"/>
    </row>
    <row r="36" spans="1:13" ht="39.950000000000003" customHeight="1" x14ac:dyDescent="0.2">
      <c r="A36" s="382" t="str">
        <f>Overview!B4&amp;" - Effective from "&amp;TEXT(Overview!$D$4,"d mmmm yyyy")&amp;" - Final Schedule of Charges for use of the Distribution System by EHV Properties (including LDNOs with EHV Properties/end-users) in SP Manweb Area (GSP Group_D)"</f>
        <v>Leep Electricity Networks Limited - Effective from 1 April 2026 - Final Schedule of Charges for use of the Distribution System by EHV Properties (including LDNOs with EHV Properties/end-users) in SP Manweb Area (GSP Group_D)</v>
      </c>
      <c r="B36" s="383"/>
      <c r="C36" s="383"/>
      <c r="D36" s="383"/>
      <c r="E36" s="383"/>
      <c r="F36" s="383"/>
      <c r="G36" s="383"/>
      <c r="H36" s="383"/>
      <c r="I36" s="383"/>
      <c r="J36" s="383"/>
      <c r="K36" s="383"/>
      <c r="L36" s="431"/>
      <c r="M36" s="432"/>
    </row>
    <row r="37" spans="1:13" ht="27.75" customHeight="1" x14ac:dyDescent="0.2">
      <c r="A37" s="126"/>
      <c r="B37" s="126"/>
      <c r="C37" s="126"/>
      <c r="D37" s="126"/>
      <c r="E37" s="126"/>
      <c r="F37" s="126"/>
      <c r="G37" s="126"/>
      <c r="H37" s="126"/>
      <c r="I37" s="126"/>
      <c r="J37" s="126"/>
      <c r="K37" s="126"/>
      <c r="L37" s="126"/>
      <c r="M37" s="126"/>
    </row>
    <row r="38" spans="1:13" ht="27.75" customHeight="1" x14ac:dyDescent="0.2">
      <c r="A38" s="464" t="s">
        <v>474</v>
      </c>
      <c r="B38" s="464"/>
      <c r="C38" s="464"/>
      <c r="D38" s="464"/>
      <c r="E38" s="464"/>
      <c r="F38" s="464"/>
      <c r="G38" s="126"/>
      <c r="H38" s="126"/>
      <c r="I38" s="126"/>
      <c r="J38" s="126"/>
      <c r="K38" s="126"/>
      <c r="L38" s="126"/>
      <c r="M38" s="126"/>
    </row>
    <row r="39" spans="1:13" ht="27.75" customHeight="1" x14ac:dyDescent="0.2">
      <c r="A39" s="442" t="s">
        <v>13</v>
      </c>
      <c r="B39" s="443"/>
      <c r="C39" s="443"/>
      <c r="D39" s="462" t="s">
        <v>304</v>
      </c>
      <c r="E39" s="462"/>
      <c r="F39" s="462"/>
      <c r="G39" s="126"/>
      <c r="H39" s="126"/>
      <c r="I39" s="126"/>
      <c r="J39" s="126"/>
      <c r="K39" s="126"/>
      <c r="L39" s="126"/>
      <c r="M39" s="126"/>
    </row>
    <row r="40" spans="1:13" ht="45" customHeight="1" x14ac:dyDescent="0.2">
      <c r="A40" s="412" t="s">
        <v>302</v>
      </c>
      <c r="B40" s="412"/>
      <c r="C40" s="412"/>
      <c r="D40" s="463"/>
      <c r="E40" s="463"/>
      <c r="F40" s="463"/>
      <c r="G40" s="126"/>
      <c r="H40" s="126"/>
      <c r="I40" s="126"/>
      <c r="J40" s="126"/>
      <c r="K40" s="126"/>
      <c r="L40" s="126"/>
      <c r="M40" s="126"/>
    </row>
    <row r="41" spans="1:13" ht="45" customHeight="1" x14ac:dyDescent="0.2">
      <c r="A41" s="412" t="s">
        <v>303</v>
      </c>
      <c r="B41" s="412"/>
      <c r="C41" s="412"/>
      <c r="D41" s="389" t="s">
        <v>477</v>
      </c>
      <c r="E41" s="390"/>
      <c r="F41" s="391"/>
      <c r="G41" s="126"/>
      <c r="H41" s="126"/>
      <c r="I41" s="126"/>
      <c r="J41" s="126"/>
      <c r="K41" s="126"/>
      <c r="L41" s="126"/>
      <c r="M41" s="126"/>
    </row>
    <row r="42" spans="1:13" ht="20.25" customHeight="1" x14ac:dyDescent="0.2">
      <c r="A42" s="412" t="s">
        <v>14</v>
      </c>
      <c r="B42" s="412"/>
      <c r="C42" s="412"/>
      <c r="D42" s="378" t="s">
        <v>15</v>
      </c>
      <c r="E42" s="378"/>
      <c r="F42" s="378"/>
      <c r="G42" s="126"/>
      <c r="H42" s="126"/>
      <c r="I42" s="126"/>
      <c r="J42" s="126"/>
      <c r="K42" s="126"/>
      <c r="L42" s="126"/>
      <c r="M42" s="126"/>
    </row>
    <row r="43" spans="1:13" ht="27.75" customHeight="1" x14ac:dyDescent="0.2">
      <c r="A43" s="126"/>
      <c r="B43" s="126"/>
      <c r="C43" s="126"/>
      <c r="D43" s="126"/>
      <c r="E43" s="126"/>
      <c r="F43" s="126"/>
      <c r="G43" s="126"/>
      <c r="H43" s="126"/>
      <c r="I43" s="126"/>
      <c r="J43" s="126"/>
      <c r="K43" s="126"/>
      <c r="L43" s="126"/>
      <c r="M43" s="126"/>
    </row>
    <row r="44" spans="1:13" ht="63.75" customHeight="1" x14ac:dyDescent="0.2">
      <c r="A44" s="33" t="s">
        <v>475</v>
      </c>
      <c r="B44" s="128" t="s">
        <v>286</v>
      </c>
      <c r="C44" s="33" t="s">
        <v>476</v>
      </c>
      <c r="D44" s="128" t="s">
        <v>287</v>
      </c>
      <c r="E44" s="129" t="s">
        <v>29</v>
      </c>
      <c r="F44" s="130" t="s">
        <v>406</v>
      </c>
      <c r="G44" s="129" t="s">
        <v>297</v>
      </c>
      <c r="H44" s="129" t="s">
        <v>404</v>
      </c>
      <c r="I44" s="129" t="s">
        <v>460</v>
      </c>
      <c r="J44" s="129" t="s">
        <v>407</v>
      </c>
      <c r="K44" s="129" t="s">
        <v>298</v>
      </c>
      <c r="L44" s="129" t="s">
        <v>405</v>
      </c>
      <c r="M44" s="129" t="s">
        <v>461</v>
      </c>
    </row>
    <row r="45" spans="1:13" ht="15" customHeight="1" x14ac:dyDescent="0.2">
      <c r="A45" s="147"/>
      <c r="B45" s="148"/>
      <c r="C45" s="149"/>
      <c r="D45" s="148"/>
      <c r="E45" s="150"/>
      <c r="F45" s="151"/>
      <c r="G45" s="152"/>
      <c r="H45" s="152"/>
      <c r="I45" s="152"/>
      <c r="J45" s="153"/>
      <c r="K45" s="154"/>
      <c r="L45" s="154"/>
      <c r="M45" s="154"/>
    </row>
    <row r="46" spans="1:13" ht="27.75" customHeight="1" x14ac:dyDescent="0.2">
      <c r="A46" s="142"/>
      <c r="B46" s="142"/>
      <c r="C46" s="142"/>
      <c r="D46" s="143"/>
      <c r="E46" s="143"/>
      <c r="F46" s="143"/>
      <c r="G46" s="143"/>
      <c r="H46" s="143"/>
      <c r="I46" s="144"/>
      <c r="J46" s="145"/>
      <c r="K46" s="145"/>
      <c r="L46" s="142"/>
      <c r="M46" s="146"/>
    </row>
    <row r="47" spans="1:13" ht="27.75" customHeight="1" x14ac:dyDescent="0.2">
      <c r="A47" s="142"/>
      <c r="B47" s="142"/>
      <c r="C47" s="142"/>
      <c r="D47" s="143"/>
      <c r="E47" s="143"/>
      <c r="F47" s="143"/>
      <c r="G47" s="143"/>
      <c r="H47" s="143"/>
      <c r="I47" s="144"/>
      <c r="J47" s="145"/>
      <c r="K47" s="145"/>
      <c r="L47" s="142"/>
      <c r="M47" s="146"/>
    </row>
    <row r="48" spans="1:13" ht="39.950000000000003" customHeight="1" x14ac:dyDescent="0.2">
      <c r="A48" s="382" t="str">
        <f>Overview!B4&amp;" - Effective from "&amp;TEXT(Overview!$D$4,"d mmmm yyyy")&amp;" - Final Schedule of Charges for use of the Distribution System by EHV Properties (including LDNOs with EHV Properties/end-users) in WPD West Midlands Area (GSP Group_E)"</f>
        <v>Leep Electricity Networks Limited - Effective from 1 April 2026 - Final Schedule of Charges for use of the Distribution System by EHV Properties (including LDNOs with EHV Properties/end-users) in WPD West Midlands Area (GSP Group_E)</v>
      </c>
      <c r="B48" s="383"/>
      <c r="C48" s="383"/>
      <c r="D48" s="383"/>
      <c r="E48" s="383"/>
      <c r="F48" s="383"/>
      <c r="G48" s="383"/>
      <c r="H48" s="383"/>
      <c r="I48" s="383"/>
      <c r="J48" s="383"/>
      <c r="K48" s="383"/>
      <c r="L48" s="431"/>
      <c r="M48" s="432"/>
    </row>
    <row r="49" spans="1:13" ht="27.75" customHeight="1" x14ac:dyDescent="0.2">
      <c r="A49" s="126"/>
      <c r="B49" s="126"/>
      <c r="C49" s="126"/>
      <c r="D49" s="126"/>
      <c r="E49" s="126"/>
      <c r="F49" s="126"/>
      <c r="G49" s="126"/>
      <c r="H49" s="126"/>
      <c r="I49" s="126"/>
      <c r="J49" s="126"/>
      <c r="K49" s="126"/>
      <c r="L49" s="126"/>
      <c r="M49" s="126"/>
    </row>
    <row r="50" spans="1:13" ht="27.75" customHeight="1" x14ac:dyDescent="0.2">
      <c r="A50" s="464" t="s">
        <v>474</v>
      </c>
      <c r="B50" s="464"/>
      <c r="C50" s="464"/>
      <c r="D50" s="464"/>
      <c r="E50" s="464"/>
      <c r="F50" s="464"/>
      <c r="G50" s="126"/>
      <c r="H50" s="126"/>
      <c r="I50" s="126"/>
      <c r="J50" s="126"/>
      <c r="K50" s="126"/>
      <c r="L50" s="126"/>
      <c r="M50" s="126"/>
    </row>
    <row r="51" spans="1:13" ht="27.75" customHeight="1" x14ac:dyDescent="0.2">
      <c r="A51" s="447" t="s">
        <v>13</v>
      </c>
      <c r="B51" s="448"/>
      <c r="C51" s="448"/>
      <c r="D51" s="449" t="s">
        <v>304</v>
      </c>
      <c r="E51" s="450"/>
      <c r="F51" s="451"/>
      <c r="G51" s="126"/>
      <c r="H51" s="126"/>
      <c r="I51" s="126"/>
      <c r="J51" s="126"/>
      <c r="K51" s="126"/>
      <c r="L51" s="126"/>
      <c r="M51" s="126"/>
    </row>
    <row r="52" spans="1:13" ht="45" customHeight="1" x14ac:dyDescent="0.2">
      <c r="A52" s="412" t="s">
        <v>472</v>
      </c>
      <c r="B52" s="412"/>
      <c r="C52" s="412"/>
      <c r="D52" s="389" t="s">
        <v>471</v>
      </c>
      <c r="E52" s="390"/>
      <c r="F52" s="391"/>
      <c r="G52" s="126"/>
      <c r="H52" s="126"/>
      <c r="I52" s="126"/>
      <c r="J52" s="126"/>
      <c r="K52" s="126"/>
      <c r="L52" s="126"/>
      <c r="M52" s="126"/>
    </row>
    <row r="53" spans="1:13" ht="20.25" customHeight="1" x14ac:dyDescent="0.2">
      <c r="A53" s="412" t="s">
        <v>14</v>
      </c>
      <c r="B53" s="412"/>
      <c r="C53" s="412"/>
      <c r="D53" s="389" t="s">
        <v>15</v>
      </c>
      <c r="E53" s="390"/>
      <c r="F53" s="391"/>
      <c r="G53" s="126"/>
      <c r="H53" s="126"/>
      <c r="I53" s="126"/>
      <c r="J53" s="126"/>
      <c r="K53" s="126"/>
      <c r="L53" s="126"/>
      <c r="M53" s="126"/>
    </row>
    <row r="54" spans="1:13" ht="27.75" customHeight="1" x14ac:dyDescent="0.2">
      <c r="A54" s="453"/>
      <c r="B54" s="453"/>
      <c r="C54" s="453"/>
      <c r="D54" s="465"/>
      <c r="E54" s="465"/>
      <c r="F54" s="465"/>
      <c r="G54" s="126"/>
      <c r="H54" s="126"/>
      <c r="I54" s="126"/>
      <c r="J54" s="126"/>
      <c r="K54" s="126"/>
      <c r="L54" s="126"/>
      <c r="M54" s="126"/>
    </row>
    <row r="55" spans="1:13" ht="63.75" customHeight="1" x14ac:dyDescent="0.2">
      <c r="A55" s="33" t="s">
        <v>475</v>
      </c>
      <c r="B55" s="128" t="s">
        <v>286</v>
      </c>
      <c r="C55" s="33" t="s">
        <v>476</v>
      </c>
      <c r="D55" s="128" t="s">
        <v>287</v>
      </c>
      <c r="E55" s="129" t="s">
        <v>29</v>
      </c>
      <c r="F55" s="130" t="s">
        <v>406</v>
      </c>
      <c r="G55" s="129" t="s">
        <v>297</v>
      </c>
      <c r="H55" s="129" t="s">
        <v>404</v>
      </c>
      <c r="I55" s="129" t="s">
        <v>460</v>
      </c>
      <c r="J55" s="129" t="s">
        <v>407</v>
      </c>
      <c r="K55" s="129" t="s">
        <v>298</v>
      </c>
      <c r="L55" s="129" t="s">
        <v>405</v>
      </c>
      <c r="M55" s="129" t="s">
        <v>461</v>
      </c>
    </row>
    <row r="56" spans="1:13" ht="15" customHeight="1" x14ac:dyDescent="0.2">
      <c r="A56" s="147"/>
      <c r="B56" s="148"/>
      <c r="C56" s="149"/>
      <c r="D56" s="148"/>
      <c r="E56" s="150"/>
      <c r="F56" s="151"/>
      <c r="G56" s="152"/>
      <c r="H56" s="152"/>
      <c r="I56" s="152"/>
      <c r="J56" s="153"/>
      <c r="K56" s="154"/>
      <c r="L56" s="154"/>
      <c r="M56" s="154"/>
    </row>
    <row r="57" spans="1:13" ht="27.75" customHeight="1" x14ac:dyDescent="0.2">
      <c r="A57" s="142"/>
      <c r="B57" s="142"/>
      <c r="C57" s="142"/>
      <c r="D57" s="143"/>
      <c r="E57" s="143"/>
      <c r="F57" s="143"/>
      <c r="G57" s="143"/>
      <c r="H57" s="143"/>
      <c r="I57" s="144"/>
      <c r="J57" s="145"/>
      <c r="K57" s="145"/>
      <c r="L57" s="142"/>
      <c r="M57" s="146"/>
    </row>
    <row r="58" spans="1:13" ht="27.75" customHeight="1" x14ac:dyDescent="0.2">
      <c r="A58" s="142"/>
      <c r="B58" s="142"/>
      <c r="C58" s="142"/>
      <c r="D58" s="143"/>
      <c r="E58" s="143"/>
      <c r="F58" s="143"/>
      <c r="G58" s="143"/>
      <c r="H58" s="143"/>
      <c r="I58" s="144"/>
      <c r="J58" s="145"/>
      <c r="K58" s="145"/>
      <c r="L58" s="142"/>
      <c r="M58" s="146"/>
    </row>
    <row r="59" spans="1:13" ht="39.950000000000003" customHeight="1" x14ac:dyDescent="0.2">
      <c r="A59" s="382" t="str">
        <f>Overview!B4&amp;" - Effective from "&amp;TEXT(Overview!$D$4,"d mmmm yyyy")&amp;" - Final Schedule of Charges for use of the Distribution System by EHV Properties (including LDNOs with EHV Properties/end-users) in NPG Northeast Area (GSP Group_F)"</f>
        <v>Leep Electricity Networks Limited - Effective from 1 April 2026 - Final Schedule of Charges for use of the Distribution System by EHV Properties (including LDNOs with EHV Properties/end-users) in NPG Northeast Area (GSP Group_F)</v>
      </c>
      <c r="B59" s="383"/>
      <c r="C59" s="383"/>
      <c r="D59" s="383"/>
      <c r="E59" s="383"/>
      <c r="F59" s="383"/>
      <c r="G59" s="383"/>
      <c r="H59" s="383"/>
      <c r="I59" s="383"/>
      <c r="J59" s="383"/>
      <c r="K59" s="383"/>
      <c r="L59" s="431"/>
      <c r="M59" s="432"/>
    </row>
    <row r="60" spans="1:13" ht="27.75" customHeight="1" x14ac:dyDescent="0.2">
      <c r="A60" s="126"/>
      <c r="B60" s="126"/>
      <c r="C60" s="126"/>
      <c r="D60" s="126"/>
      <c r="E60" s="126"/>
      <c r="F60" s="126"/>
      <c r="G60" s="126"/>
      <c r="H60" s="126"/>
      <c r="I60" s="126"/>
      <c r="J60" s="126"/>
      <c r="K60" s="126"/>
      <c r="L60" s="126"/>
      <c r="M60" s="126"/>
    </row>
    <row r="61" spans="1:13" ht="27.75" customHeight="1" x14ac:dyDescent="0.2">
      <c r="A61" s="433" t="s">
        <v>474</v>
      </c>
      <c r="B61" s="434"/>
      <c r="C61" s="434"/>
      <c r="D61" s="434"/>
      <c r="E61" s="434"/>
      <c r="F61" s="435"/>
      <c r="G61" s="126"/>
      <c r="H61" s="126"/>
      <c r="I61" s="126"/>
      <c r="J61" s="126"/>
      <c r="K61" s="126"/>
      <c r="L61" s="126"/>
      <c r="M61" s="126"/>
    </row>
    <row r="62" spans="1:13" ht="27.75" customHeight="1" x14ac:dyDescent="0.2">
      <c r="A62" s="436" t="s">
        <v>13</v>
      </c>
      <c r="B62" s="437"/>
      <c r="C62" s="438"/>
      <c r="D62" s="439" t="s">
        <v>304</v>
      </c>
      <c r="E62" s="440"/>
      <c r="F62" s="441"/>
      <c r="G62" s="126"/>
      <c r="H62" s="126"/>
      <c r="I62" s="126"/>
      <c r="J62" s="126"/>
      <c r="K62" s="126"/>
      <c r="L62" s="126"/>
      <c r="M62" s="126"/>
    </row>
    <row r="63" spans="1:13" ht="45" customHeight="1" x14ac:dyDescent="0.2">
      <c r="A63" s="412" t="s">
        <v>303</v>
      </c>
      <c r="B63" s="412"/>
      <c r="C63" s="412"/>
      <c r="D63" s="378" t="s">
        <v>497</v>
      </c>
      <c r="E63" s="378"/>
      <c r="F63" s="378"/>
      <c r="G63" s="126"/>
      <c r="H63" s="126"/>
      <c r="I63" s="126"/>
      <c r="J63" s="126"/>
      <c r="K63" s="126"/>
      <c r="L63" s="126"/>
      <c r="M63" s="126"/>
    </row>
    <row r="64" spans="1:13" ht="20.25" customHeight="1" x14ac:dyDescent="0.2">
      <c r="A64" s="412" t="s">
        <v>14</v>
      </c>
      <c r="B64" s="412"/>
      <c r="C64" s="412"/>
      <c r="D64" s="378" t="s">
        <v>15</v>
      </c>
      <c r="E64" s="378"/>
      <c r="F64" s="378"/>
      <c r="G64" s="126"/>
      <c r="H64" s="160"/>
      <c r="I64" s="160"/>
      <c r="J64" s="160"/>
      <c r="K64" s="160"/>
      <c r="L64" s="160"/>
      <c r="M64" s="160"/>
    </row>
    <row r="65" spans="1:13" ht="27.75" customHeight="1" x14ac:dyDescent="0.2">
      <c r="A65" s="126"/>
      <c r="B65" s="126"/>
      <c r="C65" s="126"/>
      <c r="D65" s="126"/>
      <c r="E65" s="126"/>
      <c r="F65" s="126"/>
      <c r="G65" s="126"/>
      <c r="H65" s="126"/>
      <c r="I65" s="126"/>
      <c r="J65" s="126"/>
      <c r="K65" s="126"/>
      <c r="L65" s="126"/>
      <c r="M65" s="126"/>
    </row>
    <row r="66" spans="1:13" ht="63.75" customHeight="1" x14ac:dyDescent="0.2">
      <c r="A66" s="33" t="s">
        <v>475</v>
      </c>
      <c r="B66" s="128" t="s">
        <v>286</v>
      </c>
      <c r="C66" s="33" t="s">
        <v>476</v>
      </c>
      <c r="D66" s="128" t="s">
        <v>287</v>
      </c>
      <c r="E66" s="129" t="s">
        <v>29</v>
      </c>
      <c r="F66" s="130" t="s">
        <v>406</v>
      </c>
      <c r="G66" s="129" t="s">
        <v>297</v>
      </c>
      <c r="H66" s="129" t="s">
        <v>404</v>
      </c>
      <c r="I66" s="129" t="s">
        <v>460</v>
      </c>
      <c r="J66" s="129" t="s">
        <v>407</v>
      </c>
      <c r="K66" s="129" t="s">
        <v>298</v>
      </c>
      <c r="L66" s="129" t="s">
        <v>405</v>
      </c>
      <c r="M66" s="129" t="s">
        <v>461</v>
      </c>
    </row>
    <row r="67" spans="1:13" ht="15" x14ac:dyDescent="0.2">
      <c r="A67" s="147"/>
      <c r="B67" s="161"/>
      <c r="C67" s="149"/>
      <c r="D67" s="161"/>
      <c r="E67" s="150"/>
      <c r="F67" s="162"/>
      <c r="G67" s="163"/>
      <c r="H67" s="163"/>
      <c r="I67" s="163"/>
      <c r="J67" s="164"/>
      <c r="K67" s="165"/>
      <c r="L67" s="165"/>
      <c r="M67" s="165"/>
    </row>
    <row r="68" spans="1:13" ht="27.75" customHeight="1" x14ac:dyDescent="0.2">
      <c r="A68" s="142"/>
      <c r="B68" s="142"/>
      <c r="C68" s="142"/>
      <c r="D68" s="143"/>
      <c r="E68" s="143"/>
      <c r="F68" s="143"/>
      <c r="G68" s="143"/>
      <c r="H68" s="143"/>
      <c r="I68" s="144"/>
      <c r="J68" s="145"/>
      <c r="K68" s="145"/>
      <c r="L68" s="142"/>
      <c r="M68" s="146"/>
    </row>
    <row r="69" spans="1:13" ht="27.75" customHeight="1" x14ac:dyDescent="0.2">
      <c r="A69" s="142"/>
      <c r="B69" s="142"/>
      <c r="C69" s="142"/>
      <c r="D69" s="143"/>
      <c r="E69" s="143"/>
      <c r="F69" s="143"/>
      <c r="G69" s="143"/>
      <c r="H69" s="143"/>
      <c r="I69" s="144"/>
      <c r="J69" s="145"/>
      <c r="K69" s="145"/>
      <c r="L69" s="142"/>
      <c r="M69" s="146"/>
    </row>
    <row r="70" spans="1:13" ht="39.950000000000003" customHeight="1" x14ac:dyDescent="0.2">
      <c r="A70" s="382" t="str">
        <f>Overview!B4&amp;" - Effective from "&amp;TEXT(Overview!$D$4,"d mmmm yyyy")&amp;" - Final Schedule of Charges for use of the Distribution System by EHV Properties (including LDNOs with EHV Properties/end-users) in Electricity North West Area (GSP Group_G)"</f>
        <v>Leep Electricity Networks Limited - Effective from 1 April 2026 - Final Schedule of Charges for use of the Distribution System by EHV Properties (including LDNOs with EHV Properties/end-users) in Electricity North West Area (GSP Group_G)</v>
      </c>
      <c r="B70" s="383"/>
      <c r="C70" s="383"/>
      <c r="D70" s="383"/>
      <c r="E70" s="383"/>
      <c r="F70" s="383"/>
      <c r="G70" s="383"/>
      <c r="H70" s="383"/>
      <c r="I70" s="383"/>
      <c r="J70" s="383"/>
      <c r="K70" s="383"/>
      <c r="L70" s="431"/>
      <c r="M70" s="432"/>
    </row>
    <row r="71" spans="1:13" ht="27.75" customHeight="1" x14ac:dyDescent="0.2">
      <c r="A71" s="142"/>
      <c r="B71" s="142"/>
      <c r="C71" s="142"/>
      <c r="D71" s="143"/>
      <c r="E71" s="143"/>
      <c r="F71" s="143"/>
      <c r="G71" s="143"/>
      <c r="H71" s="143"/>
      <c r="I71" s="144"/>
      <c r="J71" s="145"/>
      <c r="K71" s="145"/>
      <c r="L71" s="142"/>
      <c r="M71" s="146"/>
    </row>
    <row r="72" spans="1:13" ht="27.75" customHeight="1" x14ac:dyDescent="0.2">
      <c r="A72" s="433" t="s">
        <v>474</v>
      </c>
      <c r="B72" s="434"/>
      <c r="C72" s="434"/>
      <c r="D72" s="434"/>
      <c r="E72" s="434"/>
      <c r="F72" s="435"/>
      <c r="G72" s="143"/>
      <c r="H72" s="143"/>
      <c r="I72" s="144"/>
      <c r="J72" s="145"/>
      <c r="K72" s="145"/>
      <c r="L72" s="142"/>
      <c r="M72" s="146"/>
    </row>
    <row r="73" spans="1:13" ht="27.75" customHeight="1" x14ac:dyDescent="0.2">
      <c r="A73" s="436" t="s">
        <v>13</v>
      </c>
      <c r="B73" s="437"/>
      <c r="C73" s="438"/>
      <c r="D73" s="439" t="s">
        <v>304</v>
      </c>
      <c r="E73" s="440"/>
      <c r="F73" s="441"/>
      <c r="G73" s="143"/>
      <c r="H73" s="143"/>
      <c r="I73" s="144"/>
      <c r="J73" s="145"/>
      <c r="K73" s="145"/>
      <c r="L73" s="142"/>
      <c r="M73" s="146"/>
    </row>
    <row r="74" spans="1:13" ht="45" customHeight="1" x14ac:dyDescent="0.2">
      <c r="A74" s="412" t="s">
        <v>303</v>
      </c>
      <c r="B74" s="412"/>
      <c r="C74" s="412"/>
      <c r="D74" s="389" t="s">
        <v>469</v>
      </c>
      <c r="E74" s="390"/>
      <c r="F74" s="391"/>
      <c r="G74" s="143"/>
      <c r="H74" s="143"/>
      <c r="I74" s="144"/>
      <c r="J74" s="145"/>
      <c r="K74" s="145"/>
      <c r="L74" s="142"/>
      <c r="M74" s="146"/>
    </row>
    <row r="75" spans="1:13" ht="20.25" customHeight="1" x14ac:dyDescent="0.2">
      <c r="A75" s="412" t="s">
        <v>14</v>
      </c>
      <c r="B75" s="412"/>
      <c r="C75" s="412"/>
      <c r="D75" s="389" t="s">
        <v>15</v>
      </c>
      <c r="E75" s="390"/>
      <c r="F75" s="391"/>
      <c r="G75" s="143"/>
      <c r="H75" s="143"/>
      <c r="I75" s="144"/>
      <c r="J75" s="145"/>
      <c r="K75" s="145"/>
      <c r="L75" s="142"/>
      <c r="M75" s="146"/>
    </row>
    <row r="76" spans="1:13" ht="27.75" customHeight="1" x14ac:dyDescent="0.2">
      <c r="A76" s="142"/>
      <c r="B76" s="142"/>
      <c r="C76" s="142"/>
      <c r="D76" s="143"/>
      <c r="E76" s="143"/>
      <c r="F76" s="143"/>
      <c r="G76" s="143"/>
      <c r="H76" s="143"/>
      <c r="I76" s="144"/>
      <c r="J76" s="145"/>
      <c r="K76" s="145"/>
      <c r="L76" s="142"/>
      <c r="M76" s="146"/>
    </row>
    <row r="77" spans="1:13" ht="63.75" customHeight="1" x14ac:dyDescent="0.2">
      <c r="A77" s="33" t="s">
        <v>475</v>
      </c>
      <c r="B77" s="128" t="s">
        <v>286</v>
      </c>
      <c r="C77" s="33" t="s">
        <v>476</v>
      </c>
      <c r="D77" s="128" t="s">
        <v>287</v>
      </c>
      <c r="E77" s="129" t="s">
        <v>29</v>
      </c>
      <c r="F77" s="130" t="s">
        <v>406</v>
      </c>
      <c r="G77" s="129" t="s">
        <v>297</v>
      </c>
      <c r="H77" s="129" t="s">
        <v>404</v>
      </c>
      <c r="I77" s="129" t="s">
        <v>460</v>
      </c>
      <c r="J77" s="129" t="s">
        <v>407</v>
      </c>
      <c r="K77" s="129" t="s">
        <v>298</v>
      </c>
      <c r="L77" s="129" t="s">
        <v>405</v>
      </c>
      <c r="M77" s="129" t="s">
        <v>461</v>
      </c>
    </row>
    <row r="78" spans="1:13" ht="15" customHeight="1" x14ac:dyDescent="0.2">
      <c r="A78" s="149"/>
      <c r="B78" s="161"/>
      <c r="C78" s="149"/>
      <c r="D78" s="161"/>
      <c r="E78" s="150"/>
      <c r="F78" s="166"/>
      <c r="G78" s="167"/>
      <c r="H78" s="167"/>
      <c r="I78" s="167"/>
      <c r="J78" s="164"/>
      <c r="K78" s="165"/>
      <c r="L78" s="165"/>
      <c r="M78" s="165"/>
    </row>
    <row r="79" spans="1:13" ht="27.75" customHeight="1" x14ac:dyDescent="0.2">
      <c r="A79" s="142"/>
      <c r="B79" s="142"/>
      <c r="C79" s="142"/>
      <c r="D79" s="143"/>
      <c r="E79" s="143"/>
      <c r="F79" s="143"/>
      <c r="G79" s="143"/>
      <c r="H79" s="143"/>
      <c r="I79" s="144"/>
      <c r="J79" s="145"/>
      <c r="K79" s="145"/>
      <c r="L79" s="142"/>
      <c r="M79" s="146"/>
    </row>
    <row r="80" spans="1:13" ht="48.75" customHeight="1" x14ac:dyDescent="0.2">
      <c r="A80" s="382" t="str">
        <f>Overview!$B$4&amp;" - Effective from "&amp;Overview!$D$4&amp;" - Final Schedule of Charges for use of the Distribution System by EHV Properties (including LDNOs with EHV Properties/end-users) in SSE SEPD Area (GSP Group_H)"</f>
        <v>Leep Electricity Networks Limited - Effective from 46113 - Final Schedule of Charges for use of the Distribution System by EHV Properties (including LDNOs with EHV Properties/end-users) in SSE SEPD Area (GSP Group_H)</v>
      </c>
      <c r="B80" s="383"/>
      <c r="C80" s="383"/>
      <c r="D80" s="383"/>
      <c r="E80" s="383"/>
      <c r="F80" s="383"/>
      <c r="G80" s="383"/>
      <c r="H80" s="383"/>
      <c r="I80" s="383"/>
      <c r="J80" s="383"/>
      <c r="K80" s="383"/>
      <c r="L80" s="431"/>
      <c r="M80" s="432"/>
    </row>
    <row r="81" spans="1:13" ht="27.75" customHeight="1" x14ac:dyDescent="0.2">
      <c r="A81" s="142"/>
      <c r="B81" s="142"/>
      <c r="C81" s="142"/>
      <c r="D81" s="143"/>
      <c r="E81" s="143"/>
      <c r="F81" s="143"/>
      <c r="G81" s="143"/>
      <c r="H81" s="143"/>
      <c r="I81" s="144"/>
      <c r="J81" s="145"/>
      <c r="K81" s="145"/>
      <c r="L81" s="142"/>
      <c r="M81" s="146"/>
    </row>
    <row r="82" spans="1:13" ht="27.75" customHeight="1" x14ac:dyDescent="0.2">
      <c r="A82" s="433" t="s">
        <v>474</v>
      </c>
      <c r="B82" s="434"/>
      <c r="C82" s="434"/>
      <c r="D82" s="434"/>
      <c r="E82" s="434"/>
      <c r="F82" s="435"/>
      <c r="G82" s="143"/>
      <c r="H82" s="143"/>
      <c r="I82" s="144"/>
      <c r="J82" s="145"/>
      <c r="K82" s="145"/>
      <c r="L82" s="142"/>
      <c r="M82" s="146"/>
    </row>
    <row r="83" spans="1:13" ht="27.75" customHeight="1" x14ac:dyDescent="0.2">
      <c r="A83" s="436" t="s">
        <v>13</v>
      </c>
      <c r="B83" s="437"/>
      <c r="C83" s="438"/>
      <c r="D83" s="439" t="s">
        <v>304</v>
      </c>
      <c r="E83" s="440"/>
      <c r="F83" s="441"/>
      <c r="G83" s="143"/>
      <c r="H83" s="143"/>
      <c r="I83" s="144"/>
      <c r="J83" s="145"/>
      <c r="K83" s="145"/>
      <c r="L83" s="142"/>
      <c r="M83" s="146"/>
    </row>
    <row r="84" spans="1:13" ht="48" customHeight="1" x14ac:dyDescent="0.2">
      <c r="A84" s="412" t="s">
        <v>303</v>
      </c>
      <c r="B84" s="412"/>
      <c r="C84" s="412"/>
      <c r="D84" s="378" t="s">
        <v>477</v>
      </c>
      <c r="E84" s="378"/>
      <c r="F84" s="378"/>
      <c r="G84" s="143"/>
      <c r="H84" s="143"/>
      <c r="I84" s="144"/>
      <c r="J84" s="145"/>
      <c r="K84" s="145"/>
      <c r="L84" s="142"/>
      <c r="M84" s="146"/>
    </row>
    <row r="85" spans="1:13" ht="27.75" customHeight="1" x14ac:dyDescent="0.2">
      <c r="A85" s="412" t="s">
        <v>14</v>
      </c>
      <c r="B85" s="412"/>
      <c r="C85" s="412"/>
      <c r="D85" s="389" t="s">
        <v>15</v>
      </c>
      <c r="E85" s="390"/>
      <c r="F85" s="391"/>
      <c r="G85" s="143"/>
      <c r="H85" s="143"/>
      <c r="I85" s="144"/>
      <c r="J85" s="145"/>
      <c r="K85" s="145"/>
      <c r="L85" s="142"/>
      <c r="M85" s="146"/>
    </row>
    <row r="86" spans="1:13" ht="27.75" customHeight="1" x14ac:dyDescent="0.2">
      <c r="A86" s="142"/>
      <c r="B86" s="142"/>
      <c r="C86" s="142"/>
      <c r="D86" s="143"/>
      <c r="E86" s="143"/>
      <c r="F86" s="143"/>
      <c r="G86" s="143"/>
      <c r="H86" s="143"/>
      <c r="I86" s="144"/>
      <c r="J86" s="145"/>
      <c r="K86" s="145"/>
      <c r="L86" s="142"/>
      <c r="M86" s="146"/>
    </row>
    <row r="87" spans="1:13" ht="51" x14ac:dyDescent="0.2">
      <c r="A87" s="33" t="s">
        <v>475</v>
      </c>
      <c r="B87" s="128" t="s">
        <v>286</v>
      </c>
      <c r="C87" s="33" t="s">
        <v>476</v>
      </c>
      <c r="D87" s="128" t="s">
        <v>287</v>
      </c>
      <c r="E87" s="129" t="s">
        <v>29</v>
      </c>
      <c r="F87" s="130" t="s">
        <v>406</v>
      </c>
      <c r="G87" s="129" t="s">
        <v>297</v>
      </c>
      <c r="H87" s="129" t="s">
        <v>404</v>
      </c>
      <c r="I87" s="129" t="s">
        <v>460</v>
      </c>
      <c r="J87" s="129" t="s">
        <v>407</v>
      </c>
      <c r="K87" s="129" t="s">
        <v>298</v>
      </c>
      <c r="L87" s="129" t="s">
        <v>405</v>
      </c>
      <c r="M87" s="129" t="s">
        <v>461</v>
      </c>
    </row>
    <row r="88" spans="1:13" ht="27.75" customHeight="1" x14ac:dyDescent="0.2">
      <c r="A88" s="149"/>
      <c r="B88" s="161"/>
      <c r="C88" s="149"/>
      <c r="D88" s="161"/>
      <c r="E88" s="150"/>
      <c r="F88" s="166"/>
      <c r="G88" s="167"/>
      <c r="H88" s="167"/>
      <c r="I88" s="167"/>
      <c r="J88" s="164"/>
      <c r="K88" s="165"/>
      <c r="L88" s="165"/>
      <c r="M88" s="165"/>
    </row>
    <row r="89" spans="1:13" ht="27.75" customHeight="1" x14ac:dyDescent="0.2">
      <c r="C89" s="98"/>
      <c r="D89" s="98"/>
      <c r="E89" s="98"/>
      <c r="F89" s="98"/>
      <c r="G89" s="98"/>
      <c r="H89" s="98"/>
      <c r="I89" s="98"/>
    </row>
    <row r="90" spans="1:13" ht="27.75" customHeight="1" x14ac:dyDescent="0.2">
      <c r="A90" s="142"/>
      <c r="B90" s="142"/>
      <c r="C90" s="142"/>
      <c r="D90" s="143"/>
      <c r="E90" s="143"/>
      <c r="F90" s="143"/>
      <c r="G90" s="143"/>
      <c r="H90" s="143"/>
      <c r="I90" s="144"/>
      <c r="J90" s="145"/>
      <c r="K90" s="145"/>
      <c r="L90" s="142"/>
      <c r="M90" s="146"/>
    </row>
    <row r="91" spans="1:13" ht="39.950000000000003" customHeight="1" x14ac:dyDescent="0.2">
      <c r="A91" s="382" t="str">
        <f>Overview!B4&amp;" - Effective from "&amp;TEXT(Overview!$D$4,"d mmmm yyyy")&amp;" - Final Schedule of Charges for use of the Distribution System by EHV Properties (including LDNOs with EHV Properties/end-users) in UKPN SPN Area (GSP Group_J)"</f>
        <v>Leep Electricity Networks Limited - Effective from 1 April 2026 - Final Schedule of Charges for use of the Distribution System by EHV Properties (including LDNOs with EHV Properties/end-users) in UKPN SPN Area (GSP Group_J)</v>
      </c>
      <c r="B91" s="383"/>
      <c r="C91" s="383"/>
      <c r="D91" s="383"/>
      <c r="E91" s="383"/>
      <c r="F91" s="383"/>
      <c r="G91" s="383"/>
      <c r="H91" s="383"/>
      <c r="I91" s="383"/>
      <c r="J91" s="383"/>
      <c r="K91" s="383"/>
      <c r="L91" s="383"/>
      <c r="M91" s="384"/>
    </row>
    <row r="92" spans="1:13" ht="27.75" customHeight="1" x14ac:dyDescent="0.2">
      <c r="A92" s="126"/>
      <c r="B92" s="126"/>
      <c r="C92" s="126"/>
      <c r="D92" s="126"/>
      <c r="E92" s="126"/>
      <c r="F92" s="126"/>
      <c r="G92" s="126"/>
      <c r="H92" s="126"/>
      <c r="I92" s="127"/>
      <c r="J92" s="126"/>
      <c r="K92" s="126"/>
      <c r="L92" s="126"/>
      <c r="M92" s="127"/>
    </row>
    <row r="93" spans="1:13" ht="27.75" customHeight="1" x14ac:dyDescent="0.2">
      <c r="A93" s="433" t="s">
        <v>474</v>
      </c>
      <c r="B93" s="434"/>
      <c r="C93" s="434"/>
      <c r="D93" s="434"/>
      <c r="E93" s="434"/>
      <c r="F93" s="435"/>
      <c r="G93" s="126"/>
      <c r="H93" s="126"/>
      <c r="I93" s="127"/>
      <c r="J93" s="126"/>
      <c r="K93" s="126"/>
      <c r="L93" s="126"/>
      <c r="M93" s="127"/>
    </row>
    <row r="94" spans="1:13" ht="27.75" customHeight="1" x14ac:dyDescent="0.2">
      <c r="A94" s="456" t="s">
        <v>13</v>
      </c>
      <c r="B94" s="457"/>
      <c r="C94" s="457"/>
      <c r="D94" s="458" t="s">
        <v>304</v>
      </c>
      <c r="E94" s="459"/>
      <c r="F94" s="460"/>
      <c r="G94" s="126"/>
      <c r="H94" s="126"/>
      <c r="I94" s="127"/>
      <c r="J94" s="126"/>
      <c r="K94" s="126"/>
      <c r="L94" s="126"/>
      <c r="M94" s="127"/>
    </row>
    <row r="95" spans="1:13" ht="45" customHeight="1" x14ac:dyDescent="0.2">
      <c r="A95" s="374" t="s">
        <v>303</v>
      </c>
      <c r="B95" s="374"/>
      <c r="C95" s="374"/>
      <c r="D95" s="389" t="s">
        <v>469</v>
      </c>
      <c r="E95" s="390"/>
      <c r="F95" s="391"/>
      <c r="G95" s="126"/>
      <c r="H95" s="126"/>
      <c r="I95" s="127"/>
      <c r="J95" s="126"/>
      <c r="K95" s="126"/>
      <c r="L95" s="126"/>
      <c r="M95" s="127"/>
    </row>
    <row r="96" spans="1:13" ht="20.25" customHeight="1" x14ac:dyDescent="0.2">
      <c r="A96" s="374" t="s">
        <v>14</v>
      </c>
      <c r="B96" s="374"/>
      <c r="C96" s="374"/>
      <c r="D96" s="387" t="s">
        <v>470</v>
      </c>
      <c r="E96" s="461"/>
      <c r="F96" s="388"/>
      <c r="G96" s="126"/>
      <c r="H96" s="126"/>
      <c r="I96" s="127"/>
      <c r="J96" s="126"/>
      <c r="K96" s="126"/>
      <c r="L96" s="126"/>
      <c r="M96" s="127"/>
    </row>
    <row r="97" spans="1:13" ht="27.75" customHeight="1" x14ac:dyDescent="0.2">
      <c r="A97" s="126"/>
      <c r="B97" s="126"/>
      <c r="C97" s="126"/>
      <c r="D97" s="126"/>
      <c r="E97" s="126"/>
      <c r="F97" s="126"/>
      <c r="G97" s="126"/>
      <c r="H97" s="126"/>
      <c r="I97" s="127"/>
      <c r="J97" s="126"/>
      <c r="K97" s="126"/>
      <c r="L97" s="126"/>
      <c r="M97" s="127"/>
    </row>
    <row r="98" spans="1:13" ht="63.75" customHeight="1" x14ac:dyDescent="0.2">
      <c r="A98" s="33" t="s">
        <v>475</v>
      </c>
      <c r="B98" s="128" t="s">
        <v>286</v>
      </c>
      <c r="C98" s="33" t="s">
        <v>476</v>
      </c>
      <c r="D98" s="128" t="s">
        <v>287</v>
      </c>
      <c r="E98" s="129" t="s">
        <v>29</v>
      </c>
      <c r="F98" s="130" t="s">
        <v>406</v>
      </c>
      <c r="G98" s="129" t="s">
        <v>297</v>
      </c>
      <c r="H98" s="129" t="s">
        <v>404</v>
      </c>
      <c r="I98" s="129" t="s">
        <v>460</v>
      </c>
      <c r="J98" s="129" t="s">
        <v>407</v>
      </c>
      <c r="K98" s="129" t="s">
        <v>298</v>
      </c>
      <c r="L98" s="129" t="s">
        <v>405</v>
      </c>
      <c r="M98" s="129" t="s">
        <v>461</v>
      </c>
    </row>
    <row r="99" spans="1:13" ht="12.75" x14ac:dyDescent="0.2">
      <c r="A99" s="147"/>
      <c r="B99" s="168"/>
      <c r="C99" s="149"/>
      <c r="D99" s="155"/>
      <c r="E99" s="150"/>
      <c r="F99" s="169"/>
      <c r="G99" s="141"/>
      <c r="H99" s="170"/>
      <c r="I99" s="170"/>
      <c r="J99" s="153"/>
      <c r="K99" s="171"/>
      <c r="L99" s="154"/>
      <c r="M99" s="154"/>
    </row>
    <row r="100" spans="1:13" ht="27.75" customHeight="1" x14ac:dyDescent="0.2">
      <c r="A100" s="142"/>
      <c r="B100" s="142"/>
      <c r="C100" s="142"/>
      <c r="D100" s="143"/>
      <c r="E100" s="143"/>
      <c r="F100" s="143"/>
      <c r="G100" s="143"/>
      <c r="H100" s="143"/>
      <c r="I100" s="144"/>
      <c r="J100" s="145"/>
      <c r="K100" s="145"/>
      <c r="L100" s="142"/>
      <c r="M100" s="146"/>
    </row>
    <row r="101" spans="1:13" ht="27.75" customHeight="1" x14ac:dyDescent="0.2">
      <c r="A101" s="142"/>
      <c r="B101" s="142"/>
      <c r="C101" s="142"/>
      <c r="D101" s="143"/>
      <c r="E101" s="143"/>
      <c r="F101" s="143"/>
      <c r="G101" s="143"/>
      <c r="H101" s="143"/>
      <c r="I101" s="144"/>
      <c r="J101" s="145"/>
      <c r="K101" s="145"/>
      <c r="L101" s="142"/>
      <c r="M101" s="146"/>
    </row>
    <row r="102" spans="1:13" ht="39.950000000000003" customHeight="1" x14ac:dyDescent="0.2">
      <c r="A102" s="382" t="str">
        <f>Overview!B4&amp;" - Effective from "&amp;TEXT(Overview!$D$4,"d mmmm yyyy")&amp;" - Final Schedule of Charges for use of the Distribution System by EHV Properties (including LDNOs with EHV Properties/end-users) in WPD South Wales Area (GSP Group_K)"</f>
        <v>Leep Electricity Networks Limited - Effective from 1 April 2026 - Final Schedule of Charges for use of the Distribution System by EHV Properties (including LDNOs with EHV Properties/end-users) in WPD South Wales Area (GSP Group_K)</v>
      </c>
      <c r="B102" s="383"/>
      <c r="C102" s="383"/>
      <c r="D102" s="383"/>
      <c r="E102" s="383"/>
      <c r="F102" s="383"/>
      <c r="G102" s="383"/>
      <c r="H102" s="383"/>
      <c r="I102" s="383"/>
      <c r="J102" s="383"/>
      <c r="K102" s="383"/>
      <c r="L102" s="431"/>
      <c r="M102" s="432"/>
    </row>
    <row r="103" spans="1:13" ht="27.75" customHeight="1" x14ac:dyDescent="0.2">
      <c r="A103" s="126"/>
      <c r="B103" s="126"/>
      <c r="C103" s="126"/>
      <c r="D103" s="126"/>
      <c r="E103" s="126"/>
      <c r="F103" s="126"/>
      <c r="G103" s="126"/>
      <c r="H103" s="126"/>
      <c r="I103" s="126"/>
      <c r="J103" s="126"/>
      <c r="K103" s="126"/>
      <c r="L103" s="126"/>
      <c r="M103" s="126"/>
    </row>
    <row r="104" spans="1:13" ht="27.75" customHeight="1" x14ac:dyDescent="0.2">
      <c r="A104" s="433" t="s">
        <v>474</v>
      </c>
      <c r="B104" s="434"/>
      <c r="C104" s="434"/>
      <c r="D104" s="434"/>
      <c r="E104" s="434"/>
      <c r="F104" s="435"/>
      <c r="G104" s="126"/>
      <c r="H104" s="126"/>
      <c r="I104" s="126"/>
      <c r="J104" s="126"/>
      <c r="K104" s="126"/>
      <c r="L104" s="126"/>
      <c r="M104" s="126"/>
    </row>
    <row r="105" spans="1:13" ht="27.75" customHeight="1" x14ac:dyDescent="0.2">
      <c r="A105" s="447" t="s">
        <v>13</v>
      </c>
      <c r="B105" s="448"/>
      <c r="C105" s="448"/>
      <c r="D105" s="449" t="s">
        <v>304</v>
      </c>
      <c r="E105" s="450"/>
      <c r="F105" s="451"/>
      <c r="G105" s="126"/>
      <c r="H105" s="126"/>
      <c r="I105" s="126"/>
      <c r="J105" s="126"/>
      <c r="K105" s="126"/>
      <c r="L105" s="126"/>
      <c r="M105" s="126"/>
    </row>
    <row r="106" spans="1:13" ht="45" customHeight="1" x14ac:dyDescent="0.2">
      <c r="A106" s="452" t="s">
        <v>478</v>
      </c>
      <c r="B106" s="452"/>
      <c r="C106" s="452"/>
      <c r="D106" s="422" t="s">
        <v>479</v>
      </c>
      <c r="E106" s="423"/>
      <c r="F106" s="424"/>
      <c r="G106" s="126"/>
      <c r="H106" s="126"/>
      <c r="I106" s="126"/>
      <c r="J106" s="126"/>
      <c r="K106" s="126"/>
      <c r="L106" s="126"/>
      <c r="M106" s="126"/>
    </row>
    <row r="107" spans="1:13" ht="20.25" customHeight="1" x14ac:dyDescent="0.2">
      <c r="A107" s="412" t="s">
        <v>14</v>
      </c>
      <c r="B107" s="412"/>
      <c r="C107" s="412"/>
      <c r="D107" s="389" t="s">
        <v>15</v>
      </c>
      <c r="E107" s="390"/>
      <c r="F107" s="391"/>
      <c r="G107" s="126"/>
      <c r="H107" s="126"/>
      <c r="I107" s="126"/>
      <c r="J107" s="126"/>
      <c r="K107" s="126"/>
      <c r="L107" s="126"/>
      <c r="M107" s="126"/>
    </row>
    <row r="108" spans="1:13" ht="27.75" customHeight="1" x14ac:dyDescent="0.2">
      <c r="A108" s="453"/>
      <c r="B108" s="453"/>
      <c r="C108" s="453"/>
      <c r="D108" s="454"/>
      <c r="E108" s="423"/>
      <c r="F108" s="455"/>
      <c r="G108" s="126"/>
      <c r="H108" s="126"/>
      <c r="I108" s="126"/>
      <c r="J108" s="126"/>
      <c r="K108" s="126"/>
      <c r="L108" s="126"/>
      <c r="M108" s="126"/>
    </row>
    <row r="109" spans="1:13" ht="63.75" customHeight="1" x14ac:dyDescent="0.2">
      <c r="A109" s="33" t="s">
        <v>475</v>
      </c>
      <c r="B109" s="128" t="s">
        <v>286</v>
      </c>
      <c r="C109" s="33" t="s">
        <v>476</v>
      </c>
      <c r="D109" s="128" t="s">
        <v>287</v>
      </c>
      <c r="E109" s="129" t="s">
        <v>29</v>
      </c>
      <c r="F109" s="130" t="s">
        <v>406</v>
      </c>
      <c r="G109" s="129" t="s">
        <v>297</v>
      </c>
      <c r="H109" s="129" t="s">
        <v>404</v>
      </c>
      <c r="I109" s="129" t="s">
        <v>460</v>
      </c>
      <c r="J109" s="129" t="s">
        <v>407</v>
      </c>
      <c r="K109" s="129" t="s">
        <v>298</v>
      </c>
      <c r="L109" s="129" t="s">
        <v>405</v>
      </c>
      <c r="M109" s="129" t="s">
        <v>461</v>
      </c>
    </row>
    <row r="110" spans="1:13" ht="15" customHeight="1" x14ac:dyDescent="0.2">
      <c r="A110" s="147"/>
      <c r="B110" s="148"/>
      <c r="C110" s="149"/>
      <c r="D110" s="148"/>
      <c r="E110" s="150"/>
      <c r="F110" s="151"/>
      <c r="G110" s="152"/>
      <c r="H110" s="152"/>
      <c r="I110" s="152"/>
      <c r="J110" s="153"/>
      <c r="K110" s="154"/>
      <c r="L110" s="154"/>
      <c r="M110" s="154"/>
    </row>
    <row r="111" spans="1:13" ht="27.75" customHeight="1" x14ac:dyDescent="0.2">
      <c r="A111" s="142"/>
      <c r="B111" s="142"/>
      <c r="C111" s="142"/>
      <c r="D111" s="143"/>
      <c r="E111" s="143"/>
      <c r="F111" s="143"/>
      <c r="G111" s="143"/>
      <c r="H111" s="143"/>
      <c r="I111" s="144"/>
      <c r="J111" s="145"/>
      <c r="K111" s="145"/>
      <c r="L111" s="142"/>
      <c r="M111" s="146"/>
    </row>
    <row r="112" spans="1:13" ht="27.75" customHeight="1" x14ac:dyDescent="0.2">
      <c r="A112" s="142"/>
      <c r="B112" s="142"/>
      <c r="C112" s="142"/>
      <c r="D112" s="143"/>
      <c r="E112" s="143"/>
      <c r="F112" s="143"/>
      <c r="G112" s="143"/>
      <c r="H112" s="143"/>
      <c r="I112" s="144"/>
      <c r="J112" s="145"/>
      <c r="K112" s="145"/>
      <c r="L112" s="142"/>
      <c r="M112" s="146"/>
    </row>
    <row r="113" spans="1:13" ht="39.950000000000003" customHeight="1" x14ac:dyDescent="0.2">
      <c r="A113" s="382" t="str">
        <f>Overview!B4&amp;" - Effective from "&amp;TEXT(Overview!$D$4,"d mmmm yyyy")&amp;" - Final Schedule of Charges for use of the Distribution System by EHV Properties (including LDNOs with EHV Properties/end-users) in WPD South West Area (GSP Group_L)"</f>
        <v>Leep Electricity Networks Limited - Effective from 1 April 2026 - Final Schedule of Charges for use of the Distribution System by EHV Properties (including LDNOs with EHV Properties/end-users) in WPD South West Area (GSP Group_L)</v>
      </c>
      <c r="B113" s="383"/>
      <c r="C113" s="383"/>
      <c r="D113" s="383"/>
      <c r="E113" s="383"/>
      <c r="F113" s="383"/>
      <c r="G113" s="383"/>
      <c r="H113" s="383"/>
      <c r="I113" s="383"/>
      <c r="J113" s="383"/>
      <c r="K113" s="383"/>
      <c r="L113" s="431"/>
      <c r="M113" s="432"/>
    </row>
    <row r="114" spans="1:13" ht="27.75" customHeight="1" x14ac:dyDescent="0.2">
      <c r="A114" s="126"/>
      <c r="B114" s="126"/>
      <c r="C114" s="126"/>
      <c r="D114" s="126"/>
      <c r="E114" s="126"/>
      <c r="F114" s="126"/>
      <c r="G114" s="126"/>
      <c r="H114" s="126"/>
      <c r="I114" s="126"/>
      <c r="J114" s="126"/>
      <c r="K114" s="126"/>
      <c r="L114" s="126"/>
      <c r="M114" s="126"/>
    </row>
    <row r="115" spans="1:13" ht="27.75" customHeight="1" x14ac:dyDescent="0.2">
      <c r="A115" s="433" t="s">
        <v>474</v>
      </c>
      <c r="B115" s="434"/>
      <c r="C115" s="434"/>
      <c r="D115" s="434"/>
      <c r="E115" s="434"/>
      <c r="F115" s="435"/>
      <c r="G115" s="126"/>
      <c r="H115" s="126"/>
      <c r="I115" s="126"/>
      <c r="J115" s="126"/>
      <c r="K115" s="126"/>
      <c r="L115" s="126"/>
      <c r="M115" s="126"/>
    </row>
    <row r="116" spans="1:13" ht="27.75" customHeight="1" x14ac:dyDescent="0.2">
      <c r="A116" s="442" t="s">
        <v>13</v>
      </c>
      <c r="B116" s="443"/>
      <c r="C116" s="443"/>
      <c r="D116" s="439" t="s">
        <v>304</v>
      </c>
      <c r="E116" s="440"/>
      <c r="F116" s="441"/>
      <c r="G116" s="126"/>
      <c r="H116" s="126"/>
      <c r="I116" s="126"/>
      <c r="J116" s="126"/>
      <c r="K116" s="126"/>
      <c r="L116" s="126"/>
      <c r="M116" s="126"/>
    </row>
    <row r="117" spans="1:13" ht="45" customHeight="1" x14ac:dyDescent="0.2">
      <c r="A117" s="412" t="s">
        <v>478</v>
      </c>
      <c r="B117" s="412"/>
      <c r="C117" s="412"/>
      <c r="D117" s="389" t="s">
        <v>480</v>
      </c>
      <c r="E117" s="390"/>
      <c r="F117" s="391"/>
      <c r="G117" s="126"/>
      <c r="H117" s="126"/>
      <c r="I117" s="126"/>
      <c r="J117" s="126"/>
      <c r="K117" s="126"/>
      <c r="L117" s="126"/>
      <c r="M117" s="126"/>
    </row>
    <row r="118" spans="1:13" ht="20.25" customHeight="1" x14ac:dyDescent="0.2">
      <c r="A118" s="412" t="s">
        <v>14</v>
      </c>
      <c r="B118" s="412"/>
      <c r="C118" s="412"/>
      <c r="D118" s="389" t="s">
        <v>15</v>
      </c>
      <c r="E118" s="390"/>
      <c r="F118" s="391"/>
      <c r="G118" s="126"/>
      <c r="H118" s="126"/>
      <c r="I118" s="126"/>
      <c r="J118" s="126"/>
      <c r="K118" s="126"/>
      <c r="L118" s="126"/>
      <c r="M118" s="126"/>
    </row>
    <row r="119" spans="1:13" ht="27.75" customHeight="1" x14ac:dyDescent="0.2">
      <c r="A119" s="444"/>
      <c r="B119" s="444"/>
      <c r="C119" s="444"/>
      <c r="D119" s="445"/>
      <c r="E119" s="390"/>
      <c r="F119" s="446"/>
      <c r="G119" s="126"/>
      <c r="H119" s="126"/>
      <c r="I119" s="126"/>
      <c r="J119" s="126"/>
      <c r="K119" s="126"/>
      <c r="L119" s="126"/>
      <c r="M119" s="126"/>
    </row>
    <row r="120" spans="1:13" ht="63.75" customHeight="1" x14ac:dyDescent="0.2">
      <c r="A120" s="33" t="s">
        <v>475</v>
      </c>
      <c r="B120" s="128" t="s">
        <v>286</v>
      </c>
      <c r="C120" s="33" t="s">
        <v>476</v>
      </c>
      <c r="D120" s="128" t="s">
        <v>287</v>
      </c>
      <c r="E120" s="129" t="s">
        <v>29</v>
      </c>
      <c r="F120" s="130" t="s">
        <v>406</v>
      </c>
      <c r="G120" s="129" t="s">
        <v>297</v>
      </c>
      <c r="H120" s="129" t="s">
        <v>404</v>
      </c>
      <c r="I120" s="129" t="s">
        <v>460</v>
      </c>
      <c r="J120" s="129" t="s">
        <v>407</v>
      </c>
      <c r="K120" s="129" t="s">
        <v>298</v>
      </c>
      <c r="L120" s="129" t="s">
        <v>405</v>
      </c>
      <c r="M120" s="129" t="s">
        <v>461</v>
      </c>
    </row>
    <row r="121" spans="1:13" ht="15" customHeight="1" x14ac:dyDescent="0.2">
      <c r="A121" s="147"/>
      <c r="B121" s="148"/>
      <c r="C121" s="148"/>
      <c r="D121" s="161"/>
      <c r="E121" s="148"/>
      <c r="F121" s="151"/>
      <c r="G121" s="152"/>
      <c r="H121" s="152"/>
      <c r="I121" s="152"/>
      <c r="J121" s="153"/>
      <c r="K121" s="154"/>
      <c r="L121" s="154"/>
      <c r="M121" s="154"/>
    </row>
    <row r="122" spans="1:13" ht="27.75" customHeight="1" x14ac:dyDescent="0.2">
      <c r="A122" s="142"/>
      <c r="B122" s="142"/>
      <c r="C122" s="142"/>
      <c r="D122" s="143"/>
      <c r="E122" s="143"/>
      <c r="F122" s="143"/>
      <c r="G122" s="143"/>
      <c r="H122" s="143"/>
      <c r="I122" s="144"/>
      <c r="J122" s="145"/>
      <c r="K122" s="145"/>
      <c r="L122" s="142"/>
      <c r="M122" s="146"/>
    </row>
    <row r="123" spans="1:13" ht="27.75" customHeight="1" x14ac:dyDescent="0.2">
      <c r="A123" s="142"/>
      <c r="B123" s="142"/>
      <c r="C123" s="142"/>
      <c r="D123" s="143"/>
      <c r="E123" s="143"/>
      <c r="F123" s="143"/>
      <c r="G123" s="143"/>
      <c r="H123" s="143"/>
      <c r="I123" s="144"/>
      <c r="J123" s="145"/>
      <c r="K123" s="145"/>
      <c r="L123" s="142"/>
      <c r="M123" s="146"/>
    </row>
    <row r="124" spans="1:13" ht="39.950000000000003" customHeight="1" x14ac:dyDescent="0.2">
      <c r="A124" s="382" t="str">
        <f>Overview!B4&amp;" - Effective from "&amp;TEXT(Overview!$D$4,"d mmmm yyyy")&amp;" - Final Schedule of Charges for use of the Distribution System by EHV Properties (including LDNOs with EHV Properties/end-users) in NPG Yorkshire Area (GSP Group_M)"</f>
        <v>Leep Electricity Networks Limited - Effective from 1 April 2026 - Final Schedule of Charges for use of the Distribution System by EHV Properties (including LDNOs with EHV Properties/end-users) in NPG Yorkshire Area (GSP Group_M)</v>
      </c>
      <c r="B124" s="383"/>
      <c r="C124" s="383"/>
      <c r="D124" s="383"/>
      <c r="E124" s="383"/>
      <c r="F124" s="383"/>
      <c r="G124" s="383"/>
      <c r="H124" s="383"/>
      <c r="I124" s="383"/>
      <c r="J124" s="383"/>
      <c r="K124" s="383"/>
      <c r="L124" s="431"/>
      <c r="M124" s="432"/>
    </row>
    <row r="125" spans="1:13" ht="27.75" customHeight="1" x14ac:dyDescent="0.2">
      <c r="A125" s="126"/>
      <c r="B125" s="126"/>
      <c r="C125" s="126"/>
      <c r="D125" s="126"/>
      <c r="E125" s="126"/>
      <c r="F125" s="126"/>
      <c r="G125" s="126"/>
      <c r="H125" s="126"/>
      <c r="I125" s="126"/>
      <c r="J125" s="126"/>
      <c r="K125" s="126"/>
      <c r="L125" s="126"/>
      <c r="M125" s="126"/>
    </row>
    <row r="126" spans="1:13" ht="27.75" customHeight="1" x14ac:dyDescent="0.2">
      <c r="A126" s="433" t="s">
        <v>474</v>
      </c>
      <c r="B126" s="434"/>
      <c r="C126" s="434"/>
      <c r="D126" s="434"/>
      <c r="E126" s="434"/>
      <c r="F126" s="435"/>
      <c r="G126" s="126"/>
      <c r="H126" s="126"/>
      <c r="I126" s="126"/>
      <c r="J126" s="126"/>
      <c r="K126" s="126"/>
      <c r="L126" s="126"/>
      <c r="M126" s="126"/>
    </row>
    <row r="127" spans="1:13" ht="27.75" customHeight="1" x14ac:dyDescent="0.2">
      <c r="A127" s="436" t="s">
        <v>13</v>
      </c>
      <c r="B127" s="437"/>
      <c r="C127" s="438"/>
      <c r="D127" s="439" t="s">
        <v>304</v>
      </c>
      <c r="E127" s="440"/>
      <c r="F127" s="441"/>
      <c r="G127" s="126"/>
      <c r="H127" s="126"/>
      <c r="I127" s="126"/>
      <c r="J127" s="126"/>
      <c r="K127" s="126"/>
      <c r="L127" s="126"/>
      <c r="M127" s="126"/>
    </row>
    <row r="128" spans="1:13" ht="45" customHeight="1" x14ac:dyDescent="0.2">
      <c r="A128" s="400" t="s">
        <v>303</v>
      </c>
      <c r="B128" s="418"/>
      <c r="C128" s="401"/>
      <c r="D128" s="389" t="s">
        <v>497</v>
      </c>
      <c r="E128" s="390"/>
      <c r="F128" s="391"/>
      <c r="G128" s="126"/>
      <c r="H128" s="126"/>
      <c r="I128" s="126"/>
      <c r="J128" s="126"/>
      <c r="K128" s="126"/>
      <c r="L128" s="126"/>
      <c r="M128" s="126"/>
    </row>
    <row r="129" spans="1:13" ht="20.25" customHeight="1" x14ac:dyDescent="0.2">
      <c r="A129" s="412" t="s">
        <v>14</v>
      </c>
      <c r="B129" s="412"/>
      <c r="C129" s="412"/>
      <c r="D129" s="389" t="s">
        <v>15</v>
      </c>
      <c r="E129" s="390"/>
      <c r="F129" s="391"/>
      <c r="G129" s="126"/>
      <c r="H129" s="160"/>
      <c r="I129" s="160"/>
      <c r="J129" s="160"/>
      <c r="K129" s="160"/>
      <c r="L129" s="160"/>
      <c r="M129" s="160"/>
    </row>
    <row r="130" spans="1:13" ht="27.75" customHeight="1" x14ac:dyDescent="0.2">
      <c r="A130" s="126"/>
      <c r="B130" s="126"/>
      <c r="C130" s="126"/>
      <c r="D130" s="126"/>
      <c r="E130" s="126"/>
      <c r="F130" s="126"/>
      <c r="G130" s="126"/>
      <c r="H130" s="126"/>
      <c r="I130" s="126"/>
      <c r="J130" s="126"/>
      <c r="K130" s="126"/>
      <c r="L130" s="126"/>
      <c r="M130" s="126"/>
    </row>
    <row r="131" spans="1:13" ht="63.75" customHeight="1" x14ac:dyDescent="0.2">
      <c r="A131" s="33" t="s">
        <v>475</v>
      </c>
      <c r="B131" s="128" t="s">
        <v>286</v>
      </c>
      <c r="C131" s="33" t="s">
        <v>476</v>
      </c>
      <c r="D131" s="128" t="s">
        <v>287</v>
      </c>
      <c r="E131" s="129" t="s">
        <v>29</v>
      </c>
      <c r="F131" s="130" t="s">
        <v>406</v>
      </c>
      <c r="G131" s="129" t="s">
        <v>297</v>
      </c>
      <c r="H131" s="129" t="s">
        <v>404</v>
      </c>
      <c r="I131" s="129" t="s">
        <v>460</v>
      </c>
      <c r="J131" s="129" t="s">
        <v>407</v>
      </c>
      <c r="K131" s="129" t="s">
        <v>298</v>
      </c>
      <c r="L131" s="129" t="s">
        <v>405</v>
      </c>
      <c r="M131" s="129" t="s">
        <v>461</v>
      </c>
    </row>
    <row r="132" spans="1:13" ht="15" customHeight="1" x14ac:dyDescent="0.2">
      <c r="A132" s="173"/>
      <c r="B132" s="161"/>
      <c r="C132" s="173"/>
      <c r="D132" s="161"/>
      <c r="E132" s="150"/>
      <c r="F132" s="174"/>
      <c r="G132" s="175"/>
      <c r="H132" s="175"/>
      <c r="I132" s="175"/>
      <c r="J132" s="176"/>
      <c r="K132" s="177"/>
      <c r="L132" s="177"/>
      <c r="M132" s="177"/>
    </row>
    <row r="133" spans="1:13" ht="27.75" customHeight="1" x14ac:dyDescent="0.2">
      <c r="C133" s="98"/>
      <c r="D133" s="98"/>
      <c r="E133" s="98"/>
      <c r="F133" s="98"/>
      <c r="G133" s="98"/>
      <c r="H133" s="98"/>
      <c r="I133" s="98"/>
    </row>
    <row r="134" spans="1:13" ht="27.75" customHeight="1" x14ac:dyDescent="0.2">
      <c r="A134" s="142"/>
      <c r="B134" s="142"/>
      <c r="C134" s="142"/>
      <c r="D134" s="143"/>
      <c r="E134" s="143"/>
      <c r="F134" s="143"/>
      <c r="G134" s="143"/>
      <c r="H134" s="143"/>
      <c r="I134" s="144"/>
      <c r="J134" s="145"/>
      <c r="K134" s="145"/>
      <c r="L134" s="142"/>
      <c r="M134" s="146"/>
    </row>
    <row r="135" spans="1:13" ht="39.950000000000003" customHeight="1" x14ac:dyDescent="0.2">
      <c r="A135" s="382" t="str">
        <f>Overview!B4&amp;" - Effective from "&amp;TEXT(Overview!$D$4,"d mmmm yyyy")&amp;" - Final Schedule of Charges for use of the Distribution System by EHV Properties (including LDNOs with EHV Properties/end-users) in SP Distribution Area (GSP Group_N)"</f>
        <v>Leep Electricity Networks Limited - Effective from 1 April 2026 - Final Schedule of Charges for use of the Distribution System by EHV Properties (including LDNOs with EHV Properties/end-users) in SP Distribution Area (GSP Group_N)</v>
      </c>
      <c r="B135" s="383"/>
      <c r="C135" s="383"/>
      <c r="D135" s="383"/>
      <c r="E135" s="383"/>
      <c r="F135" s="383"/>
      <c r="G135" s="383"/>
      <c r="H135" s="383"/>
      <c r="I135" s="383"/>
      <c r="J135" s="383"/>
      <c r="K135" s="383"/>
      <c r="L135" s="383"/>
      <c r="M135" s="384"/>
    </row>
    <row r="136" spans="1:13" ht="27.75" customHeight="1" x14ac:dyDescent="0.2">
      <c r="A136" s="126"/>
      <c r="B136" s="126"/>
      <c r="C136" s="126"/>
      <c r="D136" s="126"/>
      <c r="E136" s="126"/>
      <c r="F136" s="126"/>
      <c r="G136" s="126"/>
      <c r="H136" s="126"/>
      <c r="I136" s="127"/>
      <c r="J136" s="126"/>
      <c r="K136" s="126"/>
      <c r="L136" s="126"/>
      <c r="M136" s="127"/>
    </row>
    <row r="137" spans="1:13" ht="27.75" customHeight="1" x14ac:dyDescent="0.2">
      <c r="A137" s="433" t="s">
        <v>474</v>
      </c>
      <c r="B137" s="434"/>
      <c r="C137" s="434"/>
      <c r="D137" s="434"/>
      <c r="E137" s="434"/>
      <c r="F137" s="435"/>
      <c r="G137" s="126"/>
      <c r="H137" s="126"/>
      <c r="I137" s="127"/>
      <c r="J137" s="126"/>
      <c r="K137" s="126"/>
      <c r="L137" s="126"/>
      <c r="M137" s="127"/>
    </row>
    <row r="138" spans="1:13" ht="27.75" customHeight="1" x14ac:dyDescent="0.2">
      <c r="A138" s="456" t="s">
        <v>13</v>
      </c>
      <c r="B138" s="457"/>
      <c r="C138" s="457"/>
      <c r="D138" s="458" t="s">
        <v>304</v>
      </c>
      <c r="E138" s="459"/>
      <c r="F138" s="460"/>
      <c r="G138" s="126"/>
      <c r="H138" s="126"/>
      <c r="I138" s="127"/>
      <c r="J138" s="126"/>
      <c r="K138" s="126"/>
      <c r="L138" s="126"/>
      <c r="M138" s="127"/>
    </row>
    <row r="139" spans="1:13" ht="39.950000000000003" customHeight="1" x14ac:dyDescent="0.2">
      <c r="A139" s="412" t="s">
        <v>302</v>
      </c>
      <c r="B139" s="412"/>
      <c r="C139" s="412"/>
      <c r="D139" s="463"/>
      <c r="E139" s="463"/>
      <c r="F139" s="463"/>
      <c r="G139" s="126"/>
      <c r="H139" s="126"/>
      <c r="I139" s="127"/>
      <c r="J139" s="126"/>
      <c r="K139" s="126"/>
      <c r="L139" s="126"/>
      <c r="M139" s="127"/>
    </row>
    <row r="140" spans="1:13" ht="39.950000000000003" customHeight="1" x14ac:dyDescent="0.2">
      <c r="A140" s="412" t="s">
        <v>303</v>
      </c>
      <c r="B140" s="412"/>
      <c r="C140" s="412"/>
      <c r="D140" s="378" t="s">
        <v>477</v>
      </c>
      <c r="E140" s="378"/>
      <c r="F140" s="378"/>
      <c r="G140" s="126"/>
      <c r="H140" s="126"/>
      <c r="I140" s="127"/>
      <c r="J140" s="126"/>
      <c r="K140" s="126"/>
      <c r="L140" s="126"/>
      <c r="M140" s="127"/>
    </row>
    <row r="141" spans="1:13" ht="27.75" customHeight="1" x14ac:dyDescent="0.2">
      <c r="A141" s="412" t="s">
        <v>14</v>
      </c>
      <c r="B141" s="412"/>
      <c r="C141" s="412"/>
      <c r="D141" s="378" t="s">
        <v>15</v>
      </c>
      <c r="E141" s="378"/>
      <c r="F141" s="378"/>
      <c r="G141" s="126"/>
      <c r="H141" s="126"/>
      <c r="I141" s="127"/>
      <c r="J141" s="126"/>
      <c r="K141" s="126"/>
      <c r="L141" s="126"/>
      <c r="M141" s="127"/>
    </row>
    <row r="142" spans="1:13" ht="27.75" customHeight="1" x14ac:dyDescent="0.2">
      <c r="A142" s="126"/>
      <c r="B142" s="126"/>
      <c r="C142" s="126"/>
      <c r="D142" s="126"/>
      <c r="E142" s="126"/>
      <c r="F142" s="126"/>
      <c r="G142" s="126"/>
      <c r="H142" s="126"/>
      <c r="I142" s="127"/>
      <c r="J142" s="126"/>
      <c r="K142" s="126"/>
      <c r="L142" s="126"/>
      <c r="M142" s="127"/>
    </row>
    <row r="143" spans="1:13" ht="63.95" customHeight="1" x14ac:dyDescent="0.2">
      <c r="A143" s="33" t="s">
        <v>475</v>
      </c>
      <c r="B143" s="128" t="s">
        <v>286</v>
      </c>
      <c r="C143" s="33" t="s">
        <v>476</v>
      </c>
      <c r="D143" s="128" t="s">
        <v>287</v>
      </c>
      <c r="E143" s="129" t="s">
        <v>29</v>
      </c>
      <c r="F143" s="130" t="s">
        <v>406</v>
      </c>
      <c r="G143" s="129" t="s">
        <v>297</v>
      </c>
      <c r="H143" s="129" t="s">
        <v>404</v>
      </c>
      <c r="I143" s="129" t="s">
        <v>460</v>
      </c>
      <c r="J143" s="129" t="s">
        <v>407</v>
      </c>
      <c r="K143" s="129" t="s">
        <v>298</v>
      </c>
      <c r="L143" s="129" t="s">
        <v>405</v>
      </c>
      <c r="M143" s="129" t="s">
        <v>461</v>
      </c>
    </row>
    <row r="144" spans="1:13" ht="27.75" customHeight="1" x14ac:dyDescent="0.2">
      <c r="A144" s="147"/>
      <c r="B144" s="168"/>
      <c r="C144" s="149"/>
      <c r="D144" s="155"/>
      <c r="E144" s="150"/>
      <c r="F144" s="169"/>
      <c r="G144" s="141"/>
      <c r="H144" s="170"/>
      <c r="I144" s="170"/>
      <c r="J144" s="153"/>
      <c r="K144" s="171"/>
      <c r="L144" s="154"/>
      <c r="M144" s="154"/>
    </row>
    <row r="145" spans="1:13" ht="27.75" customHeight="1" x14ac:dyDescent="0.2">
      <c r="C145" s="98"/>
      <c r="D145" s="98"/>
      <c r="E145" s="98"/>
      <c r="F145" s="98"/>
      <c r="G145" s="98"/>
      <c r="H145" s="98"/>
      <c r="I145" s="98"/>
    </row>
    <row r="146" spans="1:13" ht="27.75" customHeight="1" x14ac:dyDescent="0.2">
      <c r="A146" s="142"/>
      <c r="B146" s="142"/>
      <c r="C146" s="142"/>
      <c r="D146" s="143"/>
      <c r="E146" s="143"/>
      <c r="F146" s="143"/>
      <c r="G146" s="143"/>
      <c r="H146" s="143"/>
      <c r="I146" s="144"/>
      <c r="J146" s="145"/>
      <c r="K146" s="145"/>
      <c r="L146" s="142"/>
      <c r="M146" s="146"/>
    </row>
    <row r="147" spans="1:13" ht="48.75" customHeight="1" x14ac:dyDescent="0.2">
      <c r="A147" s="382" t="str">
        <f>Overview!$B$4&amp;" - Effective from "&amp;Overview!$D$4&amp;" - Final Schedule of Charges for use of the Distribution System by EHV Properties (including LDNOs with EHV Properties/end-users) in SSE SHEPD Area (GSP Group_P)"</f>
        <v>Leep Electricity Networks Limited - Effective from 46113 - Final Schedule of Charges for use of the Distribution System by EHV Properties (including LDNOs with EHV Properties/end-users) in SSE SHEPD Area (GSP Group_P)</v>
      </c>
      <c r="B147" s="383"/>
      <c r="C147" s="383"/>
      <c r="D147" s="383"/>
      <c r="E147" s="383"/>
      <c r="F147" s="383"/>
      <c r="G147" s="383"/>
      <c r="H147" s="383"/>
      <c r="I147" s="383"/>
      <c r="J147" s="383"/>
      <c r="K147" s="383"/>
      <c r="L147" s="431"/>
      <c r="M147" s="432"/>
    </row>
    <row r="148" spans="1:13" ht="27.75" customHeight="1" x14ac:dyDescent="0.2">
      <c r="A148" s="142"/>
      <c r="B148" s="142"/>
      <c r="C148" s="142"/>
      <c r="D148" s="143"/>
      <c r="E148" s="143"/>
      <c r="F148" s="143"/>
      <c r="G148" s="143"/>
      <c r="H148" s="143"/>
      <c r="I148" s="144"/>
      <c r="J148" s="145"/>
      <c r="K148" s="145"/>
      <c r="L148" s="142"/>
      <c r="M148" s="146"/>
    </row>
    <row r="149" spans="1:13" ht="27.75" customHeight="1" x14ac:dyDescent="0.2">
      <c r="A149" s="433" t="s">
        <v>474</v>
      </c>
      <c r="B149" s="434"/>
      <c r="C149" s="434"/>
      <c r="D149" s="434"/>
      <c r="E149" s="434"/>
      <c r="F149" s="435"/>
      <c r="G149" s="143"/>
      <c r="H149" s="143"/>
      <c r="I149" s="144"/>
      <c r="J149" s="145"/>
      <c r="K149" s="145"/>
      <c r="L149" s="142"/>
      <c r="M149" s="146"/>
    </row>
    <row r="150" spans="1:13" ht="27.75" customHeight="1" x14ac:dyDescent="0.2">
      <c r="A150" s="436" t="s">
        <v>13</v>
      </c>
      <c r="B150" s="437"/>
      <c r="C150" s="438"/>
      <c r="D150" s="439" t="s">
        <v>304</v>
      </c>
      <c r="E150" s="440"/>
      <c r="F150" s="441"/>
      <c r="G150" s="143"/>
      <c r="H150" s="143"/>
      <c r="I150" s="144"/>
      <c r="J150" s="145"/>
      <c r="K150" s="145"/>
      <c r="L150" s="142"/>
      <c r="M150" s="146"/>
    </row>
    <row r="151" spans="1:13" ht="48" customHeight="1" x14ac:dyDescent="0.2">
      <c r="A151" s="412" t="s">
        <v>303</v>
      </c>
      <c r="B151" s="412"/>
      <c r="C151" s="412"/>
      <c r="D151" s="378" t="s">
        <v>469</v>
      </c>
      <c r="E151" s="378"/>
      <c r="F151" s="378"/>
      <c r="G151" s="143"/>
      <c r="H151" s="143"/>
      <c r="I151" s="144"/>
      <c r="J151" s="145"/>
      <c r="K151" s="145"/>
      <c r="L151" s="142"/>
      <c r="M151" s="146"/>
    </row>
    <row r="152" spans="1:13" ht="27.75" customHeight="1" x14ac:dyDescent="0.2">
      <c r="A152" s="412" t="s">
        <v>14</v>
      </c>
      <c r="B152" s="412"/>
      <c r="C152" s="412"/>
      <c r="D152" s="389" t="s">
        <v>15</v>
      </c>
      <c r="E152" s="390"/>
      <c r="F152" s="391"/>
      <c r="G152" s="143"/>
      <c r="H152" s="143"/>
      <c r="I152" s="144"/>
      <c r="J152" s="145"/>
      <c r="K152" s="145"/>
      <c r="L152" s="142"/>
      <c r="M152" s="146"/>
    </row>
    <row r="153" spans="1:13" ht="27.75" customHeight="1" x14ac:dyDescent="0.2">
      <c r="A153" s="142"/>
      <c r="B153" s="142"/>
      <c r="C153" s="142"/>
      <c r="D153" s="143"/>
      <c r="E153" s="143"/>
      <c r="F153" s="143"/>
      <c r="G153" s="143"/>
      <c r="H153" s="143"/>
      <c r="I153" s="144"/>
      <c r="J153" s="145"/>
      <c r="K153" s="145"/>
      <c r="L153" s="142"/>
      <c r="M153" s="146"/>
    </row>
    <row r="154" spans="1:13" ht="63.95" customHeight="1" x14ac:dyDescent="0.2">
      <c r="A154" s="33" t="s">
        <v>475</v>
      </c>
      <c r="B154" s="128" t="s">
        <v>286</v>
      </c>
      <c r="C154" s="33" t="s">
        <v>476</v>
      </c>
      <c r="D154" s="128" t="s">
        <v>287</v>
      </c>
      <c r="E154" s="129" t="s">
        <v>29</v>
      </c>
      <c r="F154" s="130" t="s">
        <v>406</v>
      </c>
      <c r="G154" s="129" t="s">
        <v>297</v>
      </c>
      <c r="H154" s="129" t="s">
        <v>404</v>
      </c>
      <c r="I154" s="129" t="s">
        <v>460</v>
      </c>
      <c r="J154" s="129" t="s">
        <v>407</v>
      </c>
      <c r="K154" s="129" t="s">
        <v>298</v>
      </c>
      <c r="L154" s="129" t="s">
        <v>405</v>
      </c>
      <c r="M154" s="129" t="s">
        <v>461</v>
      </c>
    </row>
    <row r="155" spans="1:13" ht="27.75" customHeight="1" x14ac:dyDescent="0.2">
      <c r="A155" s="149"/>
      <c r="B155" s="161"/>
      <c r="C155" s="149"/>
      <c r="D155" s="161"/>
      <c r="E155" s="150"/>
      <c r="F155" s="166"/>
      <c r="G155" s="167"/>
      <c r="H155" s="167"/>
      <c r="I155" s="167"/>
      <c r="J155" s="164"/>
      <c r="K155" s="165"/>
      <c r="L155" s="165"/>
      <c r="M155" s="165"/>
    </row>
    <row r="156" spans="1:13" ht="27.75" customHeight="1" x14ac:dyDescent="0.2">
      <c r="C156" s="98"/>
      <c r="D156" s="98"/>
      <c r="E156" s="98"/>
      <c r="F156" s="98"/>
      <c r="G156" s="98"/>
      <c r="H156" s="98"/>
      <c r="I156" s="98"/>
    </row>
    <row r="157" spans="1:13" ht="27.75" customHeight="1" x14ac:dyDescent="0.2">
      <c r="A157" s="142"/>
      <c r="B157" s="142"/>
      <c r="C157" s="142"/>
      <c r="D157" s="143"/>
      <c r="E157" s="143"/>
      <c r="F157" s="143"/>
      <c r="G157" s="143"/>
      <c r="H157" s="143"/>
      <c r="I157" s="144"/>
      <c r="J157" s="145"/>
      <c r="K157" s="145"/>
      <c r="L157" s="142"/>
      <c r="M157" s="146"/>
    </row>
  </sheetData>
  <sheetProtection autoFilter="0"/>
  <mergeCells count="125">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D27:F27"/>
    <mergeCell ref="A28:C28"/>
    <mergeCell ref="D28:F28"/>
    <mergeCell ref="A29:C29"/>
    <mergeCell ref="D29:F29"/>
    <mergeCell ref="A30:C30"/>
    <mergeCell ref="D30:F30"/>
    <mergeCell ref="A36:M36"/>
    <mergeCell ref="A38:F38"/>
    <mergeCell ref="A27:C27"/>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A62:C62"/>
    <mergeCell ref="D62:F62"/>
    <mergeCell ref="A63:C63"/>
    <mergeCell ref="D63:F63"/>
    <mergeCell ref="A64:C64"/>
    <mergeCell ref="D64:F64"/>
    <mergeCell ref="A70:M70"/>
    <mergeCell ref="A72:F72"/>
    <mergeCell ref="A73:C73"/>
    <mergeCell ref="D73:F7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105:C105"/>
    <mergeCell ref="D105:F105"/>
    <mergeCell ref="A106:C106"/>
    <mergeCell ref="D106:F106"/>
    <mergeCell ref="A107:C107"/>
    <mergeCell ref="D107:F107"/>
    <mergeCell ref="A108:C108"/>
    <mergeCell ref="D108:F108"/>
    <mergeCell ref="A113:M113"/>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s>
  <hyperlinks>
    <hyperlink ref="A1" location="Overview!A1" display="Back to Overview" xr:uid="{62B916AB-3053-4963-A3C7-31D2522FE49B}"/>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2"/>
  <sheetViews>
    <sheetView zoomScale="80" zoomScaleNormal="80" workbookViewId="0"/>
  </sheetViews>
  <sheetFormatPr defaultRowHeight="12.75" x14ac:dyDescent="0.2"/>
  <cols>
    <col min="1" max="1" width="47.7109375" customWidth="1"/>
    <col min="2" max="2" width="17.5703125" customWidth="1"/>
    <col min="4" max="10" width="17.5703125" customWidth="1"/>
  </cols>
  <sheetData>
    <row r="1" spans="1:12" s="1" customFormat="1" ht="27.75" customHeight="1" x14ac:dyDescent="0.2">
      <c r="A1" s="32" t="s">
        <v>19</v>
      </c>
      <c r="B1" s="2"/>
      <c r="D1" s="2"/>
      <c r="E1" s="2"/>
      <c r="F1" s="2"/>
      <c r="G1" s="7"/>
      <c r="H1" s="3"/>
      <c r="I1" s="3"/>
    </row>
    <row r="2" spans="1:12" s="1" customFormat="1" ht="27" customHeight="1" x14ac:dyDescent="0.2">
      <c r="A2" s="371" t="str">
        <f>Overview!B4&amp; " - Effective from "&amp;TEXT(Overview!$D$4,"d mmmm yyyy")&amp;" - "&amp;Overview!E4&amp;" LV and HV tariffs in E &amp; W"</f>
        <v>Leep Electricity Networks Limited - Effective from 1 April 2026 - Final LV and HV tariffs in E &amp; W</v>
      </c>
      <c r="B2" s="371"/>
      <c r="C2" s="371"/>
      <c r="D2" s="371"/>
      <c r="E2" s="371"/>
      <c r="F2" s="371"/>
      <c r="G2" s="371"/>
      <c r="H2" s="371"/>
      <c r="I2" s="371"/>
      <c r="J2" s="371"/>
      <c r="K2" s="3"/>
      <c r="L2" s="3"/>
    </row>
    <row r="3" spans="1:12" s="1" customFormat="1" ht="27" customHeight="1" x14ac:dyDescent="0.2">
      <c r="A3" s="469" t="s">
        <v>271</v>
      </c>
      <c r="B3" s="469"/>
      <c r="C3" s="469"/>
      <c r="D3" s="469"/>
      <c r="E3" s="469"/>
      <c r="F3" s="469"/>
      <c r="G3" s="469"/>
      <c r="H3" s="469"/>
      <c r="I3" s="469"/>
      <c r="J3" s="469"/>
      <c r="K3" s="3"/>
      <c r="L3" s="3"/>
    </row>
    <row r="4" spans="1:12" s="1" customFormat="1" ht="71.25" customHeight="1" x14ac:dyDescent="0.2">
      <c r="A4" s="9"/>
      <c r="B4" s="19" t="s">
        <v>0</v>
      </c>
      <c r="C4" s="16" t="s">
        <v>24</v>
      </c>
      <c r="D4" s="16"/>
      <c r="E4" s="16"/>
      <c r="F4" s="16"/>
      <c r="G4" s="16"/>
      <c r="H4" s="16"/>
      <c r="I4" s="16"/>
      <c r="J4" s="16"/>
      <c r="K4" s="3"/>
      <c r="L4" s="3"/>
    </row>
    <row r="5" spans="1:12" s="1" customFormat="1" ht="32.25" customHeight="1" x14ac:dyDescent="0.2">
      <c r="A5" s="10"/>
      <c r="B5" s="25"/>
      <c r="C5" s="179"/>
      <c r="D5" s="180"/>
      <c r="E5" s="180"/>
      <c r="F5" s="180"/>
      <c r="G5" s="17"/>
      <c r="H5" s="17"/>
      <c r="I5" s="17"/>
      <c r="J5" s="17"/>
      <c r="K5" s="3"/>
      <c r="L5" s="3"/>
    </row>
    <row r="6" spans="1:12" ht="20.100000000000001" customHeight="1" x14ac:dyDescent="0.2">
      <c r="A6" s="181" t="s">
        <v>2</v>
      </c>
      <c r="B6" s="470" t="s">
        <v>3</v>
      </c>
      <c r="C6" s="471"/>
      <c r="D6" s="471"/>
      <c r="E6" s="471"/>
      <c r="F6" s="471"/>
      <c r="G6" s="471"/>
      <c r="H6" s="472"/>
      <c r="I6" s="472"/>
      <c r="J6" s="473"/>
    </row>
    <row r="7" spans="1:12" x14ac:dyDescent="0.2">
      <c r="A7" s="31"/>
      <c r="B7" s="31"/>
      <c r="C7" s="31"/>
      <c r="D7" s="31"/>
      <c r="E7" s="31"/>
      <c r="F7" s="31"/>
      <c r="G7" s="31"/>
      <c r="H7" s="31"/>
      <c r="I7" s="31"/>
      <c r="J7" s="31"/>
    </row>
    <row r="8" spans="1:12" x14ac:dyDescent="0.2">
      <c r="A8" s="31"/>
      <c r="B8" s="31"/>
      <c r="C8" s="31"/>
      <c r="D8" s="31"/>
      <c r="E8" s="31"/>
      <c r="F8" s="31"/>
      <c r="G8" s="31"/>
      <c r="H8" s="31"/>
      <c r="I8" s="31"/>
      <c r="J8" s="31"/>
    </row>
    <row r="9" spans="1:12" s="1" customFormat="1" ht="27" customHeight="1" x14ac:dyDescent="0.2">
      <c r="A9" s="469" t="s">
        <v>272</v>
      </c>
      <c r="B9" s="469"/>
      <c r="C9" s="469"/>
      <c r="D9" s="469"/>
      <c r="E9" s="469"/>
      <c r="F9" s="469"/>
      <c r="G9" s="469"/>
      <c r="H9" s="469"/>
      <c r="I9" s="469"/>
      <c r="J9" s="469"/>
      <c r="K9" s="3"/>
      <c r="L9" s="3"/>
    </row>
    <row r="10" spans="1:12" s="1" customFormat="1" ht="58.5" customHeight="1" x14ac:dyDescent="0.2">
      <c r="A10" s="9"/>
      <c r="B10" s="19" t="s">
        <v>0</v>
      </c>
      <c r="C10" s="16" t="s">
        <v>24</v>
      </c>
      <c r="D10" s="19" t="s">
        <v>408</v>
      </c>
      <c r="E10" s="19" t="s">
        <v>409</v>
      </c>
      <c r="F10" s="19" t="s">
        <v>410</v>
      </c>
      <c r="G10" s="16" t="s">
        <v>25</v>
      </c>
      <c r="H10" s="16" t="s">
        <v>26</v>
      </c>
      <c r="I10" s="19" t="s">
        <v>459</v>
      </c>
      <c r="J10" s="16" t="s">
        <v>270</v>
      </c>
      <c r="K10" s="3"/>
      <c r="L10" s="3"/>
    </row>
    <row r="11" spans="1:12" s="1" customFormat="1" ht="32.25" customHeight="1" x14ac:dyDescent="0.2">
      <c r="A11" s="10"/>
      <c r="B11" s="18"/>
      <c r="C11" s="11"/>
      <c r="D11" s="116"/>
      <c r="E11" s="117"/>
      <c r="F11" s="118"/>
      <c r="G11" s="29"/>
      <c r="H11" s="29"/>
      <c r="I11" s="91"/>
      <c r="J11" s="26"/>
      <c r="K11"/>
      <c r="L11" s="3"/>
    </row>
    <row r="12" spans="1:12" x14ac:dyDescent="0.2">
      <c r="A12" s="122" t="s">
        <v>2</v>
      </c>
      <c r="B12" s="474"/>
      <c r="C12" s="474"/>
      <c r="D12" s="474"/>
      <c r="E12" s="474"/>
      <c r="F12" s="474"/>
      <c r="G12" s="474"/>
      <c r="H12" s="475"/>
      <c r="I12" s="475"/>
      <c r="J12" s="475"/>
    </row>
  </sheetData>
  <mergeCells count="5">
    <mergeCell ref="A2:J2"/>
    <mergeCell ref="A3:J3"/>
    <mergeCell ref="B6:J6"/>
    <mergeCell ref="A9:J9"/>
    <mergeCell ref="B12:J12"/>
  </mergeCells>
  <hyperlinks>
    <hyperlink ref="A1" location="Overview!A1" display="Back to Overview" xr:uid="{2DE371DC-0E28-4429-AEEB-C8B5C4F1C4E4}"/>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85546875" style="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384" width="9.140625" style="1"/>
  </cols>
  <sheetData>
    <row r="1" spans="1:11" ht="27.75" customHeight="1" x14ac:dyDescent="0.2">
      <c r="A1" s="32" t="s">
        <v>19</v>
      </c>
      <c r="B1" s="1"/>
      <c r="F1" s="1"/>
      <c r="G1" s="1"/>
      <c r="H1" s="1"/>
      <c r="I1" s="3"/>
      <c r="J1" s="1"/>
    </row>
    <row r="2" spans="1:11" ht="31.5" customHeight="1" x14ac:dyDescent="0.2">
      <c r="A2" s="468" t="str">
        <f>Overview!B4&amp;" - Effective from "&amp;TEXT(Overview!$D$4,"d mmmm yyyy")&amp;" - Final LDNO tariffs in UKPN EPN Area (GSP Group_A)"</f>
        <v>Leep Electricity Networks Limited - Effective from 1 April 2026 - Final LDNO tariffs in UKPN EPN Area (GSP Group_A)</v>
      </c>
      <c r="B2" s="468"/>
      <c r="C2" s="468"/>
      <c r="D2" s="468"/>
      <c r="E2" s="468"/>
      <c r="F2" s="468"/>
      <c r="G2" s="468"/>
      <c r="H2" s="468"/>
      <c r="I2" s="468"/>
      <c r="J2" s="468"/>
    </row>
    <row r="3" spans="1:11" ht="8.25" customHeight="1" x14ac:dyDescent="0.2">
      <c r="A3" s="47"/>
      <c r="B3" s="47"/>
      <c r="C3" s="47"/>
      <c r="D3" s="47"/>
      <c r="E3" s="47"/>
      <c r="F3" s="47"/>
      <c r="G3" s="47"/>
      <c r="H3" s="47"/>
      <c r="I3" s="47"/>
      <c r="J3" s="47"/>
    </row>
    <row r="4" spans="1:11" ht="27" customHeight="1" x14ac:dyDescent="0.2">
      <c r="A4" s="382" t="s">
        <v>308</v>
      </c>
      <c r="B4" s="383"/>
      <c r="C4" s="383"/>
      <c r="D4" s="384"/>
      <c r="E4" s="51"/>
      <c r="F4" s="382" t="s">
        <v>307</v>
      </c>
      <c r="G4" s="383"/>
      <c r="H4" s="383"/>
      <c r="I4" s="383"/>
      <c r="J4" s="384"/>
    </row>
    <row r="5" spans="1:11" ht="32.25" customHeight="1" x14ac:dyDescent="0.2">
      <c r="A5" s="40" t="s">
        <v>13</v>
      </c>
      <c r="B5" s="258" t="s">
        <v>299</v>
      </c>
      <c r="C5" s="182" t="s">
        <v>300</v>
      </c>
      <c r="D5" s="42" t="s">
        <v>301</v>
      </c>
      <c r="E5" s="46"/>
      <c r="F5" s="368"/>
      <c r="G5" s="369"/>
      <c r="H5" s="44" t="s">
        <v>305</v>
      </c>
      <c r="I5" s="45" t="s">
        <v>306</v>
      </c>
      <c r="J5" s="42" t="s">
        <v>301</v>
      </c>
    </row>
    <row r="6" spans="1:11" ht="56.25" customHeight="1" x14ac:dyDescent="0.2">
      <c r="A6" s="43" t="str">
        <f>'Annex 1 LV and HV charges_A'!A6</f>
        <v>Monday to Friday 
(Including Bank Holidays)
All Year</v>
      </c>
      <c r="B6" s="250" t="str">
        <f>'Annex 1 LV and HV charges_A'!B6</f>
        <v>16:00 - 19:00</v>
      </c>
      <c r="C6" s="250" t="str">
        <f>'Annex 1 LV and HV charges_A'!C6</f>
        <v>07:00 - 16:00
19:00 - 23:00</v>
      </c>
      <c r="D6" s="97" t="str">
        <f>'Annex 1 LV and HV charges_A'!E6</f>
        <v>00:00 - 07:00
23:00 - 24:00</v>
      </c>
      <c r="E6" s="46"/>
      <c r="F6" s="380" t="str">
        <f>'Annex 1 LV and HV charges_A'!G6</f>
        <v>Monday to Friday 
(Including Bank Holidays)
November to February Inclusive</v>
      </c>
      <c r="G6" s="381">
        <f>'Annex 1 LV and HV charges_A'!H6</f>
        <v>0</v>
      </c>
      <c r="H6" s="250" t="str">
        <f>'Annex 1 LV and HV charges_A'!I6</f>
        <v>16:00 - 19:00</v>
      </c>
      <c r="I6" s="250" t="str">
        <f>'Annex 1 LV and HV charges_A'!J6</f>
        <v>07:00 - 16:00
19:00 - 23:00</v>
      </c>
      <c r="J6" s="97" t="str">
        <f>'Annex 1 LV and HV charges_A'!K6</f>
        <v>00:00 - 07:00
23:00 - 24:00</v>
      </c>
    </row>
    <row r="7" spans="1:11" ht="56.25" customHeight="1" x14ac:dyDescent="0.2">
      <c r="A7" s="43" t="str">
        <f>'Annex 1 LV and HV charges_A'!A7</f>
        <v>Saturday and Sunday
All Year</v>
      </c>
      <c r="B7" s="252" t="str">
        <f>'Annex 1 LV and HV charges_A'!B7</f>
        <v/>
      </c>
      <c r="C7" s="183" t="str">
        <f>'Annex 1 LV and HV charges_A'!C7</f>
        <v/>
      </c>
      <c r="D7" s="250" t="str">
        <f>'Annex 1 LV and HV charges_A'!E7</f>
        <v>00:00 - 24:00</v>
      </c>
      <c r="E7" s="46"/>
      <c r="F7" s="380" t="str">
        <f>'Annex 1 LV and HV charges_A'!G7</f>
        <v>Monday to Friday 
(Including Bank Holidays)
March to October Inclusive</v>
      </c>
      <c r="G7" s="381">
        <f>'Annex 1 LV and HV charges_A'!H7</f>
        <v>0</v>
      </c>
      <c r="H7" s="252" t="str">
        <f>'Annex 1 LV and HV charges_A'!I7</f>
        <v/>
      </c>
      <c r="I7" s="250" t="str">
        <f>'Annex 1 LV and HV charges_A'!J7</f>
        <v>07:00 - 23:00</v>
      </c>
      <c r="J7" s="97" t="str">
        <f>'Annex 1 LV and HV charges_A'!K7</f>
        <v>00:00 - 07:00
23:00 - 24:00</v>
      </c>
    </row>
    <row r="8" spans="1:11" ht="55.5" customHeight="1" x14ac:dyDescent="0.2">
      <c r="A8" s="259" t="str">
        <f>'Annex 1 LV and HV charges_A'!A8</f>
        <v>Notes</v>
      </c>
      <c r="B8" s="380" t="str">
        <f>'Annex 1 LV and HV charges_A'!B8</f>
        <v>All the above times are in UK Clock time</v>
      </c>
      <c r="C8" s="394">
        <f>'Annex 1 LV and HV charges_A'!C8</f>
        <v>0</v>
      </c>
      <c r="D8" s="381">
        <f>'Annex 1 LV and HV charges_A'!D8</f>
        <v>0</v>
      </c>
      <c r="E8" s="46"/>
      <c r="F8" s="380" t="str">
        <f>'Annex 1 LV and HV charges_A'!G8</f>
        <v>Saturday and Sunday
All Year</v>
      </c>
      <c r="G8" s="381">
        <f>'Annex 1 LV and HV charges_A'!H8</f>
        <v>0</v>
      </c>
      <c r="H8" s="252" t="str">
        <f>'Annex 1 LV and HV charges_A'!I8</f>
        <v/>
      </c>
      <c r="I8" s="252" t="str">
        <f>'Annex 1 LV and HV charges_A'!J8</f>
        <v/>
      </c>
      <c r="J8" s="250" t="str">
        <f>'Annex 1 LV and HV charges_A'!K8</f>
        <v>00:00 - 24:00</v>
      </c>
    </row>
    <row r="9" spans="1:11" s="41" customFormat="1" ht="37.5" customHeight="1" x14ac:dyDescent="0.2">
      <c r="B9" s="46"/>
      <c r="C9" s="46"/>
      <c r="D9" s="46"/>
      <c r="E9" s="48"/>
      <c r="F9" s="400" t="str">
        <f>'Annex 1 LV and HV charges_A'!G9</f>
        <v>Notes</v>
      </c>
      <c r="G9" s="401">
        <f>'Annex 1 LV and HV charges_A'!H9</f>
        <v>0</v>
      </c>
      <c r="H9" s="380" t="str">
        <f>'Annex 1 LV and HV charges_A'!I9</f>
        <v>All the above times are in UK Clock time</v>
      </c>
      <c r="I9" s="394">
        <f>'Annex 1 LV and HV charges_A'!J9</f>
        <v>0</v>
      </c>
      <c r="J9" s="381">
        <f>'Annex 1 LV and HV charges_A'!K9</f>
        <v>0</v>
      </c>
    </row>
    <row r="10" spans="1:11" s="41" customFormat="1" ht="12" customHeight="1" x14ac:dyDescent="0.2">
      <c r="A10" s="46"/>
      <c r="B10" s="46"/>
      <c r="C10" s="46"/>
      <c r="D10" s="46"/>
      <c r="E10" s="46"/>
      <c r="F10" s="49"/>
      <c r="G10" s="49"/>
      <c r="H10" s="50"/>
      <c r="I10" s="50"/>
      <c r="J10" s="50"/>
    </row>
    <row r="11" spans="1:11" s="41" customFormat="1" ht="12" customHeight="1" x14ac:dyDescent="0.2">
      <c r="A11" s="46"/>
      <c r="B11" s="46"/>
      <c r="C11" s="46"/>
      <c r="D11" s="46"/>
      <c r="E11" s="46"/>
      <c r="F11" s="49"/>
      <c r="G11" s="49"/>
      <c r="H11" s="50"/>
      <c r="I11" s="50"/>
      <c r="J11" s="50"/>
    </row>
    <row r="12" spans="1:11" s="41" customFormat="1" ht="12" customHeight="1" x14ac:dyDescent="0.2">
      <c r="A12" s="46"/>
      <c r="B12" s="46"/>
      <c r="C12" s="46"/>
      <c r="D12" s="46"/>
      <c r="E12" s="46"/>
      <c r="F12" s="49"/>
      <c r="G12" s="49"/>
      <c r="H12" s="50"/>
      <c r="I12" s="50"/>
      <c r="J12" s="50"/>
    </row>
    <row r="13" spans="1:11" ht="66" customHeight="1" x14ac:dyDescent="0.2">
      <c r="A13" s="19" t="s">
        <v>458</v>
      </c>
      <c r="B13" s="19" t="s">
        <v>31</v>
      </c>
      <c r="C13" s="16" t="s">
        <v>24</v>
      </c>
      <c r="D13" s="16" t="s">
        <v>577</v>
      </c>
      <c r="E13" s="16" t="s">
        <v>578</v>
      </c>
      <c r="F13" s="16" t="s">
        <v>579</v>
      </c>
      <c r="G13" s="16" t="s">
        <v>25</v>
      </c>
      <c r="H13" s="16" t="s">
        <v>26</v>
      </c>
      <c r="I13" s="16" t="s">
        <v>459</v>
      </c>
      <c r="J13" s="16" t="s">
        <v>270</v>
      </c>
    </row>
    <row r="14" spans="1:11" ht="27" customHeight="1" x14ac:dyDescent="0.2">
      <c r="A14" s="324" t="s">
        <v>779</v>
      </c>
      <c r="B14" s="25"/>
      <c r="C14" s="326" t="s">
        <v>845</v>
      </c>
      <c r="D14" s="92">
        <v>10.228</v>
      </c>
      <c r="E14" s="93">
        <v>1.2589999999999999</v>
      </c>
      <c r="F14" s="94">
        <v>0.161</v>
      </c>
      <c r="G14" s="319">
        <v>5.98</v>
      </c>
      <c r="H14" s="320" t="s">
        <v>840</v>
      </c>
      <c r="I14" s="321" t="s">
        <v>840</v>
      </c>
      <c r="J14" s="27" t="s">
        <v>840</v>
      </c>
      <c r="K14" s="328" t="str">
        <f ca="1">IFERROR(IF(#REF!="","",INDEX(INDIRECT("'Annex 1 LV and HV charges"&amp;MID($A$2,FIND("_",$A$2),2)&amp;"'!$A$10:$K$51"),MATCH(MID($A14,FIND(":",$A14)+2,LEN($A14)-FIND(":",$A14)+2),INDIRECT("'Annex 1 LV and HV charges"&amp;MID($A$2,FIND("_",$A$2),2)&amp;"'!$A$10:$A$51"),0),MATCH(J$13,$A$13:$J$13,0))-J14),"")</f>
        <v/>
      </c>
    </row>
    <row r="15" spans="1:11" ht="27" customHeight="1" x14ac:dyDescent="0.2">
      <c r="A15" s="324" t="s">
        <v>642</v>
      </c>
      <c r="B15" s="25"/>
      <c r="C15" s="326">
        <v>2</v>
      </c>
      <c r="D15" s="92">
        <v>10.228</v>
      </c>
      <c r="E15" s="93">
        <v>1.2589999999999999</v>
      </c>
      <c r="F15" s="94">
        <v>0.161</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charges"&amp;MID($A$2,FIND("_",$A$2),2)&amp;"'!$A$10:$A$51"),0),MATCH(J$13,$A$13:$J$13,0))-J15),"")</f>
        <v/>
      </c>
    </row>
    <row r="16" spans="1:11" ht="27" customHeight="1" x14ac:dyDescent="0.2">
      <c r="A16" s="324" t="s">
        <v>786</v>
      </c>
      <c r="B16" s="25"/>
      <c r="C16" s="326" t="s">
        <v>846</v>
      </c>
      <c r="D16" s="92">
        <v>7.7350000000000003</v>
      </c>
      <c r="E16" s="93">
        <v>0.95199999999999996</v>
      </c>
      <c r="F16" s="94">
        <v>0.122</v>
      </c>
      <c r="G16" s="319">
        <v>6.22</v>
      </c>
      <c r="H16" s="320" t="s">
        <v>840</v>
      </c>
      <c r="I16" s="321" t="s">
        <v>840</v>
      </c>
      <c r="J16" s="27" t="s">
        <v>840</v>
      </c>
      <c r="K16" s="328" t="str">
        <f ca="1">IFERROR(IF(#REF!="","",INDEX(INDIRECT("'Annex 1 LV and HV charges"&amp;MID($A$2,FIND("_",$A$2),2)&amp;"'!$A$10:$K$51"),MATCH(MID($A16,FIND(":",$A16)+2,LEN($A16)-FIND(":",$A16)+2),INDIRECT("'Annex 1 LV and HV charges"&amp;MID($A$2,FIND("_",$A$2),2)&amp;"'!$A$10:$A$51"),0),MATCH(J$13,$A$13:$J$13,0))-J16),"")</f>
        <v/>
      </c>
    </row>
    <row r="17" spans="1:11" ht="27" customHeight="1" x14ac:dyDescent="0.2">
      <c r="A17" s="324" t="s">
        <v>793</v>
      </c>
      <c r="B17" s="25"/>
      <c r="C17" s="326" t="s">
        <v>846</v>
      </c>
      <c r="D17" s="92">
        <v>7.7350000000000003</v>
      </c>
      <c r="E17" s="93">
        <v>0.95199999999999996</v>
      </c>
      <c r="F17" s="94">
        <v>0.122</v>
      </c>
      <c r="G17" s="319">
        <v>6.37</v>
      </c>
      <c r="H17" s="320" t="s">
        <v>840</v>
      </c>
      <c r="I17" s="321" t="s">
        <v>840</v>
      </c>
      <c r="J17" s="27" t="s">
        <v>840</v>
      </c>
      <c r="K17" s="328" t="str">
        <f ca="1">IFERROR(IF(#REF!="","",INDEX(INDIRECT("'Annex 1 LV and HV charges"&amp;MID($A$2,FIND("_",$A$2),2)&amp;"'!$A$10:$K$51"),MATCH(MID($A17,FIND(":",$A17)+2,LEN($A17)-FIND(":",$A17)+2),INDIRECT("'Annex 1 LV and HV charges"&amp;MID($A$2,FIND("_",$A$2),2)&amp;"'!$A$10:$A$51"),0),MATCH(J$13,$A$13:$J$13,0))-J17),"")</f>
        <v/>
      </c>
    </row>
    <row r="18" spans="1:11" ht="27" customHeight="1" x14ac:dyDescent="0.2">
      <c r="A18" s="324" t="s">
        <v>800</v>
      </c>
      <c r="B18" s="25"/>
      <c r="C18" s="326" t="s">
        <v>846</v>
      </c>
      <c r="D18" s="92">
        <v>7.7350000000000003</v>
      </c>
      <c r="E18" s="93">
        <v>0.95199999999999996</v>
      </c>
      <c r="F18" s="94">
        <v>0.122</v>
      </c>
      <c r="G18" s="319">
        <v>6.66</v>
      </c>
      <c r="H18" s="320" t="s">
        <v>840</v>
      </c>
      <c r="I18" s="321" t="s">
        <v>840</v>
      </c>
      <c r="J18" s="27" t="s">
        <v>840</v>
      </c>
      <c r="K18" s="328" t="str">
        <f ca="1">IFERROR(IF(#REF!="","",INDEX(INDIRECT("'Annex 1 LV and HV charges"&amp;MID($A$2,FIND("_",$A$2),2)&amp;"'!$A$10:$K$51"),MATCH(MID($A18,FIND(":",$A18)+2,LEN($A18)-FIND(":",$A18)+2),INDIRECT("'Annex 1 LV and HV charges"&amp;MID($A$2,FIND("_",$A$2),2)&amp;"'!$A$10:$A$51"),0),MATCH(J$13,$A$13:$J$13,0))-J18),"")</f>
        <v/>
      </c>
    </row>
    <row r="19" spans="1:11" ht="27" customHeight="1" x14ac:dyDescent="0.2">
      <c r="A19" s="324" t="s">
        <v>807</v>
      </c>
      <c r="B19" s="25"/>
      <c r="C19" s="326" t="s">
        <v>846</v>
      </c>
      <c r="D19" s="92">
        <v>7.7350000000000003</v>
      </c>
      <c r="E19" s="93">
        <v>0.95199999999999996</v>
      </c>
      <c r="F19" s="94">
        <v>0.122</v>
      </c>
      <c r="G19" s="319">
        <v>7.14</v>
      </c>
      <c r="H19" s="320" t="s">
        <v>840</v>
      </c>
      <c r="I19" s="321" t="s">
        <v>840</v>
      </c>
      <c r="J19" s="27" t="s">
        <v>840</v>
      </c>
      <c r="K19" s="328" t="str">
        <f ca="1">IFERROR(IF(#REF!="","",INDEX(INDIRECT("'Annex 1 LV and HV charges"&amp;MID($A$2,FIND("_",$A$2),2)&amp;"'!$A$10:$K$51"),MATCH(MID($A19,FIND(":",$A19)+2,LEN($A19)-FIND(":",$A19)+2),INDIRECT("'Annex 1 LV and HV charges"&amp;MID($A$2,FIND("_",$A$2),2)&amp;"'!$A$10:$A$51"),0),MATCH(J$13,$A$13:$J$13,0))-J19),"")</f>
        <v/>
      </c>
    </row>
    <row r="20" spans="1:11" ht="27" customHeight="1" x14ac:dyDescent="0.2">
      <c r="A20" s="324" t="s">
        <v>814</v>
      </c>
      <c r="B20" s="25"/>
      <c r="C20" s="326" t="s">
        <v>846</v>
      </c>
      <c r="D20" s="92">
        <v>7.7350000000000003</v>
      </c>
      <c r="E20" s="93">
        <v>0.95199999999999996</v>
      </c>
      <c r="F20" s="94">
        <v>0.122</v>
      </c>
      <c r="G20" s="319">
        <v>8.61</v>
      </c>
      <c r="H20" s="320" t="s">
        <v>840</v>
      </c>
      <c r="I20" s="321" t="s">
        <v>840</v>
      </c>
      <c r="J20" s="27" t="s">
        <v>840</v>
      </c>
      <c r="K20" s="328" t="str">
        <f ca="1">IFERROR(IF(#REF!="","",INDEX(INDIRECT("'Annex 1 LV and HV charges"&amp;MID($A$2,FIND("_",$A$2),2)&amp;"'!$A$10:$K$51"),MATCH(MID($A20,FIND(":",$A20)+2,LEN($A20)-FIND(":",$A20)+2),INDIRECT("'Annex 1 LV and HV charges"&amp;MID($A$2,FIND("_",$A$2),2)&amp;"'!$A$10:$A$51"),0),MATCH(J$13,$A$13:$J$13,0))-J20),"")</f>
        <v/>
      </c>
    </row>
    <row r="21" spans="1:11" ht="27" customHeight="1" x14ac:dyDescent="0.2">
      <c r="A21" s="324" t="s">
        <v>580</v>
      </c>
      <c r="B21" s="25"/>
      <c r="C21" s="326">
        <v>4</v>
      </c>
      <c r="D21" s="92">
        <v>7.7350000000000003</v>
      </c>
      <c r="E21" s="93">
        <v>0.95199999999999996</v>
      </c>
      <c r="F21" s="94">
        <v>0.122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charges"&amp;MID($A$2,FIND("_",$A$2),2)&amp;"'!$A$10:$A$51"),0),MATCH(J$13,$A$13:$J$13,0))-J21),"")</f>
        <v/>
      </c>
    </row>
    <row r="22" spans="1:11" ht="27" customHeight="1" x14ac:dyDescent="0.2">
      <c r="A22" s="324" t="s">
        <v>643</v>
      </c>
      <c r="B22" s="18"/>
      <c r="C22" s="326">
        <v>0</v>
      </c>
      <c r="D22" s="92">
        <v>5.38</v>
      </c>
      <c r="E22" s="93">
        <v>0.61899999999999999</v>
      </c>
      <c r="F22" s="94">
        <v>7.0999999999999994E-2</v>
      </c>
      <c r="G22" s="319">
        <v>14.19</v>
      </c>
      <c r="H22" s="319">
        <v>5.31</v>
      </c>
      <c r="I22" s="322">
        <v>5.31</v>
      </c>
      <c r="J22" s="26">
        <v>0.24399999999999999</v>
      </c>
      <c r="K22" s="328" t="str">
        <f ca="1">IFERROR(IF(#REF!="","",INDEX(INDIRECT("'Annex 1 LV and HV charges"&amp;MID($A$2,FIND("_",$A$2),2)&amp;"'!$A$10:$K$51"),MATCH(MID($A22,FIND(":",$A22)+2,LEN($A22)-FIND(":",$A22)+2),INDIRECT("'Annex 1 LV and HV charges"&amp;MID($A$2,FIND("_",$A$2),2)&amp;"'!$A$10:$A$51"),0),MATCH(J$13,$A$13:$J$13,0))-J22),"")</f>
        <v/>
      </c>
    </row>
    <row r="23" spans="1:11" ht="27" customHeight="1" x14ac:dyDescent="0.2">
      <c r="A23" s="324" t="s">
        <v>644</v>
      </c>
      <c r="B23" s="25"/>
      <c r="C23" s="326">
        <v>0</v>
      </c>
      <c r="D23" s="92">
        <v>5.38</v>
      </c>
      <c r="E23" s="93">
        <v>0.61899999999999999</v>
      </c>
      <c r="F23" s="94">
        <v>7.0999999999999994E-2</v>
      </c>
      <c r="G23" s="319">
        <v>18.93</v>
      </c>
      <c r="H23" s="319">
        <v>5.31</v>
      </c>
      <c r="I23" s="322">
        <v>5.31</v>
      </c>
      <c r="J23" s="26">
        <v>0.24399999999999999</v>
      </c>
      <c r="K23" s="328" t="str">
        <f ca="1">IFERROR(IF(#REF!="","",INDEX(INDIRECT("'Annex 1 LV and HV charges"&amp;MID($A$2,FIND("_",$A$2),2)&amp;"'!$A$10:$K$51"),MATCH(MID($A23,FIND(":",$A23)+2,LEN($A23)-FIND(":",$A23)+2),INDIRECT("'Annex 1 LV and HV charges"&amp;MID($A$2,FIND("_",$A$2),2)&amp;"'!$A$10:$A$51"),0),MATCH(J$13,$A$13:$J$13,0))-J23),"")</f>
        <v/>
      </c>
    </row>
    <row r="24" spans="1:11" ht="27" customHeight="1" x14ac:dyDescent="0.2">
      <c r="A24" s="324" t="s">
        <v>645</v>
      </c>
      <c r="B24" s="18"/>
      <c r="C24" s="326">
        <v>0</v>
      </c>
      <c r="D24" s="92">
        <v>5.38</v>
      </c>
      <c r="E24" s="93">
        <v>0.61899999999999999</v>
      </c>
      <c r="F24" s="94">
        <v>7.0999999999999994E-2</v>
      </c>
      <c r="G24" s="319">
        <v>21.85</v>
      </c>
      <c r="H24" s="319">
        <v>5.31</v>
      </c>
      <c r="I24" s="322">
        <v>5.31</v>
      </c>
      <c r="J24" s="26">
        <v>0.24399999999999999</v>
      </c>
      <c r="K24" s="328" t="str">
        <f ca="1">IFERROR(IF(#REF!="","",INDEX(INDIRECT("'Annex 1 LV and HV charges"&amp;MID($A$2,FIND("_",$A$2),2)&amp;"'!$A$10:$K$51"),MATCH(MID($A24,FIND(":",$A24)+2,LEN($A24)-FIND(":",$A24)+2),INDIRECT("'Annex 1 LV and HV charges"&amp;MID($A$2,FIND("_",$A$2),2)&amp;"'!$A$10:$A$51"),0),MATCH(J$13,$A$13:$J$13,0))-J24),"")</f>
        <v/>
      </c>
    </row>
    <row r="25" spans="1:11" ht="27" customHeight="1" x14ac:dyDescent="0.2">
      <c r="A25" s="324" t="s">
        <v>646</v>
      </c>
      <c r="B25" s="18"/>
      <c r="C25" s="326">
        <v>0</v>
      </c>
      <c r="D25" s="92">
        <v>5.38</v>
      </c>
      <c r="E25" s="93">
        <v>0.61899999999999999</v>
      </c>
      <c r="F25" s="94">
        <v>7.0999999999999994E-2</v>
      </c>
      <c r="G25" s="319">
        <v>24.72</v>
      </c>
      <c r="H25" s="319">
        <v>5.31</v>
      </c>
      <c r="I25" s="322">
        <v>5.31</v>
      </c>
      <c r="J25" s="26">
        <v>0.24399999999999999</v>
      </c>
      <c r="K25" s="328" t="str">
        <f ca="1">IFERROR(IF(#REF!="","",INDEX(INDIRECT("'Annex 1 LV and HV charges"&amp;MID($A$2,FIND("_",$A$2),2)&amp;"'!$A$10:$K$51"),MATCH(MID($A25,FIND(":",$A25)+2,LEN($A25)-FIND(":",$A25)+2),INDIRECT("'Annex 1 LV and HV charges"&amp;MID($A$2,FIND("_",$A$2),2)&amp;"'!$A$10:$A$51"),0),MATCH(J$13,$A$13:$J$13,0))-J25),"")</f>
        <v/>
      </c>
    </row>
    <row r="26" spans="1:11" ht="27" customHeight="1" x14ac:dyDescent="0.2">
      <c r="A26" s="324" t="s">
        <v>647</v>
      </c>
      <c r="B26" s="18"/>
      <c r="C26" s="326">
        <v>0</v>
      </c>
      <c r="D26" s="92">
        <v>5.38</v>
      </c>
      <c r="E26" s="93">
        <v>0.61899999999999999</v>
      </c>
      <c r="F26" s="94">
        <v>7.0999999999999994E-2</v>
      </c>
      <c r="G26" s="319">
        <v>44.01</v>
      </c>
      <c r="H26" s="319">
        <v>5.31</v>
      </c>
      <c r="I26" s="322">
        <v>5.31</v>
      </c>
      <c r="J26" s="26">
        <v>0.24399999999999999</v>
      </c>
      <c r="K26" s="328" t="str">
        <f ca="1">IFERROR(IF(#REF!="","",INDEX(INDIRECT("'Annex 1 LV and HV charges"&amp;MID($A$2,FIND("_",$A$2),2)&amp;"'!$A$10:$K$51"),MATCH(MID($A26,FIND(":",$A26)+2,LEN($A26)-FIND(":",$A26)+2),INDIRECT("'Annex 1 LV and HV charges"&amp;MID($A$2,FIND("_",$A$2),2)&amp;"'!$A$10:$A$51"),0),MATCH(J$13,$A$13:$J$13,0))-J26),"")</f>
        <v/>
      </c>
    </row>
    <row r="27" spans="1:11" ht="27" customHeight="1" x14ac:dyDescent="0.2">
      <c r="A27" s="324" t="s">
        <v>581</v>
      </c>
      <c r="B27" s="25"/>
      <c r="C27" s="326" t="s">
        <v>847</v>
      </c>
      <c r="D27" s="95">
        <v>26.387</v>
      </c>
      <c r="E27" s="96">
        <v>2.2349999999999999</v>
      </c>
      <c r="F27" s="94">
        <v>1.3540000000000001</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charges"&amp;MID($A$2,FIND("_",$A$2),2)&amp;"'!$A$10:$A$51"),0),MATCH(J$13,$A$13:$J$13,0))-J27),"")</f>
        <v/>
      </c>
    </row>
    <row r="28" spans="1:11" ht="27" customHeight="1" x14ac:dyDescent="0.2">
      <c r="A28" s="324" t="s">
        <v>610</v>
      </c>
      <c r="B28" s="25"/>
      <c r="C28" s="326" t="s">
        <v>848</v>
      </c>
      <c r="D28" s="92">
        <v>-9.1349999999999998</v>
      </c>
      <c r="E28" s="93">
        <v>-1.1240000000000001</v>
      </c>
      <c r="F28" s="94">
        <v>-0.14399999999999999</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charges"&amp;MID($A$2,FIND("_",$A$2),2)&amp;"'!$A$10:$A$51"),0),MATCH(J$13,$A$13:$J$13,0))-J28),"")</f>
        <v/>
      </c>
    </row>
    <row r="29" spans="1:11" ht="27" customHeight="1" x14ac:dyDescent="0.2">
      <c r="A29" s="324" t="s">
        <v>611</v>
      </c>
      <c r="B29" s="25"/>
      <c r="C29" s="326">
        <v>0</v>
      </c>
      <c r="D29" s="92">
        <v>-9.1349999999999998</v>
      </c>
      <c r="E29" s="93">
        <v>-1.1240000000000001</v>
      </c>
      <c r="F29" s="94">
        <v>-0.14399999999999999</v>
      </c>
      <c r="G29" s="319" t="s">
        <v>840</v>
      </c>
      <c r="H29" s="320" t="s">
        <v>840</v>
      </c>
      <c r="I29" s="321" t="s">
        <v>840</v>
      </c>
      <c r="J29" s="26">
        <v>0.45900000000000002</v>
      </c>
      <c r="K29" s="328" t="str">
        <f ca="1">IFERROR(IF(#REF!="","",INDEX(INDIRECT("'Annex 1 LV and HV charges"&amp;MID($A$2,FIND("_",$A$2),2)&amp;"'!$A$10:$K$51"),MATCH(MID($A29,FIND(":",$A29)+2,LEN($A29)-FIND(":",$A29)+2),INDIRECT("'Annex 1 LV and HV charges"&amp;MID($A$2,FIND("_",$A$2),2)&amp;"'!$A$10:$A$51"),0),MATCH(J$13,$A$13:$J$13,0))-J29),"")</f>
        <v/>
      </c>
    </row>
    <row r="30" spans="1:11" ht="27" customHeight="1" x14ac:dyDescent="0.2">
      <c r="A30" s="325" t="s">
        <v>780</v>
      </c>
      <c r="B30" s="25"/>
      <c r="C30" s="326" t="s">
        <v>845</v>
      </c>
      <c r="D30" s="92">
        <v>7.8479999999999999</v>
      </c>
      <c r="E30" s="93">
        <v>0.96599999999999997</v>
      </c>
      <c r="F30" s="94">
        <v>0.123</v>
      </c>
      <c r="G30" s="319">
        <v>4.59</v>
      </c>
      <c r="H30" s="320" t="s">
        <v>840</v>
      </c>
      <c r="I30" s="321" t="s">
        <v>840</v>
      </c>
      <c r="J30" s="27" t="s">
        <v>840</v>
      </c>
      <c r="K30" s="328" t="str">
        <f ca="1">IFERROR(IF(#REF!="","",INDEX(INDIRECT("'Annex 1 LV and HV charges"&amp;MID($A$2,FIND("_",$A$2),2)&amp;"'!$A$10:$K$51"),MATCH(MID($A30,FIND(":",$A30)+2,LEN($A30)-FIND(":",$A30)+2),INDIRECT("'Annex 1 LV and HV charges"&amp;MID($A$2,FIND("_",$A$2),2)&amp;"'!$A$10:$A$51"),0),MATCH(J$13,$A$13:$J$13,0))-J30),"")</f>
        <v/>
      </c>
    </row>
    <row r="31" spans="1:11" ht="27" customHeight="1" x14ac:dyDescent="0.2">
      <c r="A31" s="325" t="s">
        <v>648</v>
      </c>
      <c r="B31" s="25"/>
      <c r="C31" s="326">
        <v>2</v>
      </c>
      <c r="D31" s="92">
        <v>7.8479999999999999</v>
      </c>
      <c r="E31" s="93">
        <v>0.96599999999999997</v>
      </c>
      <c r="F31" s="94">
        <v>0.123</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charges"&amp;MID($A$2,FIND("_",$A$2),2)&amp;"'!$A$10:$A$51"),0),MATCH(J$13,$A$13:$J$13,0))-J31),"")</f>
        <v/>
      </c>
    </row>
    <row r="32" spans="1:11" ht="27" customHeight="1" x14ac:dyDescent="0.2">
      <c r="A32" s="325" t="s">
        <v>787</v>
      </c>
      <c r="B32" s="18"/>
      <c r="C32" s="326" t="s">
        <v>846</v>
      </c>
      <c r="D32" s="92">
        <v>5.9349999999999996</v>
      </c>
      <c r="E32" s="93">
        <v>0.73</v>
      </c>
      <c r="F32" s="94">
        <v>9.2999999999999999E-2</v>
      </c>
      <c r="G32" s="319">
        <v>4.7699999999999996</v>
      </c>
      <c r="H32" s="320" t="s">
        <v>840</v>
      </c>
      <c r="I32" s="321" t="s">
        <v>840</v>
      </c>
      <c r="J32" s="27" t="s">
        <v>840</v>
      </c>
      <c r="K32" s="328" t="str">
        <f ca="1">IFERROR(IF(#REF!="","",INDEX(INDIRECT("'Annex 1 LV and HV charges"&amp;MID($A$2,FIND("_",$A$2),2)&amp;"'!$A$10:$K$51"),MATCH(MID($A32,FIND(":",$A32)+2,LEN($A32)-FIND(":",$A32)+2),INDIRECT("'Annex 1 LV and HV charges"&amp;MID($A$2,FIND("_",$A$2),2)&amp;"'!$A$10:$A$51"),0),MATCH(J$13,$A$13:$J$13,0))-J32),"")</f>
        <v/>
      </c>
    </row>
    <row r="33" spans="1:11" ht="27" customHeight="1" x14ac:dyDescent="0.2">
      <c r="A33" s="325" t="s">
        <v>794</v>
      </c>
      <c r="B33" s="25"/>
      <c r="C33" s="326" t="s">
        <v>846</v>
      </c>
      <c r="D33" s="92">
        <v>5.9349999999999996</v>
      </c>
      <c r="E33" s="93">
        <v>0.73</v>
      </c>
      <c r="F33" s="94">
        <v>9.2999999999999999E-2</v>
      </c>
      <c r="G33" s="319">
        <v>4.8899999999999997</v>
      </c>
      <c r="H33" s="320" t="s">
        <v>840</v>
      </c>
      <c r="I33" s="321" t="s">
        <v>840</v>
      </c>
      <c r="J33" s="27" t="s">
        <v>840</v>
      </c>
      <c r="K33" s="328" t="str">
        <f ca="1">IFERROR(IF(#REF!="","",INDEX(INDIRECT("'Annex 1 LV and HV charges"&amp;MID($A$2,FIND("_",$A$2),2)&amp;"'!$A$10:$K$51"),MATCH(MID($A33,FIND(":",$A33)+2,LEN($A33)-FIND(":",$A33)+2),INDIRECT("'Annex 1 LV and HV charges"&amp;MID($A$2,FIND("_",$A$2),2)&amp;"'!$A$10:$A$51"),0),MATCH(J$13,$A$13:$J$13,0))-J33),"")</f>
        <v/>
      </c>
    </row>
    <row r="34" spans="1:11" ht="27" customHeight="1" x14ac:dyDescent="0.2">
      <c r="A34" s="325" t="s">
        <v>801</v>
      </c>
      <c r="B34" s="18"/>
      <c r="C34" s="326" t="s">
        <v>846</v>
      </c>
      <c r="D34" s="92">
        <v>5.9349999999999996</v>
      </c>
      <c r="E34" s="93">
        <v>0.73</v>
      </c>
      <c r="F34" s="94">
        <v>9.2999999999999999E-2</v>
      </c>
      <c r="G34" s="319">
        <v>5.1100000000000003</v>
      </c>
      <c r="H34" s="320" t="s">
        <v>840</v>
      </c>
      <c r="I34" s="321" t="s">
        <v>840</v>
      </c>
      <c r="J34" s="27" t="s">
        <v>840</v>
      </c>
      <c r="K34" s="328" t="str">
        <f ca="1">IFERROR(IF(#REF!="","",INDEX(INDIRECT("'Annex 1 LV and HV charges"&amp;MID($A$2,FIND("_",$A$2),2)&amp;"'!$A$10:$K$51"),MATCH(MID($A34,FIND(":",$A34)+2,LEN($A34)-FIND(":",$A34)+2),INDIRECT("'Annex 1 LV and HV charges"&amp;MID($A$2,FIND("_",$A$2),2)&amp;"'!$A$10:$A$51"),0),MATCH(J$13,$A$13:$J$13,0))-J34),"")</f>
        <v/>
      </c>
    </row>
    <row r="35" spans="1:11" ht="27" customHeight="1" x14ac:dyDescent="0.2">
      <c r="A35" s="325" t="s">
        <v>808</v>
      </c>
      <c r="B35" s="18"/>
      <c r="C35" s="326" t="s">
        <v>846</v>
      </c>
      <c r="D35" s="92">
        <v>5.9349999999999996</v>
      </c>
      <c r="E35" s="93">
        <v>0.73</v>
      </c>
      <c r="F35" s="94">
        <v>9.2999999999999999E-2</v>
      </c>
      <c r="G35" s="319">
        <v>5.48</v>
      </c>
      <c r="H35" s="320" t="s">
        <v>840</v>
      </c>
      <c r="I35" s="321" t="s">
        <v>840</v>
      </c>
      <c r="J35" s="27" t="s">
        <v>840</v>
      </c>
      <c r="K35" s="328" t="str">
        <f ca="1">IFERROR(IF(#REF!="","",INDEX(INDIRECT("'Annex 1 LV and HV charges"&amp;MID($A$2,FIND("_",$A$2),2)&amp;"'!$A$10:$K$51"),MATCH(MID($A35,FIND(":",$A35)+2,LEN($A35)-FIND(":",$A35)+2),INDIRECT("'Annex 1 LV and HV charges"&amp;MID($A$2,FIND("_",$A$2),2)&amp;"'!$A$10:$A$51"),0),MATCH(J$13,$A$13:$J$13,0))-J35),"")</f>
        <v/>
      </c>
    </row>
    <row r="36" spans="1:11" ht="27" customHeight="1" x14ac:dyDescent="0.2">
      <c r="A36" s="325" t="s">
        <v>815</v>
      </c>
      <c r="B36" s="18"/>
      <c r="C36" s="326" t="s">
        <v>846</v>
      </c>
      <c r="D36" s="92">
        <v>5.9349999999999996</v>
      </c>
      <c r="E36" s="93">
        <v>0.73</v>
      </c>
      <c r="F36" s="94">
        <v>9.2999999999999999E-2</v>
      </c>
      <c r="G36" s="319">
        <v>6.6</v>
      </c>
      <c r="H36" s="320" t="s">
        <v>840</v>
      </c>
      <c r="I36" s="321" t="s">
        <v>840</v>
      </c>
      <c r="J36" s="27" t="s">
        <v>840</v>
      </c>
      <c r="K36" s="328" t="str">
        <f ca="1">IFERROR(IF(#REF!="","",INDEX(INDIRECT("'Annex 1 LV and HV charges"&amp;MID($A$2,FIND("_",$A$2),2)&amp;"'!$A$10:$K$51"),MATCH(MID($A36,FIND(":",$A36)+2,LEN($A36)-FIND(":",$A36)+2),INDIRECT("'Annex 1 LV and HV charges"&amp;MID($A$2,FIND("_",$A$2),2)&amp;"'!$A$10:$A$51"),0),MATCH(J$13,$A$13:$J$13,0))-J36),"")</f>
        <v/>
      </c>
    </row>
    <row r="37" spans="1:11" ht="27" customHeight="1" x14ac:dyDescent="0.2">
      <c r="A37" s="325" t="s">
        <v>582</v>
      </c>
      <c r="B37" s="25"/>
      <c r="C37" s="326">
        <v>4</v>
      </c>
      <c r="D37" s="92">
        <v>5.9349999999999996</v>
      </c>
      <c r="E37" s="93">
        <v>0.73</v>
      </c>
      <c r="F37" s="94">
        <v>9.2999999999999999E-2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charges"&amp;MID($A$2,FIND("_",$A$2),2)&amp;"'!$A$10:$A$51"),0),MATCH(J$13,$A$13:$J$13,0))-J37),"")</f>
        <v/>
      </c>
    </row>
    <row r="38" spans="1:11" ht="27" customHeight="1" x14ac:dyDescent="0.2">
      <c r="A38" s="325" t="s">
        <v>649</v>
      </c>
      <c r="B38" s="18"/>
      <c r="C38" s="326">
        <v>0</v>
      </c>
      <c r="D38" s="92">
        <v>4.1280000000000001</v>
      </c>
      <c r="E38" s="93">
        <v>0.47499999999999998</v>
      </c>
      <c r="F38" s="94">
        <v>5.5E-2</v>
      </c>
      <c r="G38" s="319">
        <v>10.89</v>
      </c>
      <c r="H38" s="319">
        <v>4.07</v>
      </c>
      <c r="I38" s="322">
        <v>4.07</v>
      </c>
      <c r="J38" s="26">
        <v>0.187</v>
      </c>
      <c r="K38" s="328" t="str">
        <f ca="1">IFERROR(IF(#REF!="","",INDEX(INDIRECT("'Annex 1 LV and HV charges"&amp;MID($A$2,FIND("_",$A$2),2)&amp;"'!$A$10:$K$51"),MATCH(MID($A38,FIND(":",$A38)+2,LEN($A38)-FIND(":",$A38)+2),INDIRECT("'Annex 1 LV and HV charges"&amp;MID($A$2,FIND("_",$A$2),2)&amp;"'!$A$10:$A$51"),0),MATCH(J$13,$A$13:$J$13,0))-J38),"")</f>
        <v/>
      </c>
    </row>
    <row r="39" spans="1:11" ht="27" customHeight="1" x14ac:dyDescent="0.2">
      <c r="A39" s="325" t="s">
        <v>650</v>
      </c>
      <c r="B39" s="25"/>
      <c r="C39" s="326">
        <v>0</v>
      </c>
      <c r="D39" s="92">
        <v>4.1280000000000001</v>
      </c>
      <c r="E39" s="93">
        <v>0.47499999999999998</v>
      </c>
      <c r="F39" s="94">
        <v>5.5E-2</v>
      </c>
      <c r="G39" s="319">
        <v>14.52</v>
      </c>
      <c r="H39" s="319">
        <v>4.07</v>
      </c>
      <c r="I39" s="322">
        <v>4.07</v>
      </c>
      <c r="J39" s="26">
        <v>0.187</v>
      </c>
      <c r="K39" s="328" t="str">
        <f ca="1">IFERROR(IF(#REF!="","",INDEX(INDIRECT("'Annex 1 LV and HV charges"&amp;MID($A$2,FIND("_",$A$2),2)&amp;"'!$A$10:$K$51"),MATCH(MID($A39,FIND(":",$A39)+2,LEN($A39)-FIND(":",$A39)+2),INDIRECT("'Annex 1 LV and HV charges"&amp;MID($A$2,FIND("_",$A$2),2)&amp;"'!$A$10:$A$51"),0),MATCH(J$13,$A$13:$J$13,0))-J39),"")</f>
        <v/>
      </c>
    </row>
    <row r="40" spans="1:11" ht="27" customHeight="1" x14ac:dyDescent="0.2">
      <c r="A40" s="325" t="s">
        <v>651</v>
      </c>
      <c r="B40" s="18"/>
      <c r="C40" s="326">
        <v>0</v>
      </c>
      <c r="D40" s="92">
        <v>4.1280000000000001</v>
      </c>
      <c r="E40" s="93">
        <v>0.47499999999999998</v>
      </c>
      <c r="F40" s="94">
        <v>5.5E-2</v>
      </c>
      <c r="G40" s="319">
        <v>16.760000000000002</v>
      </c>
      <c r="H40" s="319">
        <v>4.07</v>
      </c>
      <c r="I40" s="322">
        <v>4.07</v>
      </c>
      <c r="J40" s="26">
        <v>0.187</v>
      </c>
      <c r="K40" s="328" t="str">
        <f ca="1">IFERROR(IF(#REF!="","",INDEX(INDIRECT("'Annex 1 LV and HV charges"&amp;MID($A$2,FIND("_",$A$2),2)&amp;"'!$A$10:$K$51"),MATCH(MID($A40,FIND(":",$A40)+2,LEN($A40)-FIND(":",$A40)+2),INDIRECT("'Annex 1 LV and HV charges"&amp;MID($A$2,FIND("_",$A$2),2)&amp;"'!$A$10:$A$51"),0),MATCH(J$13,$A$13:$J$13,0))-J40),"")</f>
        <v/>
      </c>
    </row>
    <row r="41" spans="1:11" ht="27" customHeight="1" x14ac:dyDescent="0.2">
      <c r="A41" s="325" t="s">
        <v>652</v>
      </c>
      <c r="B41" s="18"/>
      <c r="C41" s="326">
        <v>0</v>
      </c>
      <c r="D41" s="92">
        <v>4.1280000000000001</v>
      </c>
      <c r="E41" s="93">
        <v>0.47499999999999998</v>
      </c>
      <c r="F41" s="94">
        <v>5.5E-2</v>
      </c>
      <c r="G41" s="319">
        <v>18.97</v>
      </c>
      <c r="H41" s="319">
        <v>4.07</v>
      </c>
      <c r="I41" s="322">
        <v>4.07</v>
      </c>
      <c r="J41" s="26">
        <v>0.187</v>
      </c>
      <c r="K41" s="328" t="str">
        <f ca="1">IFERROR(IF(#REF!="","",INDEX(INDIRECT("'Annex 1 LV and HV charges"&amp;MID($A$2,FIND("_",$A$2),2)&amp;"'!$A$10:$K$51"),MATCH(MID($A41,FIND(":",$A41)+2,LEN($A41)-FIND(":",$A41)+2),INDIRECT("'Annex 1 LV and HV charges"&amp;MID($A$2,FIND("_",$A$2),2)&amp;"'!$A$10:$A$51"),0),MATCH(J$13,$A$13:$J$13,0))-J41),"")</f>
        <v/>
      </c>
    </row>
    <row r="42" spans="1:11" ht="27" customHeight="1" x14ac:dyDescent="0.2">
      <c r="A42" s="325" t="s">
        <v>653</v>
      </c>
      <c r="B42" s="18"/>
      <c r="C42" s="326">
        <v>0</v>
      </c>
      <c r="D42" s="92">
        <v>4.1280000000000001</v>
      </c>
      <c r="E42" s="93">
        <v>0.47499999999999998</v>
      </c>
      <c r="F42" s="94">
        <v>5.5E-2</v>
      </c>
      <c r="G42" s="319">
        <v>33.770000000000003</v>
      </c>
      <c r="H42" s="319">
        <v>4.07</v>
      </c>
      <c r="I42" s="322">
        <v>4.07</v>
      </c>
      <c r="J42" s="26">
        <v>0.187</v>
      </c>
      <c r="K42" s="328" t="str">
        <f ca="1">IFERROR(IF(#REF!="","",INDEX(INDIRECT("'Annex 1 LV and HV charges"&amp;MID($A$2,FIND("_",$A$2),2)&amp;"'!$A$10:$K$51"),MATCH(MID($A42,FIND(":",$A42)+2,LEN($A42)-FIND(":",$A42)+2),INDIRECT("'Annex 1 LV and HV charges"&amp;MID($A$2,FIND("_",$A$2),2)&amp;"'!$A$10:$A$51"),0),MATCH(J$13,$A$13:$J$13,0))-J42),"")</f>
        <v/>
      </c>
    </row>
    <row r="43" spans="1:11" ht="27" customHeight="1" x14ac:dyDescent="0.2">
      <c r="A43" s="325" t="s">
        <v>654</v>
      </c>
      <c r="B43" s="18"/>
      <c r="C43" s="326">
        <v>0</v>
      </c>
      <c r="D43" s="92">
        <v>4.2969999999999997</v>
      </c>
      <c r="E43" s="93">
        <v>0.44</v>
      </c>
      <c r="F43" s="94">
        <v>4.1000000000000002E-2</v>
      </c>
      <c r="G43" s="319">
        <v>14.01</v>
      </c>
      <c r="H43" s="319">
        <v>4.7300000000000004</v>
      </c>
      <c r="I43" s="322">
        <v>4.7300000000000004</v>
      </c>
      <c r="J43" s="26">
        <v>0.17199999999999999</v>
      </c>
      <c r="K43" s="328" t="str">
        <f ca="1">IFERROR(IF(#REF!="","",INDEX(INDIRECT("'Annex 1 LV and HV charges"&amp;MID($A$2,FIND("_",$A$2),2)&amp;"'!$A$10:$K$51"),MATCH(MID($A43,FIND(":",$A43)+2,LEN($A43)-FIND(":",$A43)+2),INDIRECT("'Annex 1 LV and HV charges"&amp;MID($A$2,FIND("_",$A$2),2)&amp;"'!$A$10:$A$51"),0),MATCH(J$13,$A$13:$J$13,0))-J43),"")</f>
        <v/>
      </c>
    </row>
    <row r="44" spans="1:11" ht="27" customHeight="1" x14ac:dyDescent="0.2">
      <c r="A44" s="325" t="s">
        <v>655</v>
      </c>
      <c r="B44" s="25"/>
      <c r="C44" s="326">
        <v>0</v>
      </c>
      <c r="D44" s="92">
        <v>4.2969999999999997</v>
      </c>
      <c r="E44" s="93">
        <v>0.44</v>
      </c>
      <c r="F44" s="94">
        <v>4.1000000000000002E-2</v>
      </c>
      <c r="G44" s="319">
        <v>19.61</v>
      </c>
      <c r="H44" s="319">
        <v>4.7300000000000004</v>
      </c>
      <c r="I44" s="322">
        <v>4.7300000000000004</v>
      </c>
      <c r="J44" s="26">
        <v>0.17199999999999999</v>
      </c>
      <c r="K44" s="328" t="str">
        <f ca="1">IFERROR(IF(#REF!="","",INDEX(INDIRECT("'Annex 1 LV and HV charges"&amp;MID($A$2,FIND("_",$A$2),2)&amp;"'!$A$10:$K$51"),MATCH(MID($A44,FIND(":",$A44)+2,LEN($A44)-FIND(":",$A44)+2),INDIRECT("'Annex 1 LV and HV charges"&amp;MID($A$2,FIND("_",$A$2),2)&amp;"'!$A$10:$A$51"),0),MATCH(J$13,$A$13:$J$13,0))-J44),"")</f>
        <v/>
      </c>
    </row>
    <row r="45" spans="1:11" ht="27" customHeight="1" x14ac:dyDescent="0.2">
      <c r="A45" s="325" t="s">
        <v>656</v>
      </c>
      <c r="B45" s="18"/>
      <c r="C45" s="326">
        <v>0</v>
      </c>
      <c r="D45" s="92">
        <v>4.2969999999999997</v>
      </c>
      <c r="E45" s="93">
        <v>0.44</v>
      </c>
      <c r="F45" s="94">
        <v>4.1000000000000002E-2</v>
      </c>
      <c r="G45" s="319">
        <v>23.06</v>
      </c>
      <c r="H45" s="319">
        <v>4.7300000000000004</v>
      </c>
      <c r="I45" s="322">
        <v>4.7300000000000004</v>
      </c>
      <c r="J45" s="26">
        <v>0.17199999999999999</v>
      </c>
      <c r="K45" s="328" t="str">
        <f ca="1">IFERROR(IF(#REF!="","",INDEX(INDIRECT("'Annex 1 LV and HV charges"&amp;MID($A$2,FIND("_",$A$2),2)&amp;"'!$A$10:$K$51"),MATCH(MID($A45,FIND(":",$A45)+2,LEN($A45)-FIND(":",$A45)+2),INDIRECT("'Annex 1 LV and HV charges"&amp;MID($A$2,FIND("_",$A$2),2)&amp;"'!$A$10:$A$51"),0),MATCH(J$13,$A$13:$J$13,0))-J45),"")</f>
        <v/>
      </c>
    </row>
    <row r="46" spans="1:11" ht="27" customHeight="1" x14ac:dyDescent="0.2">
      <c r="A46" s="325" t="s">
        <v>657</v>
      </c>
      <c r="B46" s="18"/>
      <c r="C46" s="326">
        <v>0</v>
      </c>
      <c r="D46" s="92">
        <v>4.2969999999999997</v>
      </c>
      <c r="E46" s="93">
        <v>0.44</v>
      </c>
      <c r="F46" s="94">
        <v>4.1000000000000002E-2</v>
      </c>
      <c r="G46" s="319">
        <v>26.46</v>
      </c>
      <c r="H46" s="319">
        <v>4.7300000000000004</v>
      </c>
      <c r="I46" s="322">
        <v>4.7300000000000004</v>
      </c>
      <c r="J46" s="26">
        <v>0.17199999999999999</v>
      </c>
      <c r="K46" s="328" t="str">
        <f ca="1">IFERROR(IF(#REF!="","",INDEX(INDIRECT("'Annex 1 LV and HV charges"&amp;MID($A$2,FIND("_",$A$2),2)&amp;"'!$A$10:$K$51"),MATCH(MID($A46,FIND(":",$A46)+2,LEN($A46)-FIND(":",$A46)+2),INDIRECT("'Annex 1 LV and HV charges"&amp;MID($A$2,FIND("_",$A$2),2)&amp;"'!$A$10:$A$51"),0),MATCH(J$13,$A$13:$J$13,0))-J46),"")</f>
        <v/>
      </c>
    </row>
    <row r="47" spans="1:11" ht="27" customHeight="1" x14ac:dyDescent="0.2">
      <c r="A47" s="325" t="s">
        <v>658</v>
      </c>
      <c r="B47" s="18"/>
      <c r="C47" s="326">
        <v>0</v>
      </c>
      <c r="D47" s="92">
        <v>4.2969999999999997</v>
      </c>
      <c r="E47" s="93">
        <v>0.44</v>
      </c>
      <c r="F47" s="94">
        <v>4.1000000000000002E-2</v>
      </c>
      <c r="G47" s="319">
        <v>49.26</v>
      </c>
      <c r="H47" s="319">
        <v>4.7300000000000004</v>
      </c>
      <c r="I47" s="322">
        <v>4.7300000000000004</v>
      </c>
      <c r="J47" s="26">
        <v>0.17199999999999999</v>
      </c>
      <c r="K47" s="328" t="str">
        <f ca="1">IFERROR(IF(#REF!="","",INDEX(INDIRECT("'Annex 1 LV and HV charges"&amp;MID($A$2,FIND("_",$A$2),2)&amp;"'!$A$10:$K$51"),MATCH(MID($A47,FIND(":",$A47)+2,LEN($A47)-FIND(":",$A47)+2),INDIRECT("'Annex 1 LV and HV charges"&amp;MID($A$2,FIND("_",$A$2),2)&amp;"'!$A$10:$A$51"),0),MATCH(J$13,$A$13:$J$13,0))-J47),"")</f>
        <v/>
      </c>
    </row>
    <row r="48" spans="1:11" ht="27" customHeight="1" x14ac:dyDescent="0.2">
      <c r="A48" s="325" t="s">
        <v>659</v>
      </c>
      <c r="B48" s="18"/>
      <c r="C48" s="326">
        <v>0</v>
      </c>
      <c r="D48" s="92">
        <v>4.2359999999999998</v>
      </c>
      <c r="E48" s="93">
        <v>0.4</v>
      </c>
      <c r="F48" s="94">
        <v>3.3000000000000002E-2</v>
      </c>
      <c r="G48" s="319">
        <v>159.13</v>
      </c>
      <c r="H48" s="319">
        <v>4.6500000000000004</v>
      </c>
      <c r="I48" s="322">
        <v>4.6500000000000004</v>
      </c>
      <c r="J48" s="26">
        <v>0.16</v>
      </c>
      <c r="K48" s="328" t="str">
        <f ca="1">IFERROR(IF(#REF!="","",INDEX(INDIRECT("'Annex 1 LV and HV charges"&amp;MID($A$2,FIND("_",$A$2),2)&amp;"'!$A$10:$K$51"),MATCH(MID($A48,FIND(":",$A48)+2,LEN($A48)-FIND(":",$A48)+2),INDIRECT("'Annex 1 LV and HV charges"&amp;MID($A$2,FIND("_",$A$2),2)&amp;"'!$A$10:$A$51"),0),MATCH(J$13,$A$13:$J$13,0))-J48),"")</f>
        <v/>
      </c>
    </row>
    <row r="49" spans="1:11" ht="27" customHeight="1" x14ac:dyDescent="0.2">
      <c r="A49" s="325" t="s">
        <v>660</v>
      </c>
      <c r="B49" s="18"/>
      <c r="C49" s="326">
        <v>0</v>
      </c>
      <c r="D49" s="92">
        <v>4.2359999999999998</v>
      </c>
      <c r="E49" s="93">
        <v>0.4</v>
      </c>
      <c r="F49" s="94">
        <v>3.3000000000000002E-2</v>
      </c>
      <c r="G49" s="319">
        <v>210.84</v>
      </c>
      <c r="H49" s="319">
        <v>4.6500000000000004</v>
      </c>
      <c r="I49" s="322">
        <v>4.6500000000000004</v>
      </c>
      <c r="J49" s="26">
        <v>0.16</v>
      </c>
      <c r="K49" s="328" t="str">
        <f ca="1">IFERROR(IF(#REF!="","",INDEX(INDIRECT("'Annex 1 LV and HV charges"&amp;MID($A$2,FIND("_",$A$2),2)&amp;"'!$A$10:$K$51"),MATCH(MID($A49,FIND(":",$A49)+2,LEN($A49)-FIND(":",$A49)+2),INDIRECT("'Annex 1 LV and HV charges"&amp;MID($A$2,FIND("_",$A$2),2)&amp;"'!$A$10:$A$51"),0),MATCH(J$13,$A$13:$J$13,0))-J49),"")</f>
        <v/>
      </c>
    </row>
    <row r="50" spans="1:11" ht="27" customHeight="1" x14ac:dyDescent="0.2">
      <c r="A50" s="325" t="s">
        <v>661</v>
      </c>
      <c r="B50" s="25"/>
      <c r="C50" s="326">
        <v>0</v>
      </c>
      <c r="D50" s="92">
        <v>4.2359999999999998</v>
      </c>
      <c r="E50" s="93">
        <v>0.4</v>
      </c>
      <c r="F50" s="94">
        <v>3.3000000000000002E-2</v>
      </c>
      <c r="G50" s="319">
        <v>267.52</v>
      </c>
      <c r="H50" s="319">
        <v>4.6500000000000004</v>
      </c>
      <c r="I50" s="322">
        <v>4.6500000000000004</v>
      </c>
      <c r="J50" s="26">
        <v>0.16</v>
      </c>
      <c r="K50" s="328" t="str">
        <f ca="1">IFERROR(IF(#REF!="","",INDEX(INDIRECT("'Annex 1 LV and HV charges"&amp;MID($A$2,FIND("_",$A$2),2)&amp;"'!$A$10:$K$51"),MATCH(MID($A50,FIND(":",$A50)+2,LEN($A50)-FIND(":",$A50)+2),INDIRECT("'Annex 1 LV and HV charges"&amp;MID($A$2,FIND("_",$A$2),2)&amp;"'!$A$10:$A$51"),0),MATCH(J$13,$A$13:$J$13,0))-J50),"")</f>
        <v/>
      </c>
    </row>
    <row r="51" spans="1:11" ht="27" customHeight="1" x14ac:dyDescent="0.2">
      <c r="A51" s="325" t="s">
        <v>662</v>
      </c>
      <c r="B51" s="18"/>
      <c r="C51" s="326">
        <v>0</v>
      </c>
      <c r="D51" s="92">
        <v>4.2359999999999998</v>
      </c>
      <c r="E51" s="93">
        <v>0.4</v>
      </c>
      <c r="F51" s="94">
        <v>3.3000000000000002E-2</v>
      </c>
      <c r="G51" s="319">
        <v>357.51</v>
      </c>
      <c r="H51" s="319">
        <v>4.6500000000000004</v>
      </c>
      <c r="I51" s="322">
        <v>4.6500000000000004</v>
      </c>
      <c r="J51" s="26">
        <v>0.16</v>
      </c>
      <c r="K51" s="328" t="str">
        <f ca="1">IFERROR(IF(#REF!="","",INDEX(INDIRECT("'Annex 1 LV and HV charges"&amp;MID($A$2,FIND("_",$A$2),2)&amp;"'!$A$10:$K$51"),MATCH(MID($A51,FIND(":",$A51)+2,LEN($A51)-FIND(":",$A51)+2),INDIRECT("'Annex 1 LV and HV charges"&amp;MID($A$2,FIND("_",$A$2),2)&amp;"'!$A$10:$A$51"),0),MATCH(J$13,$A$13:$J$13,0))-J51),"")</f>
        <v/>
      </c>
    </row>
    <row r="52" spans="1:11" ht="27" customHeight="1" x14ac:dyDescent="0.2">
      <c r="A52" s="325" t="s">
        <v>663</v>
      </c>
      <c r="B52" s="18"/>
      <c r="C52" s="326">
        <v>0</v>
      </c>
      <c r="D52" s="92">
        <v>4.2359999999999998</v>
      </c>
      <c r="E52" s="93">
        <v>0.4</v>
      </c>
      <c r="F52" s="94">
        <v>3.3000000000000002E-2</v>
      </c>
      <c r="G52" s="319">
        <v>749.23</v>
      </c>
      <c r="H52" s="319">
        <v>4.6500000000000004</v>
      </c>
      <c r="I52" s="322">
        <v>4.6500000000000004</v>
      </c>
      <c r="J52" s="26">
        <v>0.16</v>
      </c>
      <c r="K52" s="328" t="str">
        <f ca="1">IFERROR(IF(#REF!="","",INDEX(INDIRECT("'Annex 1 LV and HV charges"&amp;MID($A$2,FIND("_",$A$2),2)&amp;"'!$A$10:$K$51"),MATCH(MID($A52,FIND(":",$A52)+2,LEN($A52)-FIND(":",$A52)+2),INDIRECT("'Annex 1 LV and HV charges"&amp;MID($A$2,FIND("_",$A$2),2)&amp;"'!$A$10:$A$51"),0),MATCH(J$13,$A$13:$J$13,0))-J52),"")</f>
        <v/>
      </c>
    </row>
    <row r="53" spans="1:11" ht="27" customHeight="1" x14ac:dyDescent="0.2">
      <c r="A53" s="325" t="s">
        <v>583</v>
      </c>
      <c r="B53" s="25"/>
      <c r="C53" s="326" t="s">
        <v>847</v>
      </c>
      <c r="D53" s="95">
        <v>20.247</v>
      </c>
      <c r="E53" s="96">
        <v>1.7150000000000001</v>
      </c>
      <c r="F53" s="94">
        <v>1.0389999999999999</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charges"&amp;MID($A$2,FIND("_",$A$2),2)&amp;"'!$A$10:$A$51"),0),MATCH(J$13,$A$13:$J$13,0))-J53),"")</f>
        <v/>
      </c>
    </row>
    <row r="54" spans="1:11" ht="27" customHeight="1" x14ac:dyDescent="0.2">
      <c r="A54" s="325" t="s">
        <v>612</v>
      </c>
      <c r="B54" s="25"/>
      <c r="C54" s="326" t="s">
        <v>848</v>
      </c>
      <c r="D54" s="92">
        <v>-9.1349999999999998</v>
      </c>
      <c r="E54" s="93">
        <v>-1.1240000000000001</v>
      </c>
      <c r="F54" s="94">
        <v>-0.14399999999999999</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charges"&amp;MID($A$2,FIND("_",$A$2),2)&amp;"'!$A$10:$A$51"),0),MATCH(J$13,$A$13:$J$13,0))-J54),"")</f>
        <v/>
      </c>
    </row>
    <row r="55" spans="1:11" ht="27" customHeight="1" x14ac:dyDescent="0.2">
      <c r="A55" s="325" t="s">
        <v>613</v>
      </c>
      <c r="B55" s="323"/>
      <c r="C55" s="326">
        <v>0</v>
      </c>
      <c r="D55" s="92">
        <v>-7.3689999999999998</v>
      </c>
      <c r="E55" s="93">
        <v>-0.86499999999999999</v>
      </c>
      <c r="F55" s="94">
        <v>-0.10299999999999999</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charges"&amp;MID($A$2,FIND("_",$A$2),2)&amp;"'!$A$10:$A$51"),0),MATCH(J$13,$A$13:$J$13,0))-J55),"")</f>
        <v/>
      </c>
    </row>
    <row r="56" spans="1:11" ht="27" customHeight="1" x14ac:dyDescent="0.2">
      <c r="A56" s="325" t="s">
        <v>614</v>
      </c>
      <c r="B56" s="25"/>
      <c r="C56" s="326">
        <v>0</v>
      </c>
      <c r="D56" s="92">
        <v>-9.1349999999999998</v>
      </c>
      <c r="E56" s="93">
        <v>-1.1240000000000001</v>
      </c>
      <c r="F56" s="94">
        <v>-0.14399999999999999</v>
      </c>
      <c r="G56" s="319" t="s">
        <v>840</v>
      </c>
      <c r="H56" s="320" t="s">
        <v>840</v>
      </c>
      <c r="I56" s="321" t="s">
        <v>840</v>
      </c>
      <c r="J56" s="26">
        <v>0.45900000000000002</v>
      </c>
      <c r="K56" s="328" t="str">
        <f ca="1">IFERROR(IF(#REF!="","",INDEX(INDIRECT("'Annex 1 LV and HV charges"&amp;MID($A$2,FIND("_",$A$2),2)&amp;"'!$A$10:$K$51"),MATCH(MID($A56,FIND(":",$A56)+2,LEN($A56)-FIND(":",$A56)+2),INDIRECT("'Annex 1 LV and HV charges"&amp;MID($A$2,FIND("_",$A$2),2)&amp;"'!$A$10:$A$51"),0),MATCH(J$13,$A$13:$J$13,0))-J56),"")</f>
        <v/>
      </c>
    </row>
    <row r="57" spans="1:11" ht="27" customHeight="1" x14ac:dyDescent="0.2">
      <c r="A57" s="325" t="s">
        <v>615</v>
      </c>
      <c r="B57" s="25"/>
      <c r="C57" s="326">
        <v>0</v>
      </c>
      <c r="D57" s="92">
        <v>-7.3689999999999998</v>
      </c>
      <c r="E57" s="93">
        <v>-0.86499999999999999</v>
      </c>
      <c r="F57" s="94">
        <v>-0.10299999999999999</v>
      </c>
      <c r="G57" s="319" t="s">
        <v>840</v>
      </c>
      <c r="H57" s="320" t="s">
        <v>840</v>
      </c>
      <c r="I57" s="321" t="s">
        <v>840</v>
      </c>
      <c r="J57" s="26">
        <v>0.32800000000000001</v>
      </c>
      <c r="K57" s="328" t="str">
        <f ca="1">IFERROR(IF(#REF!="","",INDEX(INDIRECT("'Annex 1 LV and HV charges"&amp;MID($A$2,FIND("_",$A$2),2)&amp;"'!$A$10:$K$51"),MATCH(MID($A57,FIND(":",$A57)+2,LEN($A57)-FIND(":",$A57)+2),INDIRECT("'Annex 1 LV and HV charges"&amp;MID($A$2,FIND("_",$A$2),2)&amp;"'!$A$10:$A$51"),0),MATCH(J$13,$A$13:$J$13,0))-J57),"")</f>
        <v/>
      </c>
    </row>
    <row r="58" spans="1:11" ht="27" customHeight="1" x14ac:dyDescent="0.2">
      <c r="A58" s="325" t="s">
        <v>616</v>
      </c>
      <c r="B58" s="25"/>
      <c r="C58" s="326">
        <v>0</v>
      </c>
      <c r="D58" s="92">
        <v>-5.4660000000000002</v>
      </c>
      <c r="E58" s="93">
        <v>-0.55900000000000005</v>
      </c>
      <c r="F58" s="94">
        <v>-5.1999999999999998E-2</v>
      </c>
      <c r="G58" s="319" t="s">
        <v>840</v>
      </c>
      <c r="H58" s="320" t="s">
        <v>840</v>
      </c>
      <c r="I58" s="321" t="s">
        <v>840</v>
      </c>
      <c r="J58" s="26">
        <v>0.27700000000000002</v>
      </c>
      <c r="K58" s="328" t="str">
        <f ca="1">IFERROR(IF(#REF!="","",INDEX(INDIRECT("'Annex 1 LV and HV charges"&amp;MID($A$2,FIND("_",$A$2),2)&amp;"'!$A$10:$K$51"),MATCH(MID($A58,FIND(":",$A58)+2,LEN($A58)-FIND(":",$A58)+2),INDIRECT("'Annex 1 LV and HV charges"&amp;MID($A$2,FIND("_",$A$2),2)&amp;"'!$A$10:$A$51"),0),MATCH(J$13,$A$13:$J$13,0))-J58),"")</f>
        <v/>
      </c>
    </row>
    <row r="59" spans="1:11" ht="27" customHeight="1" x14ac:dyDescent="0.2">
      <c r="A59" s="324" t="s">
        <v>781</v>
      </c>
      <c r="B59" s="25"/>
      <c r="C59" s="326" t="s">
        <v>845</v>
      </c>
      <c r="D59" s="92">
        <v>6.7640000000000002</v>
      </c>
      <c r="E59" s="93">
        <v>0.83299999999999996</v>
      </c>
      <c r="F59" s="94">
        <v>0.106</v>
      </c>
      <c r="G59" s="319">
        <v>3.95</v>
      </c>
      <c r="H59" s="320" t="s">
        <v>840</v>
      </c>
      <c r="I59" s="321" t="s">
        <v>840</v>
      </c>
      <c r="J59" s="27" t="s">
        <v>840</v>
      </c>
      <c r="K59" s="328" t="str">
        <f ca="1">IFERROR(IF(#REF!="","",INDEX(INDIRECT("'Annex 1 LV and HV charges"&amp;MID($A$2,FIND("_",$A$2),2)&amp;"'!$A$10:$K$51"),MATCH(MID($A59,FIND(":",$A59)+2,LEN($A59)-FIND(":",$A59)+2),INDIRECT("'Annex 1 LV and HV charges"&amp;MID($A$2,FIND("_",$A$2),2)&amp;"'!$A$10:$A$51"),0),MATCH(J$13,$A$13:$J$13,0))-J59),"")</f>
        <v/>
      </c>
    </row>
    <row r="60" spans="1:11" ht="27" customHeight="1" x14ac:dyDescent="0.2">
      <c r="A60" s="324" t="s">
        <v>664</v>
      </c>
      <c r="B60" s="25"/>
      <c r="C60" s="326">
        <v>2</v>
      </c>
      <c r="D60" s="92">
        <v>6.7640000000000002</v>
      </c>
      <c r="E60" s="93">
        <v>0.83299999999999996</v>
      </c>
      <c r="F60" s="94">
        <v>0.106</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charges"&amp;MID($A$2,FIND("_",$A$2),2)&amp;"'!$A$10:$A$51"),0),MATCH(J$13,$A$13:$J$13,0))-J60),"")</f>
        <v/>
      </c>
    </row>
    <row r="61" spans="1:11" ht="27" customHeight="1" x14ac:dyDescent="0.2">
      <c r="A61" s="324" t="s">
        <v>788</v>
      </c>
      <c r="B61" s="18"/>
      <c r="C61" s="326" t="s">
        <v>846</v>
      </c>
      <c r="D61" s="92">
        <v>5.1159999999999997</v>
      </c>
      <c r="E61" s="93">
        <v>0.63</v>
      </c>
      <c r="F61" s="94">
        <v>0.08</v>
      </c>
      <c r="G61" s="319">
        <v>4.1100000000000003</v>
      </c>
      <c r="H61" s="320" t="s">
        <v>840</v>
      </c>
      <c r="I61" s="321" t="s">
        <v>840</v>
      </c>
      <c r="J61" s="27" t="s">
        <v>840</v>
      </c>
      <c r="K61" s="328" t="str">
        <f ca="1">IFERROR(IF(#REF!="","",INDEX(INDIRECT("'Annex 1 LV and HV charges"&amp;MID($A$2,FIND("_",$A$2),2)&amp;"'!$A$10:$K$51"),MATCH(MID($A61,FIND(":",$A61)+2,LEN($A61)-FIND(":",$A61)+2),INDIRECT("'Annex 1 LV and HV charges"&amp;MID($A$2,FIND("_",$A$2),2)&amp;"'!$A$10:$A$51"),0),MATCH(J$13,$A$13:$J$13,0))-J61),"")</f>
        <v/>
      </c>
    </row>
    <row r="62" spans="1:11" ht="27" customHeight="1" x14ac:dyDescent="0.2">
      <c r="A62" s="324" t="s">
        <v>795</v>
      </c>
      <c r="B62" s="25"/>
      <c r="C62" s="326" t="s">
        <v>846</v>
      </c>
      <c r="D62" s="92">
        <v>5.1159999999999997</v>
      </c>
      <c r="E62" s="93">
        <v>0.63</v>
      </c>
      <c r="F62" s="94">
        <v>0.08</v>
      </c>
      <c r="G62" s="319">
        <v>4.21</v>
      </c>
      <c r="H62" s="320" t="s">
        <v>840</v>
      </c>
      <c r="I62" s="321" t="s">
        <v>840</v>
      </c>
      <c r="J62" s="27" t="s">
        <v>840</v>
      </c>
      <c r="K62" s="328" t="str">
        <f ca="1">IFERROR(IF(#REF!="","",INDEX(INDIRECT("'Annex 1 LV and HV charges"&amp;MID($A$2,FIND("_",$A$2),2)&amp;"'!$A$10:$K$51"),MATCH(MID($A62,FIND(":",$A62)+2,LEN($A62)-FIND(":",$A62)+2),INDIRECT("'Annex 1 LV and HV charges"&amp;MID($A$2,FIND("_",$A$2),2)&amp;"'!$A$10:$A$51"),0),MATCH(J$13,$A$13:$J$13,0))-J62),"")</f>
        <v/>
      </c>
    </row>
    <row r="63" spans="1:11" ht="27" customHeight="1" x14ac:dyDescent="0.2">
      <c r="A63" s="324" t="s">
        <v>802</v>
      </c>
      <c r="B63" s="18"/>
      <c r="C63" s="326" t="s">
        <v>846</v>
      </c>
      <c r="D63" s="92">
        <v>5.1159999999999997</v>
      </c>
      <c r="E63" s="93">
        <v>0.63</v>
      </c>
      <c r="F63" s="94">
        <v>0.08</v>
      </c>
      <c r="G63" s="319">
        <v>4.4000000000000004</v>
      </c>
      <c r="H63" s="320" t="s">
        <v>840</v>
      </c>
      <c r="I63" s="321" t="s">
        <v>840</v>
      </c>
      <c r="J63" s="27" t="s">
        <v>840</v>
      </c>
      <c r="K63" s="328" t="str">
        <f ca="1">IFERROR(IF(#REF!="","",INDEX(INDIRECT("'Annex 1 LV and HV charges"&amp;MID($A$2,FIND("_",$A$2),2)&amp;"'!$A$10:$K$51"),MATCH(MID($A63,FIND(":",$A63)+2,LEN($A63)-FIND(":",$A63)+2),INDIRECT("'Annex 1 LV and HV charges"&amp;MID($A$2,FIND("_",$A$2),2)&amp;"'!$A$10:$A$51"),0),MATCH(J$13,$A$13:$J$13,0))-J63),"")</f>
        <v/>
      </c>
    </row>
    <row r="64" spans="1:11" ht="27" customHeight="1" x14ac:dyDescent="0.2">
      <c r="A64" s="324" t="s">
        <v>809</v>
      </c>
      <c r="B64" s="18"/>
      <c r="C64" s="326" t="s">
        <v>846</v>
      </c>
      <c r="D64" s="92">
        <v>5.1159999999999997</v>
      </c>
      <c r="E64" s="93">
        <v>0.63</v>
      </c>
      <c r="F64" s="94">
        <v>0.08</v>
      </c>
      <c r="G64" s="319">
        <v>4.72</v>
      </c>
      <c r="H64" s="320" t="s">
        <v>840</v>
      </c>
      <c r="I64" s="321" t="s">
        <v>840</v>
      </c>
      <c r="J64" s="27" t="s">
        <v>840</v>
      </c>
      <c r="K64" s="328" t="str">
        <f ca="1">IFERROR(IF(#REF!="","",INDEX(INDIRECT("'Annex 1 LV and HV charges"&amp;MID($A$2,FIND("_",$A$2),2)&amp;"'!$A$10:$K$51"),MATCH(MID($A64,FIND(":",$A64)+2,LEN($A64)-FIND(":",$A64)+2),INDIRECT("'Annex 1 LV and HV charges"&amp;MID($A$2,FIND("_",$A$2),2)&amp;"'!$A$10:$A$51"),0),MATCH(J$13,$A$13:$J$13,0))-J64),"")</f>
        <v/>
      </c>
    </row>
    <row r="65" spans="1:11" ht="27" customHeight="1" x14ac:dyDescent="0.2">
      <c r="A65" s="324" t="s">
        <v>816</v>
      </c>
      <c r="B65" s="18"/>
      <c r="C65" s="326" t="s">
        <v>846</v>
      </c>
      <c r="D65" s="92">
        <v>5.1159999999999997</v>
      </c>
      <c r="E65" s="93">
        <v>0.63</v>
      </c>
      <c r="F65" s="94">
        <v>0.08</v>
      </c>
      <c r="G65" s="319">
        <v>5.69</v>
      </c>
      <c r="H65" s="320" t="s">
        <v>840</v>
      </c>
      <c r="I65" s="321" t="s">
        <v>840</v>
      </c>
      <c r="J65" s="27" t="s">
        <v>840</v>
      </c>
      <c r="K65" s="328" t="str">
        <f ca="1">IFERROR(IF(#REF!="","",INDEX(INDIRECT("'Annex 1 LV and HV charges"&amp;MID($A$2,FIND("_",$A$2),2)&amp;"'!$A$10:$K$51"),MATCH(MID($A65,FIND(":",$A65)+2,LEN($A65)-FIND(":",$A65)+2),INDIRECT("'Annex 1 LV and HV charges"&amp;MID($A$2,FIND("_",$A$2),2)&amp;"'!$A$10:$A$51"),0),MATCH(J$13,$A$13:$J$13,0))-J65),"")</f>
        <v/>
      </c>
    </row>
    <row r="66" spans="1:11" ht="27" customHeight="1" x14ac:dyDescent="0.2">
      <c r="A66" s="324" t="s">
        <v>584</v>
      </c>
      <c r="B66" s="25"/>
      <c r="C66" s="326">
        <v>4</v>
      </c>
      <c r="D66" s="92">
        <v>5.1159999999999997</v>
      </c>
      <c r="E66" s="93">
        <v>0.63</v>
      </c>
      <c r="F66" s="94">
        <v>0.08</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charges"&amp;MID($A$2,FIND("_",$A$2),2)&amp;"'!$A$10:$A$51"),0),MATCH(J$13,$A$13:$J$13,0))-J66),"")</f>
        <v/>
      </c>
    </row>
    <row r="67" spans="1:11" ht="27" customHeight="1" x14ac:dyDescent="0.2">
      <c r="A67" s="324" t="s">
        <v>665</v>
      </c>
      <c r="B67" s="18"/>
      <c r="C67" s="326">
        <v>0</v>
      </c>
      <c r="D67" s="92">
        <v>3.5579999999999998</v>
      </c>
      <c r="E67" s="93">
        <v>0.40899999999999997</v>
      </c>
      <c r="F67" s="94">
        <v>4.7E-2</v>
      </c>
      <c r="G67" s="319">
        <v>9.39</v>
      </c>
      <c r="H67" s="319">
        <v>3.51</v>
      </c>
      <c r="I67" s="322">
        <v>3.51</v>
      </c>
      <c r="J67" s="26">
        <v>0.161</v>
      </c>
      <c r="K67" s="328" t="str">
        <f ca="1">IFERROR(IF(#REF!="","",INDEX(INDIRECT("'Annex 1 LV and HV charges"&amp;MID($A$2,FIND("_",$A$2),2)&amp;"'!$A$10:$K$51"),MATCH(MID($A67,FIND(":",$A67)+2,LEN($A67)-FIND(":",$A67)+2),INDIRECT("'Annex 1 LV and HV charges"&amp;MID($A$2,FIND("_",$A$2),2)&amp;"'!$A$10:$A$51"),0),MATCH(J$13,$A$13:$J$13,0))-J67),"")</f>
        <v/>
      </c>
    </row>
    <row r="68" spans="1:11" ht="27.75" customHeight="1" x14ac:dyDescent="0.2">
      <c r="A68" s="324" t="s">
        <v>666</v>
      </c>
      <c r="B68" s="25"/>
      <c r="C68" s="326">
        <v>0</v>
      </c>
      <c r="D68" s="92">
        <v>3.5579999999999998</v>
      </c>
      <c r="E68" s="93">
        <v>0.40899999999999997</v>
      </c>
      <c r="F68" s="94">
        <v>4.7E-2</v>
      </c>
      <c r="G68" s="319">
        <v>12.52</v>
      </c>
      <c r="H68" s="319">
        <v>3.51</v>
      </c>
      <c r="I68" s="322">
        <v>3.51</v>
      </c>
      <c r="J68" s="26">
        <v>0.161</v>
      </c>
      <c r="K68" s="328" t="str">
        <f ca="1">IFERROR(IF(#REF!="","",INDEX(INDIRECT("'Annex 1 LV and HV charges"&amp;MID($A$2,FIND("_",$A$2),2)&amp;"'!$A$10:$K$51"),MATCH(MID($A68,FIND(":",$A68)+2,LEN($A68)-FIND(":",$A68)+2),INDIRECT("'Annex 1 LV and HV charges"&amp;MID($A$2,FIND("_",$A$2),2)&amp;"'!$A$10:$A$51"),0),MATCH(J$13,$A$13:$J$13,0))-J68),"")</f>
        <v/>
      </c>
    </row>
    <row r="69" spans="1:11" ht="27.75" customHeight="1" x14ac:dyDescent="0.2">
      <c r="A69" s="324" t="s">
        <v>667</v>
      </c>
      <c r="B69" s="18"/>
      <c r="C69" s="326">
        <v>0</v>
      </c>
      <c r="D69" s="92">
        <v>3.5579999999999998</v>
      </c>
      <c r="E69" s="93">
        <v>0.40899999999999997</v>
      </c>
      <c r="F69" s="94">
        <v>4.7E-2</v>
      </c>
      <c r="G69" s="319">
        <v>14.45</v>
      </c>
      <c r="H69" s="319">
        <v>3.51</v>
      </c>
      <c r="I69" s="322">
        <v>3.51</v>
      </c>
      <c r="J69" s="26">
        <v>0.161</v>
      </c>
      <c r="K69" s="328" t="str">
        <f ca="1">IFERROR(IF(#REF!="","",INDEX(INDIRECT("'Annex 1 LV and HV charges"&amp;MID($A$2,FIND("_",$A$2),2)&amp;"'!$A$10:$K$51"),MATCH(MID($A69,FIND(":",$A69)+2,LEN($A69)-FIND(":",$A69)+2),INDIRECT("'Annex 1 LV and HV charges"&amp;MID($A$2,FIND("_",$A$2),2)&amp;"'!$A$10:$A$51"),0),MATCH(J$13,$A$13:$J$13,0))-J69),"")</f>
        <v/>
      </c>
    </row>
    <row r="70" spans="1:11" ht="27.75" customHeight="1" x14ac:dyDescent="0.2">
      <c r="A70" s="324" t="s">
        <v>668</v>
      </c>
      <c r="B70" s="18"/>
      <c r="C70" s="326">
        <v>0</v>
      </c>
      <c r="D70" s="92">
        <v>3.5579999999999998</v>
      </c>
      <c r="E70" s="93">
        <v>0.40899999999999997</v>
      </c>
      <c r="F70" s="94">
        <v>4.7E-2</v>
      </c>
      <c r="G70" s="319">
        <v>16.350000000000001</v>
      </c>
      <c r="H70" s="319">
        <v>3.51</v>
      </c>
      <c r="I70" s="322">
        <v>3.51</v>
      </c>
      <c r="J70" s="26">
        <v>0.161</v>
      </c>
      <c r="K70" s="328" t="str">
        <f ca="1">IFERROR(IF(#REF!="","",INDEX(INDIRECT("'Annex 1 LV and HV charges"&amp;MID($A$2,FIND("_",$A$2),2)&amp;"'!$A$10:$K$51"),MATCH(MID($A70,FIND(":",$A70)+2,LEN($A70)-FIND(":",$A70)+2),INDIRECT("'Annex 1 LV and HV charges"&amp;MID($A$2,FIND("_",$A$2),2)&amp;"'!$A$10:$A$51"),0),MATCH(J$13,$A$13:$J$13,0))-J70),"")</f>
        <v/>
      </c>
    </row>
    <row r="71" spans="1:11" ht="27.75" customHeight="1" x14ac:dyDescent="0.2">
      <c r="A71" s="324" t="s">
        <v>669</v>
      </c>
      <c r="B71" s="18"/>
      <c r="C71" s="326">
        <v>0</v>
      </c>
      <c r="D71" s="92">
        <v>3.5579999999999998</v>
      </c>
      <c r="E71" s="93">
        <v>0.40899999999999997</v>
      </c>
      <c r="F71" s="94">
        <v>4.7E-2</v>
      </c>
      <c r="G71" s="319">
        <v>29.11</v>
      </c>
      <c r="H71" s="319">
        <v>3.51</v>
      </c>
      <c r="I71" s="322">
        <v>3.51</v>
      </c>
      <c r="J71" s="26">
        <v>0.161</v>
      </c>
      <c r="K71" s="328" t="str">
        <f ca="1">IFERROR(IF(#REF!="","",INDEX(INDIRECT("'Annex 1 LV and HV charges"&amp;MID($A$2,FIND("_",$A$2),2)&amp;"'!$A$10:$K$51"),MATCH(MID($A71,FIND(":",$A71)+2,LEN($A71)-FIND(":",$A71)+2),INDIRECT("'Annex 1 LV and HV charges"&amp;MID($A$2,FIND("_",$A$2),2)&amp;"'!$A$10:$A$51"),0),MATCH(J$13,$A$13:$J$13,0))-J71),"")</f>
        <v/>
      </c>
    </row>
    <row r="72" spans="1:11" ht="27.75" customHeight="1" x14ac:dyDescent="0.2">
      <c r="A72" s="324" t="s">
        <v>670</v>
      </c>
      <c r="B72" s="18"/>
      <c r="C72" s="326">
        <v>0</v>
      </c>
      <c r="D72" s="92">
        <v>3.5979999999999999</v>
      </c>
      <c r="E72" s="93">
        <v>0.36799999999999999</v>
      </c>
      <c r="F72" s="94">
        <v>3.4000000000000002E-2</v>
      </c>
      <c r="G72" s="319">
        <v>11.73</v>
      </c>
      <c r="H72" s="319">
        <v>3.96</v>
      </c>
      <c r="I72" s="322">
        <v>3.96</v>
      </c>
      <c r="J72" s="26">
        <v>0.14399999999999999</v>
      </c>
      <c r="K72" s="328" t="str">
        <f ca="1">IFERROR(IF(#REF!="","",INDEX(INDIRECT("'Annex 1 LV and HV charges"&amp;MID($A$2,FIND("_",$A$2),2)&amp;"'!$A$10:$K$51"),MATCH(MID($A72,FIND(":",$A72)+2,LEN($A72)-FIND(":",$A72)+2),INDIRECT("'Annex 1 LV and HV charges"&amp;MID($A$2,FIND("_",$A$2),2)&amp;"'!$A$10:$A$51"),0),MATCH(J$13,$A$13:$J$13,0))-J72),"")</f>
        <v/>
      </c>
    </row>
    <row r="73" spans="1:11" ht="27.75" customHeight="1" x14ac:dyDescent="0.2">
      <c r="A73" s="324" t="s">
        <v>671</v>
      </c>
      <c r="B73" s="25"/>
      <c r="C73" s="326">
        <v>0</v>
      </c>
      <c r="D73" s="92">
        <v>3.5979999999999999</v>
      </c>
      <c r="E73" s="93">
        <v>0.36799999999999999</v>
      </c>
      <c r="F73" s="94">
        <v>3.4000000000000002E-2</v>
      </c>
      <c r="G73" s="319">
        <v>16.420000000000002</v>
      </c>
      <c r="H73" s="319">
        <v>3.96</v>
      </c>
      <c r="I73" s="322">
        <v>3.96</v>
      </c>
      <c r="J73" s="26">
        <v>0.14399999999999999</v>
      </c>
      <c r="K73" s="328" t="str">
        <f ca="1">IFERROR(IF(#REF!="","",INDEX(INDIRECT("'Annex 1 LV and HV charges"&amp;MID($A$2,FIND("_",$A$2),2)&amp;"'!$A$10:$K$51"),MATCH(MID($A73,FIND(":",$A73)+2,LEN($A73)-FIND(":",$A73)+2),INDIRECT("'Annex 1 LV and HV charges"&amp;MID($A$2,FIND("_",$A$2),2)&amp;"'!$A$10:$A$51"),0),MATCH(J$13,$A$13:$J$13,0))-J73),"")</f>
        <v/>
      </c>
    </row>
    <row r="74" spans="1:11" ht="27.75" customHeight="1" x14ac:dyDescent="0.2">
      <c r="A74" s="324" t="s">
        <v>672</v>
      </c>
      <c r="B74" s="18"/>
      <c r="C74" s="326">
        <v>0</v>
      </c>
      <c r="D74" s="92">
        <v>3.5979999999999999</v>
      </c>
      <c r="E74" s="93">
        <v>0.36799999999999999</v>
      </c>
      <c r="F74" s="94">
        <v>3.4000000000000002E-2</v>
      </c>
      <c r="G74" s="319">
        <v>19.3</v>
      </c>
      <c r="H74" s="319">
        <v>3.96</v>
      </c>
      <c r="I74" s="322">
        <v>3.96</v>
      </c>
      <c r="J74" s="26">
        <v>0.14399999999999999</v>
      </c>
      <c r="K74" s="328" t="str">
        <f ca="1">IFERROR(IF(#REF!="","",INDEX(INDIRECT("'Annex 1 LV and HV charges"&amp;MID($A$2,FIND("_",$A$2),2)&amp;"'!$A$10:$K$51"),MATCH(MID($A74,FIND(":",$A74)+2,LEN($A74)-FIND(":",$A74)+2),INDIRECT("'Annex 1 LV and HV charges"&amp;MID($A$2,FIND("_",$A$2),2)&amp;"'!$A$10:$A$51"),0),MATCH(J$13,$A$13:$J$13,0))-J74),"")</f>
        <v/>
      </c>
    </row>
    <row r="75" spans="1:11" ht="27.75" customHeight="1" x14ac:dyDescent="0.2">
      <c r="A75" s="324" t="s">
        <v>673</v>
      </c>
      <c r="B75" s="18"/>
      <c r="C75" s="326">
        <v>0</v>
      </c>
      <c r="D75" s="92">
        <v>3.5979999999999999</v>
      </c>
      <c r="E75" s="93">
        <v>0.36799999999999999</v>
      </c>
      <c r="F75" s="94">
        <v>3.4000000000000002E-2</v>
      </c>
      <c r="G75" s="319">
        <v>22.15</v>
      </c>
      <c r="H75" s="319">
        <v>3.96</v>
      </c>
      <c r="I75" s="322">
        <v>3.96</v>
      </c>
      <c r="J75" s="26">
        <v>0.14399999999999999</v>
      </c>
      <c r="K75" s="328" t="str">
        <f ca="1">IFERROR(IF(#REF!="","",INDEX(INDIRECT("'Annex 1 LV and HV charges"&amp;MID($A$2,FIND("_",$A$2),2)&amp;"'!$A$10:$K$51"),MATCH(MID($A75,FIND(":",$A75)+2,LEN($A75)-FIND(":",$A75)+2),INDIRECT("'Annex 1 LV and HV charges"&amp;MID($A$2,FIND("_",$A$2),2)&amp;"'!$A$10:$A$51"),0),MATCH(J$13,$A$13:$J$13,0))-J75),"")</f>
        <v/>
      </c>
    </row>
    <row r="76" spans="1:11" ht="27.75" customHeight="1" x14ac:dyDescent="0.2">
      <c r="A76" s="324" t="s">
        <v>674</v>
      </c>
      <c r="B76" s="18"/>
      <c r="C76" s="326">
        <v>0</v>
      </c>
      <c r="D76" s="92">
        <v>3.5979999999999999</v>
      </c>
      <c r="E76" s="93">
        <v>0.36799999999999999</v>
      </c>
      <c r="F76" s="94">
        <v>3.4000000000000002E-2</v>
      </c>
      <c r="G76" s="319">
        <v>41.24</v>
      </c>
      <c r="H76" s="319">
        <v>3.96</v>
      </c>
      <c r="I76" s="322">
        <v>3.96</v>
      </c>
      <c r="J76" s="26">
        <v>0.14399999999999999</v>
      </c>
      <c r="K76" s="328" t="str">
        <f ca="1">IFERROR(IF(#REF!="","",INDEX(INDIRECT("'Annex 1 LV and HV charges"&amp;MID($A$2,FIND("_",$A$2),2)&amp;"'!$A$10:$K$51"),MATCH(MID($A76,FIND(":",$A76)+2,LEN($A76)-FIND(":",$A76)+2),INDIRECT("'Annex 1 LV and HV charges"&amp;MID($A$2,FIND("_",$A$2),2)&amp;"'!$A$10:$A$51"),0),MATCH(J$13,$A$13:$J$13,0))-J76),"")</f>
        <v/>
      </c>
    </row>
    <row r="77" spans="1:11" ht="27.75" customHeight="1" x14ac:dyDescent="0.2">
      <c r="A77" s="324" t="s">
        <v>675</v>
      </c>
      <c r="B77" s="18"/>
      <c r="C77" s="326">
        <v>0</v>
      </c>
      <c r="D77" s="92">
        <v>3.5019999999999998</v>
      </c>
      <c r="E77" s="93">
        <v>0.33100000000000002</v>
      </c>
      <c r="F77" s="94">
        <v>2.7E-2</v>
      </c>
      <c r="G77" s="319">
        <v>131.55000000000001</v>
      </c>
      <c r="H77" s="319">
        <v>3.84</v>
      </c>
      <c r="I77" s="322">
        <v>3.84</v>
      </c>
      <c r="J77" s="26">
        <v>0.13200000000000001</v>
      </c>
      <c r="K77" s="328" t="str">
        <f ca="1">IFERROR(IF(#REF!="","",INDEX(INDIRECT("'Annex 1 LV and HV charges"&amp;MID($A$2,FIND("_",$A$2),2)&amp;"'!$A$10:$K$51"),MATCH(MID($A77,FIND(":",$A77)+2,LEN($A77)-FIND(":",$A77)+2),INDIRECT("'Annex 1 LV and HV charges"&amp;MID($A$2,FIND("_",$A$2),2)&amp;"'!$A$10:$A$51"),0),MATCH(J$13,$A$13:$J$13,0))-J77),"")</f>
        <v/>
      </c>
    </row>
    <row r="78" spans="1:11" ht="27.75" customHeight="1" x14ac:dyDescent="0.2">
      <c r="A78" s="324" t="s">
        <v>676</v>
      </c>
      <c r="B78" s="25"/>
      <c r="C78" s="326">
        <v>0</v>
      </c>
      <c r="D78" s="92">
        <v>3.5019999999999998</v>
      </c>
      <c r="E78" s="93">
        <v>0.33100000000000002</v>
      </c>
      <c r="F78" s="94">
        <v>2.7E-2</v>
      </c>
      <c r="G78" s="319">
        <v>174.31</v>
      </c>
      <c r="H78" s="319">
        <v>3.84</v>
      </c>
      <c r="I78" s="322">
        <v>3.84</v>
      </c>
      <c r="J78" s="26">
        <v>0.13200000000000001</v>
      </c>
      <c r="K78" s="328" t="str">
        <f ca="1">IFERROR(IF(#REF!="","",INDEX(INDIRECT("'Annex 1 LV and HV charges"&amp;MID($A$2,FIND("_",$A$2),2)&amp;"'!$A$10:$K$51"),MATCH(MID($A78,FIND(":",$A78)+2,LEN($A78)-FIND(":",$A78)+2),INDIRECT("'Annex 1 LV and HV charges"&amp;MID($A$2,FIND("_",$A$2),2)&amp;"'!$A$10:$A$51"),0),MATCH(J$13,$A$13:$J$13,0))-J78),"")</f>
        <v/>
      </c>
    </row>
    <row r="79" spans="1:11" ht="27.75" customHeight="1" x14ac:dyDescent="0.2">
      <c r="A79" s="324" t="s">
        <v>677</v>
      </c>
      <c r="B79" s="18"/>
      <c r="C79" s="326">
        <v>0</v>
      </c>
      <c r="D79" s="92">
        <v>3.5019999999999998</v>
      </c>
      <c r="E79" s="93">
        <v>0.33100000000000002</v>
      </c>
      <c r="F79" s="94">
        <v>2.7E-2</v>
      </c>
      <c r="G79" s="319">
        <v>221.16</v>
      </c>
      <c r="H79" s="319">
        <v>3.84</v>
      </c>
      <c r="I79" s="322">
        <v>3.84</v>
      </c>
      <c r="J79" s="26">
        <v>0.13200000000000001</v>
      </c>
      <c r="K79" s="328" t="str">
        <f ca="1">IFERROR(IF(#REF!="","",INDEX(INDIRECT("'Annex 1 LV and HV charges"&amp;MID($A$2,FIND("_",$A$2),2)&amp;"'!$A$10:$K$51"),MATCH(MID($A79,FIND(":",$A79)+2,LEN($A79)-FIND(":",$A79)+2),INDIRECT("'Annex 1 LV and HV charges"&amp;MID($A$2,FIND("_",$A$2),2)&amp;"'!$A$10:$A$51"),0),MATCH(J$13,$A$13:$J$13,0))-J79),"")</f>
        <v/>
      </c>
    </row>
    <row r="80" spans="1:11" ht="27.75" customHeight="1" x14ac:dyDescent="0.2">
      <c r="A80" s="324" t="s">
        <v>678</v>
      </c>
      <c r="B80" s="18"/>
      <c r="C80" s="326">
        <v>0</v>
      </c>
      <c r="D80" s="92">
        <v>3.5019999999999998</v>
      </c>
      <c r="E80" s="93">
        <v>0.33100000000000002</v>
      </c>
      <c r="F80" s="94">
        <v>2.7E-2</v>
      </c>
      <c r="G80" s="319">
        <v>295.56</v>
      </c>
      <c r="H80" s="319">
        <v>3.84</v>
      </c>
      <c r="I80" s="322">
        <v>3.84</v>
      </c>
      <c r="J80" s="26">
        <v>0.13200000000000001</v>
      </c>
      <c r="K80" s="328" t="str">
        <f ca="1">IFERROR(IF(#REF!="","",INDEX(INDIRECT("'Annex 1 LV and HV charges"&amp;MID($A$2,FIND("_",$A$2),2)&amp;"'!$A$10:$K$51"),MATCH(MID($A80,FIND(":",$A80)+2,LEN($A80)-FIND(":",$A80)+2),INDIRECT("'Annex 1 LV and HV charges"&amp;MID($A$2,FIND("_",$A$2),2)&amp;"'!$A$10:$A$51"),0),MATCH(J$13,$A$13:$J$13,0))-J80),"")</f>
        <v/>
      </c>
    </row>
    <row r="81" spans="1:11" ht="27.75" customHeight="1" x14ac:dyDescent="0.2">
      <c r="A81" s="324" t="s">
        <v>679</v>
      </c>
      <c r="B81" s="18"/>
      <c r="C81" s="326">
        <v>0</v>
      </c>
      <c r="D81" s="92">
        <v>3.5019999999999998</v>
      </c>
      <c r="E81" s="93">
        <v>0.33100000000000002</v>
      </c>
      <c r="F81" s="94">
        <v>2.7E-2</v>
      </c>
      <c r="G81" s="319">
        <v>619.41</v>
      </c>
      <c r="H81" s="319">
        <v>3.84</v>
      </c>
      <c r="I81" s="322">
        <v>3.84</v>
      </c>
      <c r="J81" s="26">
        <v>0.13200000000000001</v>
      </c>
      <c r="K81" s="328" t="str">
        <f ca="1">IFERROR(IF(#REF!="","",INDEX(INDIRECT("'Annex 1 LV and HV charges"&amp;MID($A$2,FIND("_",$A$2),2)&amp;"'!$A$10:$K$51"),MATCH(MID($A81,FIND(":",$A81)+2,LEN($A81)-FIND(":",$A81)+2),INDIRECT("'Annex 1 LV and HV charges"&amp;MID($A$2,FIND("_",$A$2),2)&amp;"'!$A$10:$A$51"),0),MATCH(J$13,$A$13:$J$13,0))-J81),"")</f>
        <v/>
      </c>
    </row>
    <row r="82" spans="1:11" ht="27.75" customHeight="1" x14ac:dyDescent="0.2">
      <c r="A82" s="324" t="s">
        <v>585</v>
      </c>
      <c r="B82" s="25"/>
      <c r="C82" s="326" t="s">
        <v>847</v>
      </c>
      <c r="D82" s="95">
        <v>17.451000000000001</v>
      </c>
      <c r="E82" s="96">
        <v>1.478</v>
      </c>
      <c r="F82" s="94">
        <v>0.89500000000000002</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charges"&amp;MID($A$2,FIND("_",$A$2),2)&amp;"'!$A$10:$A$51"),0),MATCH(J$13,$A$13:$J$13,0))-J82),"")</f>
        <v/>
      </c>
    </row>
    <row r="83" spans="1:11" ht="27.75" customHeight="1" x14ac:dyDescent="0.2">
      <c r="A83" s="324" t="s">
        <v>617</v>
      </c>
      <c r="B83" s="25"/>
      <c r="C83" s="326" t="s">
        <v>848</v>
      </c>
      <c r="D83" s="92">
        <v>-5.9690000000000003</v>
      </c>
      <c r="E83" s="93">
        <v>-0.73499999999999999</v>
      </c>
      <c r="F83" s="94">
        <v>-9.4E-2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charges"&amp;MID($A$2,FIND("_",$A$2),2)&amp;"'!$A$10:$A$51"),0),MATCH(J$13,$A$13:$J$13,0))-J83),"")</f>
        <v/>
      </c>
    </row>
    <row r="84" spans="1:11" ht="27.75" customHeight="1" x14ac:dyDescent="0.2">
      <c r="A84" s="324" t="s">
        <v>618</v>
      </c>
      <c r="B84" s="323"/>
      <c r="C84" s="326">
        <v>0</v>
      </c>
      <c r="D84" s="92">
        <v>-5.335</v>
      </c>
      <c r="E84" s="93">
        <v>-0.626</v>
      </c>
      <c r="F84" s="94">
        <v>-7.4999999999999997E-2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charges"&amp;MID($A$2,FIND("_",$A$2),2)&amp;"'!$A$10:$A$51"),0),MATCH(J$13,$A$13:$J$13,0))-J84),"")</f>
        <v/>
      </c>
    </row>
    <row r="85" spans="1:11" ht="27.75" customHeight="1" x14ac:dyDescent="0.2">
      <c r="A85" s="324" t="s">
        <v>619</v>
      </c>
      <c r="B85" s="25"/>
      <c r="C85" s="326">
        <v>0</v>
      </c>
      <c r="D85" s="92">
        <v>-5.9690000000000003</v>
      </c>
      <c r="E85" s="93">
        <v>-0.73499999999999999</v>
      </c>
      <c r="F85" s="94">
        <v>-9.4E-2</v>
      </c>
      <c r="G85" s="319" t="s">
        <v>840</v>
      </c>
      <c r="H85" s="320" t="s">
        <v>840</v>
      </c>
      <c r="I85" s="321" t="s">
        <v>840</v>
      </c>
      <c r="J85" s="26">
        <v>0.3</v>
      </c>
      <c r="K85" s="328" t="str">
        <f ca="1">IFERROR(IF(#REF!="","",INDEX(INDIRECT("'Annex 1 LV and HV charges"&amp;MID($A$2,FIND("_",$A$2),2)&amp;"'!$A$10:$K$51"),MATCH(MID($A85,FIND(":",$A85)+2,LEN($A85)-FIND(":",$A85)+2),INDIRECT("'Annex 1 LV and HV charges"&amp;MID($A$2,FIND("_",$A$2),2)&amp;"'!$A$10:$A$51"),0),MATCH(J$13,$A$13:$J$13,0))-J85),"")</f>
        <v/>
      </c>
    </row>
    <row r="86" spans="1:11" ht="27.75" customHeight="1" x14ac:dyDescent="0.2">
      <c r="A86" s="324" t="s">
        <v>620</v>
      </c>
      <c r="B86" s="25"/>
      <c r="C86" s="326">
        <v>0</v>
      </c>
      <c r="D86" s="92">
        <v>-5.335</v>
      </c>
      <c r="E86" s="93">
        <v>-0.626</v>
      </c>
      <c r="F86" s="94">
        <v>-7.4999999999999997E-2</v>
      </c>
      <c r="G86" s="319" t="s">
        <v>840</v>
      </c>
      <c r="H86" s="320" t="s">
        <v>840</v>
      </c>
      <c r="I86" s="321" t="s">
        <v>840</v>
      </c>
      <c r="J86" s="26">
        <v>0.23699999999999999</v>
      </c>
      <c r="K86" s="328" t="str">
        <f ca="1">IFERROR(IF(#REF!="","",INDEX(INDIRECT("'Annex 1 LV and HV charges"&amp;MID($A$2,FIND("_",$A$2),2)&amp;"'!$A$10:$K$51"),MATCH(MID($A86,FIND(":",$A86)+2,LEN($A86)-FIND(":",$A86)+2),INDIRECT("'Annex 1 LV and HV charges"&amp;MID($A$2,FIND("_",$A$2),2)&amp;"'!$A$10:$A$51"),0),MATCH(J$13,$A$13:$J$13,0))-J86),"")</f>
        <v/>
      </c>
    </row>
    <row r="87" spans="1:11" ht="27.75" customHeight="1" x14ac:dyDescent="0.2">
      <c r="A87" s="324" t="s">
        <v>621</v>
      </c>
      <c r="B87" s="25"/>
      <c r="C87" s="326">
        <v>0</v>
      </c>
      <c r="D87" s="92">
        <v>-5.4660000000000002</v>
      </c>
      <c r="E87" s="93">
        <v>-0.55900000000000005</v>
      </c>
      <c r="F87" s="94">
        <v>-5.1999999999999998E-2</v>
      </c>
      <c r="G87" s="319">
        <v>12.88</v>
      </c>
      <c r="H87" s="320" t="s">
        <v>840</v>
      </c>
      <c r="I87" s="321" t="s">
        <v>840</v>
      </c>
      <c r="J87" s="26">
        <v>0.27700000000000002</v>
      </c>
      <c r="K87" s="328" t="str">
        <f ca="1">IFERROR(IF(#REF!="","",INDEX(INDIRECT("'Annex 1 LV and HV charges"&amp;MID($A$2,FIND("_",$A$2),2)&amp;"'!$A$10:$K$51"),MATCH(MID($A87,FIND(":",$A87)+2,LEN($A87)-FIND(":",$A87)+2),INDIRECT("'Annex 1 LV and HV charges"&amp;MID($A$2,FIND("_",$A$2),2)&amp;"'!$A$10:$A$51"),0),MATCH(J$13,$A$13:$J$13,0))-J87),"")</f>
        <v/>
      </c>
    </row>
    <row r="88" spans="1:11" ht="27.75" customHeight="1" x14ac:dyDescent="0.2">
      <c r="A88" s="324" t="s">
        <v>782</v>
      </c>
      <c r="B88" s="25"/>
      <c r="C88" s="326" t="s">
        <v>845</v>
      </c>
      <c r="D88" s="92">
        <v>5.165</v>
      </c>
      <c r="E88" s="93">
        <v>0.63600000000000001</v>
      </c>
      <c r="F88" s="94">
        <v>8.1000000000000003E-2</v>
      </c>
      <c r="G88" s="319">
        <v>3.02</v>
      </c>
      <c r="H88" s="320" t="s">
        <v>840</v>
      </c>
      <c r="I88" s="321" t="s">
        <v>840</v>
      </c>
      <c r="J88" s="27" t="s">
        <v>840</v>
      </c>
      <c r="K88" s="328" t="str">
        <f ca="1">IFERROR(IF(#REF!="","",INDEX(INDIRECT("'Annex 1 LV and HV charges"&amp;MID($A$2,FIND("_",$A$2),2)&amp;"'!$A$10:$K$51"),MATCH(MID($A88,FIND(":",$A88)+2,LEN($A88)-FIND(":",$A88)+2),INDIRECT("'Annex 1 LV and HV charges"&amp;MID($A$2,FIND("_",$A$2),2)&amp;"'!$A$10:$A$51"),0),MATCH(J$13,$A$13:$J$13,0))-J88),"")</f>
        <v/>
      </c>
    </row>
    <row r="89" spans="1:11" ht="27.75" customHeight="1" x14ac:dyDescent="0.2">
      <c r="A89" s="324" t="s">
        <v>680</v>
      </c>
      <c r="B89" s="25"/>
      <c r="C89" s="326">
        <v>2</v>
      </c>
      <c r="D89" s="92">
        <v>5.165</v>
      </c>
      <c r="E89" s="93">
        <v>0.63600000000000001</v>
      </c>
      <c r="F89" s="94">
        <v>8.1000000000000003E-2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charges"&amp;MID($A$2,FIND("_",$A$2),2)&amp;"'!$A$10:$A$51"),0),MATCH(J$13,$A$13:$J$13,0))-J89),"")</f>
        <v/>
      </c>
    </row>
    <row r="90" spans="1:11" ht="27.75" customHeight="1" x14ac:dyDescent="0.2">
      <c r="A90" s="324" t="s">
        <v>789</v>
      </c>
      <c r="B90" s="18"/>
      <c r="C90" s="326" t="s">
        <v>846</v>
      </c>
      <c r="D90" s="92">
        <v>3.9060000000000001</v>
      </c>
      <c r="E90" s="93">
        <v>0.48099999999999998</v>
      </c>
      <c r="F90" s="94">
        <v>6.0999999999999999E-2</v>
      </c>
      <c r="G90" s="319">
        <v>3.14</v>
      </c>
      <c r="H90" s="320" t="s">
        <v>840</v>
      </c>
      <c r="I90" s="321" t="s">
        <v>840</v>
      </c>
      <c r="J90" s="27" t="s">
        <v>840</v>
      </c>
      <c r="K90" s="328" t="str">
        <f ca="1">IFERROR(IF(#REF!="","",INDEX(INDIRECT("'Annex 1 LV and HV charges"&amp;MID($A$2,FIND("_",$A$2),2)&amp;"'!$A$10:$K$51"),MATCH(MID($A90,FIND(":",$A90)+2,LEN($A90)-FIND(":",$A90)+2),INDIRECT("'Annex 1 LV and HV charges"&amp;MID($A$2,FIND("_",$A$2),2)&amp;"'!$A$10:$A$51"),0),MATCH(J$13,$A$13:$J$13,0))-J90),"")</f>
        <v/>
      </c>
    </row>
    <row r="91" spans="1:11" ht="27.75" customHeight="1" x14ac:dyDescent="0.2">
      <c r="A91" s="324" t="s">
        <v>796</v>
      </c>
      <c r="B91" s="25"/>
      <c r="C91" s="326" t="s">
        <v>846</v>
      </c>
      <c r="D91" s="92">
        <v>3.9060000000000001</v>
      </c>
      <c r="E91" s="93">
        <v>0.48099999999999998</v>
      </c>
      <c r="F91" s="94">
        <v>6.0999999999999999E-2</v>
      </c>
      <c r="G91" s="319">
        <v>3.22</v>
      </c>
      <c r="H91" s="320" t="s">
        <v>840</v>
      </c>
      <c r="I91" s="321" t="s">
        <v>840</v>
      </c>
      <c r="J91" s="27" t="s">
        <v>840</v>
      </c>
      <c r="K91" s="328" t="str">
        <f ca="1">IFERROR(IF(#REF!="","",INDEX(INDIRECT("'Annex 1 LV and HV charges"&amp;MID($A$2,FIND("_",$A$2),2)&amp;"'!$A$10:$K$51"),MATCH(MID($A91,FIND(":",$A91)+2,LEN($A91)-FIND(":",$A91)+2),INDIRECT("'Annex 1 LV and HV charges"&amp;MID($A$2,FIND("_",$A$2),2)&amp;"'!$A$10:$A$51"),0),MATCH(J$13,$A$13:$J$13,0))-J91),"")</f>
        <v/>
      </c>
    </row>
    <row r="92" spans="1:11" ht="27.75" customHeight="1" x14ac:dyDescent="0.2">
      <c r="A92" s="324" t="s">
        <v>803</v>
      </c>
      <c r="B92" s="18"/>
      <c r="C92" s="326" t="s">
        <v>846</v>
      </c>
      <c r="D92" s="92">
        <v>3.9060000000000001</v>
      </c>
      <c r="E92" s="93">
        <v>0.48099999999999998</v>
      </c>
      <c r="F92" s="94">
        <v>6.0999999999999999E-2</v>
      </c>
      <c r="G92" s="319">
        <v>3.36</v>
      </c>
      <c r="H92" s="320" t="s">
        <v>840</v>
      </c>
      <c r="I92" s="321" t="s">
        <v>840</v>
      </c>
      <c r="J92" s="27" t="s">
        <v>840</v>
      </c>
      <c r="K92" s="328" t="str">
        <f ca="1">IFERROR(IF(#REF!="","",INDEX(INDIRECT("'Annex 1 LV and HV charges"&amp;MID($A$2,FIND("_",$A$2),2)&amp;"'!$A$10:$K$51"),MATCH(MID($A92,FIND(":",$A92)+2,LEN($A92)-FIND(":",$A92)+2),INDIRECT("'Annex 1 LV and HV charges"&amp;MID($A$2,FIND("_",$A$2),2)&amp;"'!$A$10:$A$51"),0),MATCH(J$13,$A$13:$J$13,0))-J92),"")</f>
        <v/>
      </c>
    </row>
    <row r="93" spans="1:11" ht="27.75" customHeight="1" x14ac:dyDescent="0.2">
      <c r="A93" s="324" t="s">
        <v>810</v>
      </c>
      <c r="B93" s="18"/>
      <c r="C93" s="326" t="s">
        <v>846</v>
      </c>
      <c r="D93" s="92">
        <v>3.9060000000000001</v>
      </c>
      <c r="E93" s="93">
        <v>0.48099999999999998</v>
      </c>
      <c r="F93" s="94">
        <v>6.0999999999999999E-2</v>
      </c>
      <c r="G93" s="319">
        <v>3.61</v>
      </c>
      <c r="H93" s="320" t="s">
        <v>840</v>
      </c>
      <c r="I93" s="321" t="s">
        <v>840</v>
      </c>
      <c r="J93" s="27" t="s">
        <v>840</v>
      </c>
      <c r="K93" s="328" t="str">
        <f ca="1">IFERROR(IF(#REF!="","",INDEX(INDIRECT("'Annex 1 LV and HV charges"&amp;MID($A$2,FIND("_",$A$2),2)&amp;"'!$A$10:$K$51"),MATCH(MID($A93,FIND(":",$A93)+2,LEN($A93)-FIND(":",$A93)+2),INDIRECT("'Annex 1 LV and HV charges"&amp;MID($A$2,FIND("_",$A$2),2)&amp;"'!$A$10:$A$51"),0),MATCH(J$13,$A$13:$J$13,0))-J93),"")</f>
        <v/>
      </c>
    </row>
    <row r="94" spans="1:11" ht="27.75" customHeight="1" x14ac:dyDescent="0.2">
      <c r="A94" s="324" t="s">
        <v>817</v>
      </c>
      <c r="B94" s="18"/>
      <c r="C94" s="326" t="s">
        <v>846</v>
      </c>
      <c r="D94" s="92">
        <v>3.9060000000000001</v>
      </c>
      <c r="E94" s="93">
        <v>0.48099999999999998</v>
      </c>
      <c r="F94" s="94">
        <v>6.0999999999999999E-2</v>
      </c>
      <c r="G94" s="319">
        <v>4.3499999999999996</v>
      </c>
      <c r="H94" s="320" t="s">
        <v>840</v>
      </c>
      <c r="I94" s="321" t="s">
        <v>840</v>
      </c>
      <c r="J94" s="27" t="s">
        <v>840</v>
      </c>
      <c r="K94" s="328" t="str">
        <f ca="1">IFERROR(IF(#REF!="","",INDEX(INDIRECT("'Annex 1 LV and HV charges"&amp;MID($A$2,FIND("_",$A$2),2)&amp;"'!$A$10:$K$51"),MATCH(MID($A94,FIND(":",$A94)+2,LEN($A94)-FIND(":",$A94)+2),INDIRECT("'Annex 1 LV and HV charges"&amp;MID($A$2,FIND("_",$A$2),2)&amp;"'!$A$10:$A$51"),0),MATCH(J$13,$A$13:$J$13,0))-J94),"")</f>
        <v/>
      </c>
    </row>
    <row r="95" spans="1:11" ht="27.75" customHeight="1" x14ac:dyDescent="0.2">
      <c r="A95" s="324" t="s">
        <v>586</v>
      </c>
      <c r="B95" s="25"/>
      <c r="C95" s="326">
        <v>4</v>
      </c>
      <c r="D95" s="92">
        <v>3.9060000000000001</v>
      </c>
      <c r="E95" s="93">
        <v>0.48099999999999998</v>
      </c>
      <c r="F95" s="94">
        <v>6.0999999999999999E-2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charges"&amp;MID($A$2,FIND("_",$A$2),2)&amp;"'!$A$10:$A$51"),0),MATCH(J$13,$A$13:$J$13,0))-J95),"")</f>
        <v/>
      </c>
    </row>
    <row r="96" spans="1:11" ht="27.75" customHeight="1" x14ac:dyDescent="0.2">
      <c r="A96" s="324" t="s">
        <v>681</v>
      </c>
      <c r="B96" s="18"/>
      <c r="C96" s="326">
        <v>0</v>
      </c>
      <c r="D96" s="92">
        <v>2.7170000000000001</v>
      </c>
      <c r="E96" s="93">
        <v>0.312</v>
      </c>
      <c r="F96" s="94">
        <v>3.5999999999999997E-2</v>
      </c>
      <c r="G96" s="319">
        <v>7.17</v>
      </c>
      <c r="H96" s="319">
        <v>2.68</v>
      </c>
      <c r="I96" s="322">
        <v>2.68</v>
      </c>
      <c r="J96" s="26">
        <v>0.123</v>
      </c>
      <c r="K96" s="328" t="str">
        <f ca="1">IFERROR(IF(#REF!="","",INDEX(INDIRECT("'Annex 1 LV and HV charges"&amp;MID($A$2,FIND("_",$A$2),2)&amp;"'!$A$10:$K$51"),MATCH(MID($A96,FIND(":",$A96)+2,LEN($A96)-FIND(":",$A96)+2),INDIRECT("'Annex 1 LV and HV charges"&amp;MID($A$2,FIND("_",$A$2),2)&amp;"'!$A$10:$A$51"),0),MATCH(J$13,$A$13:$J$13,0))-J96),"")</f>
        <v/>
      </c>
    </row>
    <row r="97" spans="1:11" ht="27.75" customHeight="1" x14ac:dyDescent="0.2">
      <c r="A97" s="324" t="s">
        <v>682</v>
      </c>
      <c r="B97" s="25"/>
      <c r="C97" s="326">
        <v>0</v>
      </c>
      <c r="D97" s="92">
        <v>2.7170000000000001</v>
      </c>
      <c r="E97" s="93">
        <v>0.312</v>
      </c>
      <c r="F97" s="94">
        <v>3.5999999999999997E-2</v>
      </c>
      <c r="G97" s="319">
        <v>9.56</v>
      </c>
      <c r="H97" s="319">
        <v>2.68</v>
      </c>
      <c r="I97" s="322">
        <v>2.68</v>
      </c>
      <c r="J97" s="26">
        <v>0.123</v>
      </c>
      <c r="K97" s="328" t="str">
        <f ca="1">IFERROR(IF(#REF!="","",INDEX(INDIRECT("'Annex 1 LV and HV charges"&amp;MID($A$2,FIND("_",$A$2),2)&amp;"'!$A$10:$K$51"),MATCH(MID($A97,FIND(":",$A97)+2,LEN($A97)-FIND(":",$A97)+2),INDIRECT("'Annex 1 LV and HV charges"&amp;MID($A$2,FIND("_",$A$2),2)&amp;"'!$A$10:$A$51"),0),MATCH(J$13,$A$13:$J$13,0))-J97),"")</f>
        <v/>
      </c>
    </row>
    <row r="98" spans="1:11" ht="27.75" customHeight="1" x14ac:dyDescent="0.2">
      <c r="A98" s="324" t="s">
        <v>683</v>
      </c>
      <c r="B98" s="18"/>
      <c r="C98" s="326">
        <v>0</v>
      </c>
      <c r="D98" s="92">
        <v>2.7170000000000001</v>
      </c>
      <c r="E98" s="93">
        <v>0.312</v>
      </c>
      <c r="F98" s="94">
        <v>3.5999999999999997E-2</v>
      </c>
      <c r="G98" s="319">
        <v>11.03</v>
      </c>
      <c r="H98" s="319">
        <v>2.68</v>
      </c>
      <c r="I98" s="322">
        <v>2.68</v>
      </c>
      <c r="J98" s="26">
        <v>0.123</v>
      </c>
      <c r="K98" s="328" t="str">
        <f ca="1">IFERROR(IF(#REF!="","",INDEX(INDIRECT("'Annex 1 LV and HV charges"&amp;MID($A$2,FIND("_",$A$2),2)&amp;"'!$A$10:$K$51"),MATCH(MID($A98,FIND(":",$A98)+2,LEN($A98)-FIND(":",$A98)+2),INDIRECT("'Annex 1 LV and HV charges"&amp;MID($A$2,FIND("_",$A$2),2)&amp;"'!$A$10:$A$51"),0),MATCH(J$13,$A$13:$J$13,0))-J98),"")</f>
        <v/>
      </c>
    </row>
    <row r="99" spans="1:11" ht="27.75" customHeight="1" x14ac:dyDescent="0.2">
      <c r="A99" s="324" t="s">
        <v>684</v>
      </c>
      <c r="B99" s="18"/>
      <c r="C99" s="326">
        <v>0</v>
      </c>
      <c r="D99" s="92">
        <v>2.7170000000000001</v>
      </c>
      <c r="E99" s="93">
        <v>0.312</v>
      </c>
      <c r="F99" s="94">
        <v>3.5999999999999997E-2</v>
      </c>
      <c r="G99" s="319">
        <v>12.49</v>
      </c>
      <c r="H99" s="319">
        <v>2.68</v>
      </c>
      <c r="I99" s="322">
        <v>2.68</v>
      </c>
      <c r="J99" s="26">
        <v>0.123</v>
      </c>
      <c r="K99" s="328" t="str">
        <f ca="1">IFERROR(IF(#REF!="","",INDEX(INDIRECT("'Annex 1 LV and HV charges"&amp;MID($A$2,FIND("_",$A$2),2)&amp;"'!$A$10:$K$51"),MATCH(MID($A99,FIND(":",$A99)+2,LEN($A99)-FIND(":",$A99)+2),INDIRECT("'Annex 1 LV and HV charges"&amp;MID($A$2,FIND("_",$A$2),2)&amp;"'!$A$10:$A$51"),0),MATCH(J$13,$A$13:$J$13,0))-J99),"")</f>
        <v/>
      </c>
    </row>
    <row r="100" spans="1:11" ht="27.75" customHeight="1" x14ac:dyDescent="0.2">
      <c r="A100" s="324" t="s">
        <v>685</v>
      </c>
      <c r="B100" s="18"/>
      <c r="C100" s="326">
        <v>0</v>
      </c>
      <c r="D100" s="92">
        <v>2.7170000000000001</v>
      </c>
      <c r="E100" s="93">
        <v>0.312</v>
      </c>
      <c r="F100" s="94">
        <v>3.5999999999999997E-2</v>
      </c>
      <c r="G100" s="319">
        <v>22.23</v>
      </c>
      <c r="H100" s="319">
        <v>2.68</v>
      </c>
      <c r="I100" s="322">
        <v>2.68</v>
      </c>
      <c r="J100" s="26">
        <v>0.123</v>
      </c>
      <c r="K100" s="328" t="str">
        <f ca="1">IFERROR(IF(#REF!="","",INDEX(INDIRECT("'Annex 1 LV and HV charges"&amp;MID($A$2,FIND("_",$A$2),2)&amp;"'!$A$10:$K$51"),MATCH(MID($A100,FIND(":",$A100)+2,LEN($A100)-FIND(":",$A100)+2),INDIRECT("'Annex 1 LV and HV charges"&amp;MID($A$2,FIND("_",$A$2),2)&amp;"'!$A$10:$A$51"),0),MATCH(J$13,$A$13:$J$13,0))-J100),"")</f>
        <v/>
      </c>
    </row>
    <row r="101" spans="1:11" ht="27.75" customHeight="1" x14ac:dyDescent="0.2">
      <c r="A101" s="324" t="s">
        <v>686</v>
      </c>
      <c r="B101" s="18"/>
      <c r="C101" s="326">
        <v>0</v>
      </c>
      <c r="D101" s="92">
        <v>2.7469999999999999</v>
      </c>
      <c r="E101" s="93">
        <v>0.28100000000000003</v>
      </c>
      <c r="F101" s="94">
        <v>2.5999999999999999E-2</v>
      </c>
      <c r="G101" s="319">
        <v>8.9600000000000009</v>
      </c>
      <c r="H101" s="319">
        <v>3.02</v>
      </c>
      <c r="I101" s="322">
        <v>3.02</v>
      </c>
      <c r="J101" s="26">
        <v>0.11</v>
      </c>
      <c r="K101" s="328" t="str">
        <f ca="1">IFERROR(IF(#REF!="","",INDEX(INDIRECT("'Annex 1 LV and HV charges"&amp;MID($A$2,FIND("_",$A$2),2)&amp;"'!$A$10:$K$51"),MATCH(MID($A101,FIND(":",$A101)+2,LEN($A101)-FIND(":",$A101)+2),INDIRECT("'Annex 1 LV and HV charges"&amp;MID($A$2,FIND("_",$A$2),2)&amp;"'!$A$10:$A$51"),0),MATCH(J$13,$A$13:$J$13,0))-J101),"")</f>
        <v/>
      </c>
    </row>
    <row r="102" spans="1:11" ht="27.75" customHeight="1" x14ac:dyDescent="0.2">
      <c r="A102" s="324" t="s">
        <v>687</v>
      </c>
      <c r="B102" s="25"/>
      <c r="C102" s="326">
        <v>0</v>
      </c>
      <c r="D102" s="92">
        <v>2.7469999999999999</v>
      </c>
      <c r="E102" s="93">
        <v>0.28100000000000003</v>
      </c>
      <c r="F102" s="94">
        <v>2.5999999999999999E-2</v>
      </c>
      <c r="G102" s="319">
        <v>12.54</v>
      </c>
      <c r="H102" s="319">
        <v>3.02</v>
      </c>
      <c r="I102" s="322">
        <v>3.02</v>
      </c>
      <c r="J102" s="26">
        <v>0.11</v>
      </c>
      <c r="K102" s="328" t="str">
        <f ca="1">IFERROR(IF(#REF!="","",INDEX(INDIRECT("'Annex 1 LV and HV charges"&amp;MID($A$2,FIND("_",$A$2),2)&amp;"'!$A$10:$K$51"),MATCH(MID($A102,FIND(":",$A102)+2,LEN($A102)-FIND(":",$A102)+2),INDIRECT("'Annex 1 LV and HV charges"&amp;MID($A$2,FIND("_",$A$2),2)&amp;"'!$A$10:$A$51"),0),MATCH(J$13,$A$13:$J$13,0))-J102),"")</f>
        <v/>
      </c>
    </row>
    <row r="103" spans="1:11" ht="27.75" customHeight="1" x14ac:dyDescent="0.2">
      <c r="A103" s="324" t="s">
        <v>688</v>
      </c>
      <c r="B103" s="18"/>
      <c r="C103" s="326">
        <v>0</v>
      </c>
      <c r="D103" s="92">
        <v>2.7469999999999999</v>
      </c>
      <c r="E103" s="93">
        <v>0.28100000000000003</v>
      </c>
      <c r="F103" s="94">
        <v>2.5999999999999999E-2</v>
      </c>
      <c r="G103" s="319">
        <v>14.74</v>
      </c>
      <c r="H103" s="319">
        <v>3.02</v>
      </c>
      <c r="I103" s="322">
        <v>3.02</v>
      </c>
      <c r="J103" s="26">
        <v>0.11</v>
      </c>
      <c r="K103" s="328" t="str">
        <f ca="1">IFERROR(IF(#REF!="","",INDEX(INDIRECT("'Annex 1 LV and HV charges"&amp;MID($A$2,FIND("_",$A$2),2)&amp;"'!$A$10:$K$51"),MATCH(MID($A103,FIND(":",$A103)+2,LEN($A103)-FIND(":",$A103)+2),INDIRECT("'Annex 1 LV and HV charges"&amp;MID($A$2,FIND("_",$A$2),2)&amp;"'!$A$10:$A$51"),0),MATCH(J$13,$A$13:$J$13,0))-J103),"")</f>
        <v/>
      </c>
    </row>
    <row r="104" spans="1:11" ht="27.75" customHeight="1" x14ac:dyDescent="0.2">
      <c r="A104" s="324" t="s">
        <v>689</v>
      </c>
      <c r="B104" s="18"/>
      <c r="C104" s="326">
        <v>0</v>
      </c>
      <c r="D104" s="92">
        <v>2.7469999999999999</v>
      </c>
      <c r="E104" s="93">
        <v>0.28100000000000003</v>
      </c>
      <c r="F104" s="94">
        <v>2.5999999999999999E-2</v>
      </c>
      <c r="G104" s="319">
        <v>16.91</v>
      </c>
      <c r="H104" s="319">
        <v>3.02</v>
      </c>
      <c r="I104" s="322">
        <v>3.02</v>
      </c>
      <c r="J104" s="26">
        <v>0.11</v>
      </c>
      <c r="K104" s="328" t="str">
        <f ca="1">IFERROR(IF(#REF!="","",INDEX(INDIRECT("'Annex 1 LV and HV charges"&amp;MID($A$2,FIND("_",$A$2),2)&amp;"'!$A$10:$K$51"),MATCH(MID($A104,FIND(":",$A104)+2,LEN($A104)-FIND(":",$A104)+2),INDIRECT("'Annex 1 LV and HV charges"&amp;MID($A$2,FIND("_",$A$2),2)&amp;"'!$A$10:$A$51"),0),MATCH(J$13,$A$13:$J$13,0))-J104),"")</f>
        <v/>
      </c>
    </row>
    <row r="105" spans="1:11" ht="27.75" customHeight="1" x14ac:dyDescent="0.2">
      <c r="A105" s="324" t="s">
        <v>690</v>
      </c>
      <c r="B105" s="18"/>
      <c r="C105" s="326">
        <v>0</v>
      </c>
      <c r="D105" s="92">
        <v>2.7469999999999999</v>
      </c>
      <c r="E105" s="93">
        <v>0.28100000000000003</v>
      </c>
      <c r="F105" s="94">
        <v>2.5999999999999999E-2</v>
      </c>
      <c r="G105" s="319">
        <v>31.49</v>
      </c>
      <c r="H105" s="319">
        <v>3.02</v>
      </c>
      <c r="I105" s="322">
        <v>3.02</v>
      </c>
      <c r="J105" s="26">
        <v>0.11</v>
      </c>
      <c r="K105" s="328" t="str">
        <f ca="1">IFERROR(IF(#REF!="","",INDEX(INDIRECT("'Annex 1 LV and HV charges"&amp;MID($A$2,FIND("_",$A$2),2)&amp;"'!$A$10:$K$51"),MATCH(MID($A105,FIND(":",$A105)+2,LEN($A105)-FIND(":",$A105)+2),INDIRECT("'Annex 1 LV and HV charges"&amp;MID($A$2,FIND("_",$A$2),2)&amp;"'!$A$10:$A$51"),0),MATCH(J$13,$A$13:$J$13,0))-J105),"")</f>
        <v/>
      </c>
    </row>
    <row r="106" spans="1:11" ht="27.75" customHeight="1" x14ac:dyDescent="0.2">
      <c r="A106" s="324" t="s">
        <v>691</v>
      </c>
      <c r="B106" s="18"/>
      <c r="C106" s="326">
        <v>0</v>
      </c>
      <c r="D106" s="92">
        <v>2.6739999999999999</v>
      </c>
      <c r="E106" s="93">
        <v>0.253</v>
      </c>
      <c r="F106" s="94">
        <v>2.1000000000000001E-2</v>
      </c>
      <c r="G106" s="319">
        <v>100.46</v>
      </c>
      <c r="H106" s="319">
        <v>2.93</v>
      </c>
      <c r="I106" s="322">
        <v>2.93</v>
      </c>
      <c r="J106" s="26">
        <v>0.10100000000000001</v>
      </c>
      <c r="K106" s="328" t="str">
        <f ca="1">IFERROR(IF(#REF!="","",INDEX(INDIRECT("'Annex 1 LV and HV charges"&amp;MID($A$2,FIND("_",$A$2),2)&amp;"'!$A$10:$K$51"),MATCH(MID($A106,FIND(":",$A106)+2,LEN($A106)-FIND(":",$A106)+2),INDIRECT("'Annex 1 LV and HV charges"&amp;MID($A$2,FIND("_",$A$2),2)&amp;"'!$A$10:$A$51"),0),MATCH(J$13,$A$13:$J$13,0))-J106),"")</f>
        <v/>
      </c>
    </row>
    <row r="107" spans="1:11" ht="27.75" customHeight="1" x14ac:dyDescent="0.2">
      <c r="A107" s="324" t="s">
        <v>692</v>
      </c>
      <c r="B107" s="25"/>
      <c r="C107" s="326">
        <v>0</v>
      </c>
      <c r="D107" s="92">
        <v>2.6739999999999999</v>
      </c>
      <c r="E107" s="93">
        <v>0.253</v>
      </c>
      <c r="F107" s="94">
        <v>2.1000000000000001E-2</v>
      </c>
      <c r="G107" s="319">
        <v>133.11000000000001</v>
      </c>
      <c r="H107" s="319">
        <v>2.93</v>
      </c>
      <c r="I107" s="322">
        <v>2.93</v>
      </c>
      <c r="J107" s="26">
        <v>0.10100000000000001</v>
      </c>
      <c r="K107" s="328" t="str">
        <f ca="1">IFERROR(IF(#REF!="","",INDEX(INDIRECT("'Annex 1 LV and HV charges"&amp;MID($A$2,FIND("_",$A$2),2)&amp;"'!$A$10:$K$51"),MATCH(MID($A107,FIND(":",$A107)+2,LEN($A107)-FIND(":",$A107)+2),INDIRECT("'Annex 1 LV and HV charges"&amp;MID($A$2,FIND("_",$A$2),2)&amp;"'!$A$10:$A$51"),0),MATCH(J$13,$A$13:$J$13,0))-J107),"")</f>
        <v/>
      </c>
    </row>
    <row r="108" spans="1:11" ht="27.75" customHeight="1" x14ac:dyDescent="0.2">
      <c r="A108" s="324" t="s">
        <v>693</v>
      </c>
      <c r="B108" s="18"/>
      <c r="C108" s="326">
        <v>0</v>
      </c>
      <c r="D108" s="92">
        <v>2.6739999999999999</v>
      </c>
      <c r="E108" s="93">
        <v>0.253</v>
      </c>
      <c r="F108" s="94">
        <v>2.1000000000000001E-2</v>
      </c>
      <c r="G108" s="319">
        <v>168.89</v>
      </c>
      <c r="H108" s="319">
        <v>2.93</v>
      </c>
      <c r="I108" s="322">
        <v>2.93</v>
      </c>
      <c r="J108" s="26">
        <v>0.10100000000000001</v>
      </c>
      <c r="K108" s="328" t="str">
        <f ca="1">IFERROR(IF(#REF!="","",INDEX(INDIRECT("'Annex 1 LV and HV charges"&amp;MID($A$2,FIND("_",$A$2),2)&amp;"'!$A$10:$K$51"),MATCH(MID($A108,FIND(":",$A108)+2,LEN($A108)-FIND(":",$A108)+2),INDIRECT("'Annex 1 LV and HV charges"&amp;MID($A$2,FIND("_",$A$2),2)&amp;"'!$A$10:$A$51"),0),MATCH(J$13,$A$13:$J$13,0))-J108),"")</f>
        <v/>
      </c>
    </row>
    <row r="109" spans="1:11" ht="27.75" customHeight="1" x14ac:dyDescent="0.2">
      <c r="A109" s="324" t="s">
        <v>694</v>
      </c>
      <c r="B109" s="18"/>
      <c r="C109" s="326">
        <v>0</v>
      </c>
      <c r="D109" s="92">
        <v>2.6739999999999999</v>
      </c>
      <c r="E109" s="93">
        <v>0.253</v>
      </c>
      <c r="F109" s="94">
        <v>2.1000000000000001E-2</v>
      </c>
      <c r="G109" s="319">
        <v>225.7</v>
      </c>
      <c r="H109" s="319">
        <v>2.93</v>
      </c>
      <c r="I109" s="322">
        <v>2.93</v>
      </c>
      <c r="J109" s="26">
        <v>0.10100000000000001</v>
      </c>
      <c r="K109" s="328" t="str">
        <f ca="1">IFERROR(IF(#REF!="","",INDEX(INDIRECT("'Annex 1 LV and HV charges"&amp;MID($A$2,FIND("_",$A$2),2)&amp;"'!$A$10:$K$51"),MATCH(MID($A109,FIND(":",$A109)+2,LEN($A109)-FIND(":",$A109)+2),INDIRECT("'Annex 1 LV and HV charges"&amp;MID($A$2,FIND("_",$A$2),2)&amp;"'!$A$10:$A$51"),0),MATCH(J$13,$A$13:$J$13,0))-J109),"")</f>
        <v/>
      </c>
    </row>
    <row r="110" spans="1:11" ht="27.75" customHeight="1" x14ac:dyDescent="0.2">
      <c r="A110" s="324" t="s">
        <v>695</v>
      </c>
      <c r="B110" s="18"/>
      <c r="C110" s="326">
        <v>0</v>
      </c>
      <c r="D110" s="92">
        <v>2.6739999999999999</v>
      </c>
      <c r="E110" s="93">
        <v>0.253</v>
      </c>
      <c r="F110" s="94">
        <v>2.1000000000000001E-2</v>
      </c>
      <c r="G110" s="319">
        <v>473</v>
      </c>
      <c r="H110" s="319">
        <v>2.93</v>
      </c>
      <c r="I110" s="322">
        <v>2.93</v>
      </c>
      <c r="J110" s="26">
        <v>0.10100000000000001</v>
      </c>
      <c r="K110" s="328" t="str">
        <f ca="1">IFERROR(IF(#REF!="","",INDEX(INDIRECT("'Annex 1 LV and HV charges"&amp;MID($A$2,FIND("_",$A$2),2)&amp;"'!$A$10:$K$51"),MATCH(MID($A110,FIND(":",$A110)+2,LEN($A110)-FIND(":",$A110)+2),INDIRECT("'Annex 1 LV and HV charges"&amp;MID($A$2,FIND("_",$A$2),2)&amp;"'!$A$10:$A$51"),0),MATCH(J$13,$A$13:$J$13,0))-J110),"")</f>
        <v/>
      </c>
    </row>
    <row r="111" spans="1:11" ht="27.75" customHeight="1" x14ac:dyDescent="0.2">
      <c r="A111" s="324" t="s">
        <v>587</v>
      </c>
      <c r="B111" s="25"/>
      <c r="C111" s="326" t="s">
        <v>847</v>
      </c>
      <c r="D111" s="95">
        <v>13.326000000000001</v>
      </c>
      <c r="E111" s="96">
        <v>1.129</v>
      </c>
      <c r="F111" s="94">
        <v>0.68400000000000005</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charges"&amp;MID($A$2,FIND("_",$A$2),2)&amp;"'!$A$10:$A$51"),0),MATCH(J$13,$A$13:$J$13,0))-J111),"")</f>
        <v/>
      </c>
    </row>
    <row r="112" spans="1:11" ht="27.75" customHeight="1" x14ac:dyDescent="0.2">
      <c r="A112" s="324" t="s">
        <v>622</v>
      </c>
      <c r="B112" s="25"/>
      <c r="C112" s="326" t="s">
        <v>848</v>
      </c>
      <c r="D112" s="92">
        <v>-4.5579999999999998</v>
      </c>
      <c r="E112" s="93">
        <v>-0.56100000000000005</v>
      </c>
      <c r="F112" s="94">
        <v>-7.1999999999999995E-2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charges"&amp;MID($A$2,FIND("_",$A$2),2)&amp;"'!$A$10:$A$51"),0),MATCH(J$13,$A$13:$J$13,0))-J112),"")</f>
        <v/>
      </c>
    </row>
    <row r="113" spans="1:11" ht="27.75" customHeight="1" x14ac:dyDescent="0.2">
      <c r="A113" s="324" t="s">
        <v>623</v>
      </c>
      <c r="B113" s="25"/>
      <c r="C113" s="326">
        <v>0</v>
      </c>
      <c r="D113" s="92">
        <v>-4.0739999999999998</v>
      </c>
      <c r="E113" s="93">
        <v>-0.47799999999999998</v>
      </c>
      <c r="F113" s="94">
        <v>-5.7000000000000002E-2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charges"&amp;MID($A$2,FIND("_",$A$2),2)&amp;"'!$A$10:$A$51"),0),MATCH(J$13,$A$13:$J$13,0))-J113),"")</f>
        <v/>
      </c>
    </row>
    <row r="114" spans="1:11" ht="27.75" customHeight="1" x14ac:dyDescent="0.2">
      <c r="A114" s="324" t="s">
        <v>624</v>
      </c>
      <c r="B114" s="25"/>
      <c r="C114" s="326">
        <v>0</v>
      </c>
      <c r="D114" s="92">
        <v>-4.5579999999999998</v>
      </c>
      <c r="E114" s="93">
        <v>-0.56100000000000005</v>
      </c>
      <c r="F114" s="94">
        <v>-7.1999999999999995E-2</v>
      </c>
      <c r="G114" s="319" t="s">
        <v>840</v>
      </c>
      <c r="H114" s="320" t="s">
        <v>840</v>
      </c>
      <c r="I114" s="321" t="s">
        <v>840</v>
      </c>
      <c r="J114" s="26">
        <v>0.22900000000000001</v>
      </c>
      <c r="K114" s="328" t="str">
        <f ca="1">IFERROR(IF(#REF!="","",INDEX(INDIRECT("'Annex 1 LV and HV charges"&amp;MID($A$2,FIND("_",$A$2),2)&amp;"'!$A$10:$K$51"),MATCH(MID($A114,FIND(":",$A114)+2,LEN($A114)-FIND(":",$A114)+2),INDIRECT("'Annex 1 LV and HV charges"&amp;MID($A$2,FIND("_",$A$2),2)&amp;"'!$A$10:$A$51"),0),MATCH(J$13,$A$13:$J$13,0))-J114),"")</f>
        <v/>
      </c>
    </row>
    <row r="115" spans="1:11" ht="27.75" customHeight="1" x14ac:dyDescent="0.2">
      <c r="A115" s="324" t="s">
        <v>625</v>
      </c>
      <c r="B115" s="25"/>
      <c r="C115" s="326">
        <v>0</v>
      </c>
      <c r="D115" s="92">
        <v>-4.0739999999999998</v>
      </c>
      <c r="E115" s="93">
        <v>-0.47799999999999998</v>
      </c>
      <c r="F115" s="94">
        <v>-5.7000000000000002E-2</v>
      </c>
      <c r="G115" s="319" t="s">
        <v>840</v>
      </c>
      <c r="H115" s="320" t="s">
        <v>840</v>
      </c>
      <c r="I115" s="321" t="s">
        <v>840</v>
      </c>
      <c r="J115" s="26">
        <v>0.18099999999999999</v>
      </c>
      <c r="K115" s="328" t="str">
        <f ca="1">IFERROR(IF(#REF!="","",INDEX(INDIRECT("'Annex 1 LV and HV charges"&amp;MID($A$2,FIND("_",$A$2),2)&amp;"'!$A$10:$K$51"),MATCH(MID($A115,FIND(":",$A115)+2,LEN($A115)-FIND(":",$A115)+2),INDIRECT("'Annex 1 LV and HV charges"&amp;MID($A$2,FIND("_",$A$2),2)&amp;"'!$A$10:$A$51"),0),MATCH(J$13,$A$13:$J$13,0))-J115),"")</f>
        <v/>
      </c>
    </row>
    <row r="116" spans="1:11" ht="27.75" customHeight="1" x14ac:dyDescent="0.2">
      <c r="A116" s="324" t="s">
        <v>626</v>
      </c>
      <c r="B116" s="25"/>
      <c r="C116" s="326">
        <v>0</v>
      </c>
      <c r="D116" s="92">
        <v>-4.1740000000000004</v>
      </c>
      <c r="E116" s="93">
        <v>-0.42699999999999999</v>
      </c>
      <c r="F116" s="94">
        <v>-3.9E-2</v>
      </c>
      <c r="G116" s="319">
        <v>9.84</v>
      </c>
      <c r="H116" s="320" t="s">
        <v>840</v>
      </c>
      <c r="I116" s="321" t="s">
        <v>840</v>
      </c>
      <c r="J116" s="26">
        <v>0.21199999999999999</v>
      </c>
      <c r="K116" s="328" t="str">
        <f ca="1">IFERROR(IF(#REF!="","",INDEX(INDIRECT("'Annex 1 LV and HV charges"&amp;MID($A$2,FIND("_",$A$2),2)&amp;"'!$A$10:$K$51"),MATCH(MID($A116,FIND(":",$A116)+2,LEN($A116)-FIND(":",$A116)+2),INDIRECT("'Annex 1 LV and HV charges"&amp;MID($A$2,FIND("_",$A$2),2)&amp;"'!$A$10:$A$51"),0),MATCH(J$13,$A$13:$J$13,0))-J116),"")</f>
        <v/>
      </c>
    </row>
    <row r="117" spans="1:11" ht="27.75" customHeight="1" x14ac:dyDescent="0.2">
      <c r="A117" s="324" t="s">
        <v>783</v>
      </c>
      <c r="B117" s="25"/>
      <c r="C117" s="326" t="s">
        <v>845</v>
      </c>
      <c r="D117" s="92">
        <v>3.8690000000000002</v>
      </c>
      <c r="E117" s="93">
        <v>0.47599999999999998</v>
      </c>
      <c r="F117" s="94">
        <v>6.0999999999999999E-2</v>
      </c>
      <c r="G117" s="319">
        <v>2.2599999999999998</v>
      </c>
      <c r="H117" s="320" t="s">
        <v>840</v>
      </c>
      <c r="I117" s="321" t="s">
        <v>840</v>
      </c>
      <c r="J117" s="27" t="s">
        <v>840</v>
      </c>
      <c r="K117" s="328" t="str">
        <f ca="1">IFERROR(IF(#REF!="","",INDEX(INDIRECT("'Annex 1 LV and HV charges"&amp;MID($A$2,FIND("_",$A$2),2)&amp;"'!$A$10:$K$51"),MATCH(MID($A117,FIND(":",$A117)+2,LEN($A117)-FIND(":",$A117)+2),INDIRECT("'Annex 1 LV and HV charges"&amp;MID($A$2,FIND("_",$A$2),2)&amp;"'!$A$10:$A$51"),0),MATCH(J$13,$A$13:$J$13,0))-J117),"")</f>
        <v/>
      </c>
    </row>
    <row r="118" spans="1:11" ht="27.75" customHeight="1" x14ac:dyDescent="0.2">
      <c r="A118" s="324" t="s">
        <v>696</v>
      </c>
      <c r="B118" s="25"/>
      <c r="C118" s="326">
        <v>2</v>
      </c>
      <c r="D118" s="92">
        <v>3.8690000000000002</v>
      </c>
      <c r="E118" s="93">
        <v>0.47599999999999998</v>
      </c>
      <c r="F118" s="94">
        <v>6.0999999999999999E-2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charges"&amp;MID($A$2,FIND("_",$A$2),2)&amp;"'!$A$10:$A$51"),0),MATCH(J$13,$A$13:$J$13,0))-J118),"")</f>
        <v/>
      </c>
    </row>
    <row r="119" spans="1:11" ht="27.75" customHeight="1" x14ac:dyDescent="0.2">
      <c r="A119" s="324" t="s">
        <v>790</v>
      </c>
      <c r="B119" s="18"/>
      <c r="C119" s="326" t="s">
        <v>846</v>
      </c>
      <c r="D119" s="92">
        <v>2.9260000000000002</v>
      </c>
      <c r="E119" s="93">
        <v>0.36</v>
      </c>
      <c r="F119" s="94">
        <v>4.5999999999999999E-2</v>
      </c>
      <c r="G119" s="319">
        <v>2.35</v>
      </c>
      <c r="H119" s="320" t="s">
        <v>840</v>
      </c>
      <c r="I119" s="321" t="s">
        <v>840</v>
      </c>
      <c r="J119" s="27" t="s">
        <v>840</v>
      </c>
      <c r="K119" s="328" t="str">
        <f ca="1">IFERROR(IF(#REF!="","",INDEX(INDIRECT("'Annex 1 LV and HV charges"&amp;MID($A$2,FIND("_",$A$2),2)&amp;"'!$A$10:$K$51"),MATCH(MID($A119,FIND(":",$A119)+2,LEN($A119)-FIND(":",$A119)+2),INDIRECT("'Annex 1 LV and HV charges"&amp;MID($A$2,FIND("_",$A$2),2)&amp;"'!$A$10:$A$51"),0),MATCH(J$13,$A$13:$J$13,0))-J119),"")</f>
        <v/>
      </c>
    </row>
    <row r="120" spans="1:11" ht="27.75" customHeight="1" x14ac:dyDescent="0.2">
      <c r="A120" s="324" t="s">
        <v>797</v>
      </c>
      <c r="B120" s="25"/>
      <c r="C120" s="326" t="s">
        <v>846</v>
      </c>
      <c r="D120" s="92">
        <v>2.9260000000000002</v>
      </c>
      <c r="E120" s="93">
        <v>0.36</v>
      </c>
      <c r="F120" s="94">
        <v>4.5999999999999999E-2</v>
      </c>
      <c r="G120" s="319">
        <v>2.41</v>
      </c>
      <c r="H120" s="320" t="s">
        <v>840</v>
      </c>
      <c r="I120" s="321" t="s">
        <v>840</v>
      </c>
      <c r="J120" s="27" t="s">
        <v>840</v>
      </c>
      <c r="K120" s="328" t="str">
        <f ca="1">IFERROR(IF(#REF!="","",INDEX(INDIRECT("'Annex 1 LV and HV charges"&amp;MID($A$2,FIND("_",$A$2),2)&amp;"'!$A$10:$K$51"),MATCH(MID($A120,FIND(":",$A120)+2,LEN($A120)-FIND(":",$A120)+2),INDIRECT("'Annex 1 LV and HV charges"&amp;MID($A$2,FIND("_",$A$2),2)&amp;"'!$A$10:$A$51"),0),MATCH(J$13,$A$13:$J$13,0))-J120),"")</f>
        <v/>
      </c>
    </row>
    <row r="121" spans="1:11" ht="27.75" customHeight="1" x14ac:dyDescent="0.2">
      <c r="A121" s="324" t="s">
        <v>804</v>
      </c>
      <c r="B121" s="18"/>
      <c r="C121" s="326" t="s">
        <v>846</v>
      </c>
      <c r="D121" s="92">
        <v>2.9260000000000002</v>
      </c>
      <c r="E121" s="93">
        <v>0.36</v>
      </c>
      <c r="F121" s="94">
        <v>4.5999999999999999E-2</v>
      </c>
      <c r="G121" s="319">
        <v>2.52</v>
      </c>
      <c r="H121" s="320" t="s">
        <v>840</v>
      </c>
      <c r="I121" s="321" t="s">
        <v>840</v>
      </c>
      <c r="J121" s="27" t="s">
        <v>840</v>
      </c>
      <c r="K121" s="328" t="str">
        <f ca="1">IFERROR(IF(#REF!="","",INDEX(INDIRECT("'Annex 1 LV and HV charges"&amp;MID($A$2,FIND("_",$A$2),2)&amp;"'!$A$10:$K$51"),MATCH(MID($A121,FIND(":",$A121)+2,LEN($A121)-FIND(":",$A121)+2),INDIRECT("'Annex 1 LV and HV charges"&amp;MID($A$2,FIND("_",$A$2),2)&amp;"'!$A$10:$A$51"),0),MATCH(J$13,$A$13:$J$13,0))-J121),"")</f>
        <v/>
      </c>
    </row>
    <row r="122" spans="1:11" ht="27.75" customHeight="1" x14ac:dyDescent="0.2">
      <c r="A122" s="324" t="s">
        <v>811</v>
      </c>
      <c r="B122" s="18"/>
      <c r="C122" s="326" t="s">
        <v>846</v>
      </c>
      <c r="D122" s="92">
        <v>2.9260000000000002</v>
      </c>
      <c r="E122" s="93">
        <v>0.36</v>
      </c>
      <c r="F122" s="94">
        <v>4.5999999999999999E-2</v>
      </c>
      <c r="G122" s="319">
        <v>2.7</v>
      </c>
      <c r="H122" s="320" t="s">
        <v>840</v>
      </c>
      <c r="I122" s="321" t="s">
        <v>840</v>
      </c>
      <c r="J122" s="27" t="s">
        <v>840</v>
      </c>
      <c r="K122" s="328" t="str">
        <f ca="1">IFERROR(IF(#REF!="","",INDEX(INDIRECT("'Annex 1 LV and HV charges"&amp;MID($A$2,FIND("_",$A$2),2)&amp;"'!$A$10:$K$51"),MATCH(MID($A122,FIND(":",$A122)+2,LEN($A122)-FIND(":",$A122)+2),INDIRECT("'Annex 1 LV and HV charges"&amp;MID($A$2,FIND("_",$A$2),2)&amp;"'!$A$10:$A$51"),0),MATCH(J$13,$A$13:$J$13,0))-J122),"")</f>
        <v/>
      </c>
    </row>
    <row r="123" spans="1:11" ht="27.75" customHeight="1" x14ac:dyDescent="0.2">
      <c r="A123" s="324" t="s">
        <v>818</v>
      </c>
      <c r="B123" s="18"/>
      <c r="C123" s="326" t="s">
        <v>846</v>
      </c>
      <c r="D123" s="92">
        <v>2.9260000000000002</v>
      </c>
      <c r="E123" s="93">
        <v>0.36</v>
      </c>
      <c r="F123" s="94">
        <v>4.5999999999999999E-2</v>
      </c>
      <c r="G123" s="319">
        <v>3.26</v>
      </c>
      <c r="H123" s="320" t="s">
        <v>840</v>
      </c>
      <c r="I123" s="321" t="s">
        <v>840</v>
      </c>
      <c r="J123" s="27" t="s">
        <v>840</v>
      </c>
      <c r="K123" s="328" t="str">
        <f ca="1">IFERROR(IF(#REF!="","",INDEX(INDIRECT("'Annex 1 LV and HV charges"&amp;MID($A$2,FIND("_",$A$2),2)&amp;"'!$A$10:$K$51"),MATCH(MID($A123,FIND(":",$A123)+2,LEN($A123)-FIND(":",$A123)+2),INDIRECT("'Annex 1 LV and HV charges"&amp;MID($A$2,FIND("_",$A$2),2)&amp;"'!$A$10:$A$51"),0),MATCH(J$13,$A$13:$J$13,0))-J123),"")</f>
        <v/>
      </c>
    </row>
    <row r="124" spans="1:11" ht="27.75" customHeight="1" x14ac:dyDescent="0.2">
      <c r="A124" s="324" t="s">
        <v>588</v>
      </c>
      <c r="B124" s="25"/>
      <c r="C124" s="326">
        <v>4</v>
      </c>
      <c r="D124" s="92">
        <v>2.9260000000000002</v>
      </c>
      <c r="E124" s="93">
        <v>0.36</v>
      </c>
      <c r="F124" s="94">
        <v>4.5999999999999999E-2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charges"&amp;MID($A$2,FIND("_",$A$2),2)&amp;"'!$A$10:$A$51"),0),MATCH(J$13,$A$13:$J$13,0))-J124),"")</f>
        <v/>
      </c>
    </row>
    <row r="125" spans="1:11" ht="27.75" customHeight="1" x14ac:dyDescent="0.2">
      <c r="A125" s="324" t="s">
        <v>697</v>
      </c>
      <c r="B125" s="18"/>
      <c r="C125" s="326">
        <v>0</v>
      </c>
      <c r="D125" s="92">
        <v>2.0350000000000001</v>
      </c>
      <c r="E125" s="93">
        <v>0.23400000000000001</v>
      </c>
      <c r="F125" s="94">
        <v>2.7E-2</v>
      </c>
      <c r="G125" s="319">
        <v>5.37</v>
      </c>
      <c r="H125" s="319">
        <v>2.0099999999999998</v>
      </c>
      <c r="I125" s="322">
        <v>2.0099999999999998</v>
      </c>
      <c r="J125" s="26">
        <v>9.1999999999999998E-2</v>
      </c>
      <c r="K125" s="328" t="str">
        <f ca="1">IFERROR(IF(#REF!="","",INDEX(INDIRECT("'Annex 1 LV and HV charges"&amp;MID($A$2,FIND("_",$A$2),2)&amp;"'!$A$10:$K$51"),MATCH(MID($A125,FIND(":",$A125)+2,LEN($A125)-FIND(":",$A125)+2),INDIRECT("'Annex 1 LV and HV charges"&amp;MID($A$2,FIND("_",$A$2),2)&amp;"'!$A$10:$A$51"),0),MATCH(J$13,$A$13:$J$13,0))-J125),"")</f>
        <v/>
      </c>
    </row>
    <row r="126" spans="1:11" ht="27.75" customHeight="1" x14ac:dyDescent="0.2">
      <c r="A126" s="324" t="s">
        <v>698</v>
      </c>
      <c r="B126" s="25"/>
      <c r="C126" s="326">
        <v>0</v>
      </c>
      <c r="D126" s="92">
        <v>2.0350000000000001</v>
      </c>
      <c r="E126" s="93">
        <v>0.23400000000000001</v>
      </c>
      <c r="F126" s="94">
        <v>2.7E-2</v>
      </c>
      <c r="G126" s="319">
        <v>7.16</v>
      </c>
      <c r="H126" s="319">
        <v>2.0099999999999998</v>
      </c>
      <c r="I126" s="322">
        <v>2.0099999999999998</v>
      </c>
      <c r="J126" s="26">
        <v>9.1999999999999998E-2</v>
      </c>
      <c r="K126" s="328" t="str">
        <f ca="1">IFERROR(IF(#REF!="","",INDEX(INDIRECT("'Annex 1 LV and HV charges"&amp;MID($A$2,FIND("_",$A$2),2)&amp;"'!$A$10:$K$51"),MATCH(MID($A126,FIND(":",$A126)+2,LEN($A126)-FIND(":",$A126)+2),INDIRECT("'Annex 1 LV and HV charges"&amp;MID($A$2,FIND("_",$A$2),2)&amp;"'!$A$10:$A$51"),0),MATCH(J$13,$A$13:$J$13,0))-J126),"")</f>
        <v/>
      </c>
    </row>
    <row r="127" spans="1:11" ht="27.75" customHeight="1" x14ac:dyDescent="0.2">
      <c r="A127" s="324" t="s">
        <v>699</v>
      </c>
      <c r="B127" s="18"/>
      <c r="C127" s="326">
        <v>0</v>
      </c>
      <c r="D127" s="92">
        <v>2.0350000000000001</v>
      </c>
      <c r="E127" s="93">
        <v>0.23400000000000001</v>
      </c>
      <c r="F127" s="94">
        <v>2.7E-2</v>
      </c>
      <c r="G127" s="319">
        <v>8.26</v>
      </c>
      <c r="H127" s="319">
        <v>2.0099999999999998</v>
      </c>
      <c r="I127" s="322">
        <v>2.0099999999999998</v>
      </c>
      <c r="J127" s="26">
        <v>9.1999999999999998E-2</v>
      </c>
      <c r="K127" s="328" t="str">
        <f ca="1">IFERROR(IF(#REF!="","",INDEX(INDIRECT("'Annex 1 LV and HV charges"&amp;MID($A$2,FIND("_",$A$2),2)&amp;"'!$A$10:$K$51"),MATCH(MID($A127,FIND(":",$A127)+2,LEN($A127)-FIND(":",$A127)+2),INDIRECT("'Annex 1 LV and HV charges"&amp;MID($A$2,FIND("_",$A$2),2)&amp;"'!$A$10:$A$51"),0),MATCH(J$13,$A$13:$J$13,0))-J127),"")</f>
        <v/>
      </c>
    </row>
    <row r="128" spans="1:11" ht="27.75" customHeight="1" x14ac:dyDescent="0.2">
      <c r="A128" s="324" t="s">
        <v>700</v>
      </c>
      <c r="B128" s="18"/>
      <c r="C128" s="326">
        <v>0</v>
      </c>
      <c r="D128" s="92">
        <v>2.0350000000000001</v>
      </c>
      <c r="E128" s="93">
        <v>0.23400000000000001</v>
      </c>
      <c r="F128" s="94">
        <v>2.7E-2</v>
      </c>
      <c r="G128" s="319">
        <v>9.35</v>
      </c>
      <c r="H128" s="319">
        <v>2.0099999999999998</v>
      </c>
      <c r="I128" s="322">
        <v>2.0099999999999998</v>
      </c>
      <c r="J128" s="26">
        <v>9.1999999999999998E-2</v>
      </c>
      <c r="K128" s="328" t="str">
        <f ca="1">IFERROR(IF(#REF!="","",INDEX(INDIRECT("'Annex 1 LV and HV charges"&amp;MID($A$2,FIND("_",$A$2),2)&amp;"'!$A$10:$K$51"),MATCH(MID($A128,FIND(":",$A128)+2,LEN($A128)-FIND(":",$A128)+2),INDIRECT("'Annex 1 LV and HV charges"&amp;MID($A$2,FIND("_",$A$2),2)&amp;"'!$A$10:$A$51"),0),MATCH(J$13,$A$13:$J$13,0))-J128),"")</f>
        <v/>
      </c>
    </row>
    <row r="129" spans="1:11" ht="27.75" customHeight="1" x14ac:dyDescent="0.2">
      <c r="A129" s="324" t="s">
        <v>701</v>
      </c>
      <c r="B129" s="18"/>
      <c r="C129" s="326">
        <v>0</v>
      </c>
      <c r="D129" s="92">
        <v>2.0350000000000001</v>
      </c>
      <c r="E129" s="93">
        <v>0.23400000000000001</v>
      </c>
      <c r="F129" s="94">
        <v>2.7E-2</v>
      </c>
      <c r="G129" s="319">
        <v>16.649999999999999</v>
      </c>
      <c r="H129" s="319">
        <v>2.0099999999999998</v>
      </c>
      <c r="I129" s="322">
        <v>2.0099999999999998</v>
      </c>
      <c r="J129" s="26">
        <v>9.1999999999999998E-2</v>
      </c>
      <c r="K129" s="328" t="str">
        <f ca="1">IFERROR(IF(#REF!="","",INDEX(INDIRECT("'Annex 1 LV and HV charges"&amp;MID($A$2,FIND("_",$A$2),2)&amp;"'!$A$10:$K$51"),MATCH(MID($A129,FIND(":",$A129)+2,LEN($A129)-FIND(":",$A129)+2),INDIRECT("'Annex 1 LV and HV charges"&amp;MID($A$2,FIND("_",$A$2),2)&amp;"'!$A$10:$A$51"),0),MATCH(J$13,$A$13:$J$13,0))-J129),"")</f>
        <v/>
      </c>
    </row>
    <row r="130" spans="1:11" ht="27.75" customHeight="1" x14ac:dyDescent="0.2">
      <c r="A130" s="324" t="s">
        <v>702</v>
      </c>
      <c r="B130" s="18"/>
      <c r="C130" s="326">
        <v>0</v>
      </c>
      <c r="D130" s="92">
        <v>2.0579999999999998</v>
      </c>
      <c r="E130" s="93">
        <v>0.21099999999999999</v>
      </c>
      <c r="F130" s="94">
        <v>1.9E-2</v>
      </c>
      <c r="G130" s="319">
        <v>6.71</v>
      </c>
      <c r="H130" s="319">
        <v>2.2599999999999998</v>
      </c>
      <c r="I130" s="322">
        <v>2.2599999999999998</v>
      </c>
      <c r="J130" s="26">
        <v>8.2000000000000003E-2</v>
      </c>
      <c r="K130" s="328" t="str">
        <f ca="1">IFERROR(IF(#REF!="","",INDEX(INDIRECT("'Annex 1 LV and HV charges"&amp;MID($A$2,FIND("_",$A$2),2)&amp;"'!$A$10:$K$51"),MATCH(MID($A130,FIND(":",$A130)+2,LEN($A130)-FIND(":",$A130)+2),INDIRECT("'Annex 1 LV and HV charges"&amp;MID($A$2,FIND("_",$A$2),2)&amp;"'!$A$10:$A$51"),0),MATCH(J$13,$A$13:$J$13,0))-J130),"")</f>
        <v/>
      </c>
    </row>
    <row r="131" spans="1:11" ht="27.75" customHeight="1" x14ac:dyDescent="0.2">
      <c r="A131" s="324" t="s">
        <v>703</v>
      </c>
      <c r="B131" s="25"/>
      <c r="C131" s="326">
        <v>0</v>
      </c>
      <c r="D131" s="92">
        <v>2.0579999999999998</v>
      </c>
      <c r="E131" s="93">
        <v>0.21099999999999999</v>
      </c>
      <c r="F131" s="94">
        <v>1.9E-2</v>
      </c>
      <c r="G131" s="319">
        <v>9.39</v>
      </c>
      <c r="H131" s="319">
        <v>2.2599999999999998</v>
      </c>
      <c r="I131" s="322">
        <v>2.2599999999999998</v>
      </c>
      <c r="J131" s="26">
        <v>8.2000000000000003E-2</v>
      </c>
      <c r="K131" s="328" t="str">
        <f ca="1">IFERROR(IF(#REF!="","",INDEX(INDIRECT("'Annex 1 LV and HV charges"&amp;MID($A$2,FIND("_",$A$2),2)&amp;"'!$A$10:$K$51"),MATCH(MID($A131,FIND(":",$A131)+2,LEN($A131)-FIND(":",$A131)+2),INDIRECT("'Annex 1 LV and HV charges"&amp;MID($A$2,FIND("_",$A$2),2)&amp;"'!$A$10:$A$51"),0),MATCH(J$13,$A$13:$J$13,0))-J131),"")</f>
        <v/>
      </c>
    </row>
    <row r="132" spans="1:11" ht="27.75" customHeight="1" x14ac:dyDescent="0.2">
      <c r="A132" s="324" t="s">
        <v>704</v>
      </c>
      <c r="B132" s="18"/>
      <c r="C132" s="326">
        <v>0</v>
      </c>
      <c r="D132" s="92">
        <v>2.0579999999999998</v>
      </c>
      <c r="E132" s="93">
        <v>0.21099999999999999</v>
      </c>
      <c r="F132" s="94">
        <v>1.9E-2</v>
      </c>
      <c r="G132" s="319">
        <v>11.04</v>
      </c>
      <c r="H132" s="319">
        <v>2.2599999999999998</v>
      </c>
      <c r="I132" s="322">
        <v>2.2599999999999998</v>
      </c>
      <c r="J132" s="26">
        <v>8.2000000000000003E-2</v>
      </c>
      <c r="K132" s="328" t="str">
        <f ca="1">IFERROR(IF(#REF!="","",INDEX(INDIRECT("'Annex 1 LV and HV charges"&amp;MID($A$2,FIND("_",$A$2),2)&amp;"'!$A$10:$K$51"),MATCH(MID($A132,FIND(":",$A132)+2,LEN($A132)-FIND(":",$A132)+2),INDIRECT("'Annex 1 LV and HV charges"&amp;MID($A$2,FIND("_",$A$2),2)&amp;"'!$A$10:$A$51"),0),MATCH(J$13,$A$13:$J$13,0))-J132),"")</f>
        <v/>
      </c>
    </row>
    <row r="133" spans="1:11" ht="27.75" customHeight="1" x14ac:dyDescent="0.2">
      <c r="A133" s="324" t="s">
        <v>705</v>
      </c>
      <c r="B133" s="18"/>
      <c r="C133" s="326">
        <v>0</v>
      </c>
      <c r="D133" s="92">
        <v>2.0579999999999998</v>
      </c>
      <c r="E133" s="93">
        <v>0.21099999999999999</v>
      </c>
      <c r="F133" s="94">
        <v>1.9E-2</v>
      </c>
      <c r="G133" s="319">
        <v>12.67</v>
      </c>
      <c r="H133" s="319">
        <v>2.2599999999999998</v>
      </c>
      <c r="I133" s="322">
        <v>2.2599999999999998</v>
      </c>
      <c r="J133" s="26">
        <v>8.2000000000000003E-2</v>
      </c>
      <c r="K133" s="328" t="str">
        <f ca="1">IFERROR(IF(#REF!="","",INDEX(INDIRECT("'Annex 1 LV and HV charges"&amp;MID($A$2,FIND("_",$A$2),2)&amp;"'!$A$10:$K$51"),MATCH(MID($A133,FIND(":",$A133)+2,LEN($A133)-FIND(":",$A133)+2),INDIRECT("'Annex 1 LV and HV charges"&amp;MID($A$2,FIND("_",$A$2),2)&amp;"'!$A$10:$A$51"),0),MATCH(J$13,$A$13:$J$13,0))-J133),"")</f>
        <v/>
      </c>
    </row>
    <row r="134" spans="1:11" ht="27.75" customHeight="1" x14ac:dyDescent="0.2">
      <c r="A134" s="324" t="s">
        <v>706</v>
      </c>
      <c r="B134" s="18"/>
      <c r="C134" s="326">
        <v>0</v>
      </c>
      <c r="D134" s="92">
        <v>2.0579999999999998</v>
      </c>
      <c r="E134" s="93">
        <v>0.21099999999999999</v>
      </c>
      <c r="F134" s="94">
        <v>1.9E-2</v>
      </c>
      <c r="G134" s="319">
        <v>23.59</v>
      </c>
      <c r="H134" s="319">
        <v>2.2599999999999998</v>
      </c>
      <c r="I134" s="322">
        <v>2.2599999999999998</v>
      </c>
      <c r="J134" s="26">
        <v>8.2000000000000003E-2</v>
      </c>
      <c r="K134" s="328" t="str">
        <f ca="1">IFERROR(IF(#REF!="","",INDEX(INDIRECT("'Annex 1 LV and HV charges"&amp;MID($A$2,FIND("_",$A$2),2)&amp;"'!$A$10:$K$51"),MATCH(MID($A134,FIND(":",$A134)+2,LEN($A134)-FIND(":",$A134)+2),INDIRECT("'Annex 1 LV and HV charges"&amp;MID($A$2,FIND("_",$A$2),2)&amp;"'!$A$10:$A$51"),0),MATCH(J$13,$A$13:$J$13,0))-J134),"")</f>
        <v/>
      </c>
    </row>
    <row r="135" spans="1:11" ht="27.75" customHeight="1" x14ac:dyDescent="0.2">
      <c r="A135" s="324" t="s">
        <v>707</v>
      </c>
      <c r="B135" s="18"/>
      <c r="C135" s="326">
        <v>0</v>
      </c>
      <c r="D135" s="92">
        <v>2.0030000000000001</v>
      </c>
      <c r="E135" s="93">
        <v>0.189</v>
      </c>
      <c r="F135" s="94">
        <v>1.6E-2</v>
      </c>
      <c r="G135" s="319">
        <v>75.239999999999995</v>
      </c>
      <c r="H135" s="319">
        <v>2.2000000000000002</v>
      </c>
      <c r="I135" s="322">
        <v>2.2000000000000002</v>
      </c>
      <c r="J135" s="26">
        <v>7.5999999999999998E-2</v>
      </c>
      <c r="K135" s="328" t="str">
        <f ca="1">IFERROR(IF(#REF!="","",INDEX(INDIRECT("'Annex 1 LV and HV charges"&amp;MID($A$2,FIND("_",$A$2),2)&amp;"'!$A$10:$K$51"),MATCH(MID($A135,FIND(":",$A135)+2,LEN($A135)-FIND(":",$A135)+2),INDIRECT("'Annex 1 LV and HV charges"&amp;MID($A$2,FIND("_",$A$2),2)&amp;"'!$A$10:$A$51"),0),MATCH(J$13,$A$13:$J$13,0))-J135),"")</f>
        <v/>
      </c>
    </row>
    <row r="136" spans="1:11" ht="27.75" customHeight="1" x14ac:dyDescent="0.2">
      <c r="A136" s="324" t="s">
        <v>708</v>
      </c>
      <c r="B136" s="25"/>
      <c r="C136" s="326">
        <v>0</v>
      </c>
      <c r="D136" s="92">
        <v>2.0030000000000001</v>
      </c>
      <c r="E136" s="93">
        <v>0.189</v>
      </c>
      <c r="F136" s="94">
        <v>1.6E-2</v>
      </c>
      <c r="G136" s="319">
        <v>99.7</v>
      </c>
      <c r="H136" s="319">
        <v>2.2000000000000002</v>
      </c>
      <c r="I136" s="322">
        <v>2.2000000000000002</v>
      </c>
      <c r="J136" s="26">
        <v>7.5999999999999998E-2</v>
      </c>
      <c r="K136" s="328" t="str">
        <f ca="1">IFERROR(IF(#REF!="","",INDEX(INDIRECT("'Annex 1 LV and HV charges"&amp;MID($A$2,FIND("_",$A$2),2)&amp;"'!$A$10:$K$51"),MATCH(MID($A136,FIND(":",$A136)+2,LEN($A136)-FIND(":",$A136)+2),INDIRECT("'Annex 1 LV and HV charges"&amp;MID($A$2,FIND("_",$A$2),2)&amp;"'!$A$10:$A$51"),0),MATCH(J$13,$A$13:$J$13,0))-J136),"")</f>
        <v/>
      </c>
    </row>
    <row r="137" spans="1:11" ht="27.75" customHeight="1" x14ac:dyDescent="0.2">
      <c r="A137" s="324" t="s">
        <v>709</v>
      </c>
      <c r="B137" s="18"/>
      <c r="C137" s="326">
        <v>0</v>
      </c>
      <c r="D137" s="92">
        <v>2.0030000000000001</v>
      </c>
      <c r="E137" s="93">
        <v>0.189</v>
      </c>
      <c r="F137" s="94">
        <v>1.6E-2</v>
      </c>
      <c r="G137" s="319">
        <v>126.5</v>
      </c>
      <c r="H137" s="319">
        <v>2.2000000000000002</v>
      </c>
      <c r="I137" s="322">
        <v>2.2000000000000002</v>
      </c>
      <c r="J137" s="26">
        <v>7.5999999999999998E-2</v>
      </c>
      <c r="K137" s="328" t="str">
        <f ca="1">IFERROR(IF(#REF!="","",INDEX(INDIRECT("'Annex 1 LV and HV charges"&amp;MID($A$2,FIND("_",$A$2),2)&amp;"'!$A$10:$K$51"),MATCH(MID($A137,FIND(":",$A137)+2,LEN($A137)-FIND(":",$A137)+2),INDIRECT("'Annex 1 LV and HV charges"&amp;MID($A$2,FIND("_",$A$2),2)&amp;"'!$A$10:$A$51"),0),MATCH(J$13,$A$13:$J$13,0))-J137),"")</f>
        <v/>
      </c>
    </row>
    <row r="138" spans="1:11" ht="27.75" customHeight="1" x14ac:dyDescent="0.2">
      <c r="A138" s="324" t="s">
        <v>710</v>
      </c>
      <c r="B138" s="18"/>
      <c r="C138" s="326">
        <v>0</v>
      </c>
      <c r="D138" s="92">
        <v>2.0030000000000001</v>
      </c>
      <c r="E138" s="93">
        <v>0.189</v>
      </c>
      <c r="F138" s="94">
        <v>1.6E-2</v>
      </c>
      <c r="G138" s="319">
        <v>169.05</v>
      </c>
      <c r="H138" s="319">
        <v>2.2000000000000002</v>
      </c>
      <c r="I138" s="322">
        <v>2.2000000000000002</v>
      </c>
      <c r="J138" s="26">
        <v>7.5999999999999998E-2</v>
      </c>
      <c r="K138" s="328" t="str">
        <f ca="1">IFERROR(IF(#REF!="","",INDEX(INDIRECT("'Annex 1 LV and HV charges"&amp;MID($A$2,FIND("_",$A$2),2)&amp;"'!$A$10:$K$51"),MATCH(MID($A138,FIND(":",$A138)+2,LEN($A138)-FIND(":",$A138)+2),INDIRECT("'Annex 1 LV and HV charges"&amp;MID($A$2,FIND("_",$A$2),2)&amp;"'!$A$10:$A$51"),0),MATCH(J$13,$A$13:$J$13,0))-J138),"")</f>
        <v/>
      </c>
    </row>
    <row r="139" spans="1:11" ht="27.75" customHeight="1" x14ac:dyDescent="0.2">
      <c r="A139" s="324" t="s">
        <v>711</v>
      </c>
      <c r="B139" s="18"/>
      <c r="C139" s="326">
        <v>0</v>
      </c>
      <c r="D139" s="92">
        <v>2.0030000000000001</v>
      </c>
      <c r="E139" s="93">
        <v>0.189</v>
      </c>
      <c r="F139" s="94">
        <v>1.6E-2</v>
      </c>
      <c r="G139" s="319">
        <v>354.28</v>
      </c>
      <c r="H139" s="319">
        <v>2.2000000000000002</v>
      </c>
      <c r="I139" s="322">
        <v>2.2000000000000002</v>
      </c>
      <c r="J139" s="26">
        <v>7.5999999999999998E-2</v>
      </c>
      <c r="K139" s="328" t="str">
        <f ca="1">IFERROR(IF(#REF!="","",INDEX(INDIRECT("'Annex 1 LV and HV charges"&amp;MID($A$2,FIND("_",$A$2),2)&amp;"'!$A$10:$K$51"),MATCH(MID($A139,FIND(":",$A139)+2,LEN($A139)-FIND(":",$A139)+2),INDIRECT("'Annex 1 LV and HV charges"&amp;MID($A$2,FIND("_",$A$2),2)&amp;"'!$A$10:$A$51"),0),MATCH(J$13,$A$13:$J$13,0))-J139),"")</f>
        <v/>
      </c>
    </row>
    <row r="140" spans="1:11" ht="27.75" customHeight="1" x14ac:dyDescent="0.2">
      <c r="A140" s="324" t="s">
        <v>589</v>
      </c>
      <c r="B140" s="25"/>
      <c r="C140" s="326" t="s">
        <v>847</v>
      </c>
      <c r="D140" s="95">
        <v>9.9819999999999993</v>
      </c>
      <c r="E140" s="96">
        <v>0.84499999999999997</v>
      </c>
      <c r="F140" s="94">
        <v>0.51200000000000001</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charges"&amp;MID($A$2,FIND("_",$A$2),2)&amp;"'!$A$10:$A$51"),0),MATCH(J$13,$A$13:$J$13,0))-J140),"")</f>
        <v/>
      </c>
    </row>
    <row r="141" spans="1:11" ht="27.75" customHeight="1" x14ac:dyDescent="0.2">
      <c r="A141" s="324" t="s">
        <v>627</v>
      </c>
      <c r="B141" s="25"/>
      <c r="C141" s="326" t="s">
        <v>848</v>
      </c>
      <c r="D141" s="92">
        <v>-3.4140000000000001</v>
      </c>
      <c r="E141" s="93">
        <v>-0.42</v>
      </c>
      <c r="F141" s="94">
        <v>-5.3999999999999999E-2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charges"&amp;MID($A$2,FIND("_",$A$2),2)&amp;"'!$A$10:$A$51"),0),MATCH(J$13,$A$13:$J$13,0))-J141),"")</f>
        <v/>
      </c>
    </row>
    <row r="142" spans="1:11" ht="27.75" customHeight="1" x14ac:dyDescent="0.2">
      <c r="A142" s="324" t="s">
        <v>628</v>
      </c>
      <c r="B142" s="323"/>
      <c r="C142" s="326">
        <v>0</v>
      </c>
      <c r="D142" s="92">
        <v>-3.052</v>
      </c>
      <c r="E142" s="93">
        <v>-0.35799999999999998</v>
      </c>
      <c r="F142" s="94">
        <v>-4.2999999999999997E-2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charges"&amp;MID($A$2,FIND("_",$A$2),2)&amp;"'!$A$10:$A$51"),0),MATCH(J$13,$A$13:$J$13,0))-J142),"")</f>
        <v/>
      </c>
    </row>
    <row r="143" spans="1:11" ht="27.75" customHeight="1" x14ac:dyDescent="0.2">
      <c r="A143" s="324" t="s">
        <v>629</v>
      </c>
      <c r="B143" s="25"/>
      <c r="C143" s="326">
        <v>0</v>
      </c>
      <c r="D143" s="92">
        <v>-3.4140000000000001</v>
      </c>
      <c r="E143" s="93">
        <v>-0.42</v>
      </c>
      <c r="F143" s="94">
        <v>-5.3999999999999999E-2</v>
      </c>
      <c r="G143" s="319" t="s">
        <v>840</v>
      </c>
      <c r="H143" s="320" t="s">
        <v>840</v>
      </c>
      <c r="I143" s="321" t="s">
        <v>840</v>
      </c>
      <c r="J143" s="26">
        <v>0.17199999999999999</v>
      </c>
      <c r="K143" s="328" t="str">
        <f ca="1">IFERROR(IF(#REF!="","",INDEX(INDIRECT("'Annex 1 LV and HV charges"&amp;MID($A$2,FIND("_",$A$2),2)&amp;"'!$A$10:$K$51"),MATCH(MID($A143,FIND(":",$A143)+2,LEN($A143)-FIND(":",$A143)+2),INDIRECT("'Annex 1 LV and HV charges"&amp;MID($A$2,FIND("_",$A$2),2)&amp;"'!$A$10:$A$51"),0),MATCH(J$13,$A$13:$J$13,0))-J143),"")</f>
        <v/>
      </c>
    </row>
    <row r="144" spans="1:11" ht="27.75" customHeight="1" x14ac:dyDescent="0.2">
      <c r="A144" s="324" t="s">
        <v>630</v>
      </c>
      <c r="B144" s="25"/>
      <c r="C144" s="326">
        <v>0</v>
      </c>
      <c r="D144" s="92">
        <v>-3.052</v>
      </c>
      <c r="E144" s="93">
        <v>-0.35799999999999998</v>
      </c>
      <c r="F144" s="94">
        <v>-4.2999999999999997E-2</v>
      </c>
      <c r="G144" s="319" t="s">
        <v>840</v>
      </c>
      <c r="H144" s="320" t="s">
        <v>840</v>
      </c>
      <c r="I144" s="321" t="s">
        <v>840</v>
      </c>
      <c r="J144" s="26">
        <v>0.13600000000000001</v>
      </c>
      <c r="K144" s="328" t="str">
        <f ca="1">IFERROR(IF(#REF!="","",INDEX(INDIRECT("'Annex 1 LV and HV charges"&amp;MID($A$2,FIND("_",$A$2),2)&amp;"'!$A$10:$K$51"),MATCH(MID($A144,FIND(":",$A144)+2,LEN($A144)-FIND(":",$A144)+2),INDIRECT("'Annex 1 LV and HV charges"&amp;MID($A$2,FIND("_",$A$2),2)&amp;"'!$A$10:$A$51"),0),MATCH(J$13,$A$13:$J$13,0))-J144),"")</f>
        <v/>
      </c>
    </row>
    <row r="145" spans="1:11" ht="27.75" customHeight="1" x14ac:dyDescent="0.2">
      <c r="A145" s="324" t="s">
        <v>631</v>
      </c>
      <c r="B145" s="25"/>
      <c r="C145" s="326">
        <v>0</v>
      </c>
      <c r="D145" s="92">
        <v>-3.1259999999999999</v>
      </c>
      <c r="E145" s="93">
        <v>-0.32</v>
      </c>
      <c r="F145" s="94">
        <v>-0.03</v>
      </c>
      <c r="G145" s="319">
        <v>7.37</v>
      </c>
      <c r="H145" s="320" t="s">
        <v>840</v>
      </c>
      <c r="I145" s="321" t="s">
        <v>840</v>
      </c>
      <c r="J145" s="26">
        <v>0.159</v>
      </c>
      <c r="K145" s="328" t="str">
        <f ca="1">IFERROR(IF(#REF!="","",INDEX(INDIRECT("'Annex 1 LV and HV charges"&amp;MID($A$2,FIND("_",$A$2),2)&amp;"'!$A$10:$K$51"),MATCH(MID($A145,FIND(":",$A145)+2,LEN($A145)-FIND(":",$A145)+2),INDIRECT("'Annex 1 LV and HV charges"&amp;MID($A$2,FIND("_",$A$2),2)&amp;"'!$A$10:$A$51"),0),MATCH(J$13,$A$13:$J$13,0))-J145),"")</f>
        <v/>
      </c>
    </row>
    <row r="146" spans="1:11" ht="27.75" customHeight="1" x14ac:dyDescent="0.2">
      <c r="A146" s="324" t="s">
        <v>784</v>
      </c>
      <c r="B146" s="25"/>
      <c r="C146" s="326" t="s">
        <v>845</v>
      </c>
      <c r="D146" s="92">
        <v>2.6030000000000002</v>
      </c>
      <c r="E146" s="93">
        <v>0.32</v>
      </c>
      <c r="F146" s="94">
        <v>4.1000000000000002E-2</v>
      </c>
      <c r="G146" s="319">
        <v>1.52</v>
      </c>
      <c r="H146" s="320" t="s">
        <v>840</v>
      </c>
      <c r="I146" s="321" t="s">
        <v>840</v>
      </c>
      <c r="J146" s="27" t="s">
        <v>840</v>
      </c>
      <c r="K146" s="328" t="str">
        <f ca="1">IFERROR(IF(#REF!="","",INDEX(INDIRECT("'Annex 1 LV and HV charges"&amp;MID($A$2,FIND("_",$A$2),2)&amp;"'!$A$10:$K$51"),MATCH(MID($A146,FIND(":",$A146)+2,LEN($A146)-FIND(":",$A146)+2),INDIRECT("'Annex 1 LV and HV charges"&amp;MID($A$2,FIND("_",$A$2),2)&amp;"'!$A$10:$A$51"),0),MATCH(J$13,$A$13:$J$13,0))-J146),"")</f>
        <v/>
      </c>
    </row>
    <row r="147" spans="1:11" ht="27.75" customHeight="1" x14ac:dyDescent="0.2">
      <c r="A147" s="324" t="s">
        <v>712</v>
      </c>
      <c r="B147" s="25"/>
      <c r="C147" s="326">
        <v>2</v>
      </c>
      <c r="D147" s="92">
        <v>2.6030000000000002</v>
      </c>
      <c r="E147" s="93">
        <v>0.32</v>
      </c>
      <c r="F147" s="94">
        <v>4.1000000000000002E-2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charges"&amp;MID($A$2,FIND("_",$A$2),2)&amp;"'!$A$10:$A$51"),0),MATCH(J$13,$A$13:$J$13,0))-J147),"")</f>
        <v/>
      </c>
    </row>
    <row r="148" spans="1:11" ht="27.75" customHeight="1" x14ac:dyDescent="0.2">
      <c r="A148" s="324" t="s">
        <v>791</v>
      </c>
      <c r="B148" s="18"/>
      <c r="C148" s="326" t="s">
        <v>846</v>
      </c>
      <c r="D148" s="92">
        <v>1.968</v>
      </c>
      <c r="E148" s="93">
        <v>0.24199999999999999</v>
      </c>
      <c r="F148" s="94">
        <v>3.1E-2</v>
      </c>
      <c r="G148" s="319">
        <v>1.58</v>
      </c>
      <c r="H148" s="320" t="s">
        <v>840</v>
      </c>
      <c r="I148" s="321" t="s">
        <v>840</v>
      </c>
      <c r="J148" s="27" t="s">
        <v>840</v>
      </c>
      <c r="K148" s="328" t="str">
        <f ca="1">IFERROR(IF(#REF!="","",INDEX(INDIRECT("'Annex 1 LV and HV charges"&amp;MID($A$2,FIND("_",$A$2),2)&amp;"'!$A$10:$K$51"),MATCH(MID($A148,FIND(":",$A148)+2,LEN($A148)-FIND(":",$A148)+2),INDIRECT("'Annex 1 LV and HV charges"&amp;MID($A$2,FIND("_",$A$2),2)&amp;"'!$A$10:$A$51"),0),MATCH(J$13,$A$13:$J$13,0))-J148),"")</f>
        <v/>
      </c>
    </row>
    <row r="149" spans="1:11" ht="27.75" customHeight="1" x14ac:dyDescent="0.2">
      <c r="A149" s="324" t="s">
        <v>798</v>
      </c>
      <c r="B149" s="25"/>
      <c r="C149" s="326" t="s">
        <v>846</v>
      </c>
      <c r="D149" s="92">
        <v>1.968</v>
      </c>
      <c r="E149" s="93">
        <v>0.24199999999999999</v>
      </c>
      <c r="F149" s="94">
        <v>3.1E-2</v>
      </c>
      <c r="G149" s="319">
        <v>1.62</v>
      </c>
      <c r="H149" s="320" t="s">
        <v>840</v>
      </c>
      <c r="I149" s="321" t="s">
        <v>840</v>
      </c>
      <c r="J149" s="27" t="s">
        <v>840</v>
      </c>
      <c r="K149" s="328" t="str">
        <f ca="1">IFERROR(IF(#REF!="","",INDEX(INDIRECT("'Annex 1 LV and HV charges"&amp;MID($A$2,FIND("_",$A$2),2)&amp;"'!$A$10:$K$51"),MATCH(MID($A149,FIND(":",$A149)+2,LEN($A149)-FIND(":",$A149)+2),INDIRECT("'Annex 1 LV and HV charges"&amp;MID($A$2,FIND("_",$A$2),2)&amp;"'!$A$10:$A$51"),0),MATCH(J$13,$A$13:$J$13,0))-J149),"")</f>
        <v/>
      </c>
    </row>
    <row r="150" spans="1:11" ht="27.75" customHeight="1" x14ac:dyDescent="0.2">
      <c r="A150" s="324" t="s">
        <v>805</v>
      </c>
      <c r="B150" s="18"/>
      <c r="C150" s="326" t="s">
        <v>846</v>
      </c>
      <c r="D150" s="92">
        <v>1.968</v>
      </c>
      <c r="E150" s="93">
        <v>0.24199999999999999</v>
      </c>
      <c r="F150" s="94">
        <v>3.1E-2</v>
      </c>
      <c r="G150" s="319">
        <v>1.69</v>
      </c>
      <c r="H150" s="320" t="s">
        <v>840</v>
      </c>
      <c r="I150" s="321" t="s">
        <v>840</v>
      </c>
      <c r="J150" s="27" t="s">
        <v>840</v>
      </c>
      <c r="K150" s="328" t="str">
        <f ca="1">IFERROR(IF(#REF!="","",INDEX(INDIRECT("'Annex 1 LV and HV charges"&amp;MID($A$2,FIND("_",$A$2),2)&amp;"'!$A$10:$K$51"),MATCH(MID($A150,FIND(":",$A150)+2,LEN($A150)-FIND(":",$A150)+2),INDIRECT("'Annex 1 LV and HV charges"&amp;MID($A$2,FIND("_",$A$2),2)&amp;"'!$A$10:$A$51"),0),MATCH(J$13,$A$13:$J$13,0))-J150),"")</f>
        <v/>
      </c>
    </row>
    <row r="151" spans="1:11" ht="27.75" customHeight="1" x14ac:dyDescent="0.2">
      <c r="A151" s="324" t="s">
        <v>812</v>
      </c>
      <c r="B151" s="18"/>
      <c r="C151" s="326" t="s">
        <v>846</v>
      </c>
      <c r="D151" s="92">
        <v>1.968</v>
      </c>
      <c r="E151" s="93">
        <v>0.24199999999999999</v>
      </c>
      <c r="F151" s="94">
        <v>3.1E-2</v>
      </c>
      <c r="G151" s="319">
        <v>1.82</v>
      </c>
      <c r="H151" s="320" t="s">
        <v>840</v>
      </c>
      <c r="I151" s="321" t="s">
        <v>840</v>
      </c>
      <c r="J151" s="27" t="s">
        <v>840</v>
      </c>
      <c r="K151" s="328" t="str">
        <f ca="1">IFERROR(IF(#REF!="","",INDEX(INDIRECT("'Annex 1 LV and HV charges"&amp;MID($A$2,FIND("_",$A$2),2)&amp;"'!$A$10:$K$51"),MATCH(MID($A151,FIND(":",$A151)+2,LEN($A151)-FIND(":",$A151)+2),INDIRECT("'Annex 1 LV and HV charges"&amp;MID($A$2,FIND("_",$A$2),2)&amp;"'!$A$10:$A$51"),0),MATCH(J$13,$A$13:$J$13,0))-J151),"")</f>
        <v/>
      </c>
    </row>
    <row r="152" spans="1:11" ht="27.75" customHeight="1" x14ac:dyDescent="0.2">
      <c r="A152" s="324" t="s">
        <v>819</v>
      </c>
      <c r="B152" s="18"/>
      <c r="C152" s="326" t="s">
        <v>846</v>
      </c>
      <c r="D152" s="92">
        <v>1.968</v>
      </c>
      <c r="E152" s="93">
        <v>0.24199999999999999</v>
      </c>
      <c r="F152" s="94">
        <v>3.1E-2</v>
      </c>
      <c r="G152" s="319">
        <v>2.19</v>
      </c>
      <c r="H152" s="320" t="s">
        <v>840</v>
      </c>
      <c r="I152" s="321" t="s">
        <v>840</v>
      </c>
      <c r="J152" s="27" t="s">
        <v>840</v>
      </c>
      <c r="K152" s="328" t="str">
        <f ca="1">IFERROR(IF(#REF!="","",INDEX(INDIRECT("'Annex 1 LV and HV charges"&amp;MID($A$2,FIND("_",$A$2),2)&amp;"'!$A$10:$K$51"),MATCH(MID($A152,FIND(":",$A152)+2,LEN($A152)-FIND(":",$A152)+2),INDIRECT("'Annex 1 LV and HV charges"&amp;MID($A$2,FIND("_",$A$2),2)&amp;"'!$A$10:$A$51"),0),MATCH(J$13,$A$13:$J$13,0))-J152),"")</f>
        <v/>
      </c>
    </row>
    <row r="153" spans="1:11" ht="27.75" customHeight="1" x14ac:dyDescent="0.2">
      <c r="A153" s="324" t="s">
        <v>590</v>
      </c>
      <c r="B153" s="25"/>
      <c r="C153" s="326">
        <v>4</v>
      </c>
      <c r="D153" s="92">
        <v>1.968</v>
      </c>
      <c r="E153" s="93">
        <v>0.24199999999999999</v>
      </c>
      <c r="F153" s="94">
        <v>3.1E-2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charges"&amp;MID($A$2,FIND("_",$A$2),2)&amp;"'!$A$10:$A$51"),0),MATCH(J$13,$A$13:$J$13,0))-J153),"")</f>
        <v/>
      </c>
    </row>
    <row r="154" spans="1:11" ht="27.75" customHeight="1" x14ac:dyDescent="0.2">
      <c r="A154" s="324" t="s">
        <v>713</v>
      </c>
      <c r="B154" s="18"/>
      <c r="C154" s="326">
        <v>0</v>
      </c>
      <c r="D154" s="92">
        <v>1.369</v>
      </c>
      <c r="E154" s="93">
        <v>0.157</v>
      </c>
      <c r="F154" s="94">
        <v>1.7999999999999999E-2</v>
      </c>
      <c r="G154" s="319">
        <v>3.61</v>
      </c>
      <c r="H154" s="319">
        <v>1.35</v>
      </c>
      <c r="I154" s="322">
        <v>1.35</v>
      </c>
      <c r="J154" s="26">
        <v>6.2E-2</v>
      </c>
      <c r="K154" s="328" t="str">
        <f ca="1">IFERROR(IF(#REF!="","",INDEX(INDIRECT("'Annex 1 LV and HV charges"&amp;MID($A$2,FIND("_",$A$2),2)&amp;"'!$A$10:$K$51"),MATCH(MID($A154,FIND(":",$A154)+2,LEN($A154)-FIND(":",$A154)+2),INDIRECT("'Annex 1 LV and HV charges"&amp;MID($A$2,FIND("_",$A$2),2)&amp;"'!$A$10:$A$51"),0),MATCH(J$13,$A$13:$J$13,0))-J154),"")</f>
        <v/>
      </c>
    </row>
    <row r="155" spans="1:11" ht="27.75" customHeight="1" x14ac:dyDescent="0.2">
      <c r="A155" s="324" t="s">
        <v>714</v>
      </c>
      <c r="B155" s="25"/>
      <c r="C155" s="326">
        <v>0</v>
      </c>
      <c r="D155" s="92">
        <v>1.369</v>
      </c>
      <c r="E155" s="93">
        <v>0.157</v>
      </c>
      <c r="F155" s="94">
        <v>1.7999999999999999E-2</v>
      </c>
      <c r="G155" s="319">
        <v>4.82</v>
      </c>
      <c r="H155" s="319">
        <v>1.35</v>
      </c>
      <c r="I155" s="322">
        <v>1.35</v>
      </c>
      <c r="J155" s="26">
        <v>6.2E-2</v>
      </c>
      <c r="K155" s="328" t="str">
        <f ca="1">IFERROR(IF(#REF!="","",INDEX(INDIRECT("'Annex 1 LV and HV charges"&amp;MID($A$2,FIND("_",$A$2),2)&amp;"'!$A$10:$K$51"),MATCH(MID($A155,FIND(":",$A155)+2,LEN($A155)-FIND(":",$A155)+2),INDIRECT("'Annex 1 LV and HV charges"&amp;MID($A$2,FIND("_",$A$2),2)&amp;"'!$A$10:$A$51"),0),MATCH(J$13,$A$13:$J$13,0))-J155),"")</f>
        <v/>
      </c>
    </row>
    <row r="156" spans="1:11" ht="27.75" customHeight="1" x14ac:dyDescent="0.2">
      <c r="A156" s="324" t="s">
        <v>715</v>
      </c>
      <c r="B156" s="18"/>
      <c r="C156" s="326">
        <v>0</v>
      </c>
      <c r="D156" s="92">
        <v>1.369</v>
      </c>
      <c r="E156" s="93">
        <v>0.157</v>
      </c>
      <c r="F156" s="94">
        <v>1.7999999999999999E-2</v>
      </c>
      <c r="G156" s="319">
        <v>5.56</v>
      </c>
      <c r="H156" s="319">
        <v>1.35</v>
      </c>
      <c r="I156" s="322">
        <v>1.35</v>
      </c>
      <c r="J156" s="26">
        <v>6.2E-2</v>
      </c>
      <c r="K156" s="328" t="str">
        <f ca="1">IFERROR(IF(#REF!="","",INDEX(INDIRECT("'Annex 1 LV and HV charges"&amp;MID($A$2,FIND("_",$A$2),2)&amp;"'!$A$10:$K$51"),MATCH(MID($A156,FIND(":",$A156)+2,LEN($A156)-FIND(":",$A156)+2),INDIRECT("'Annex 1 LV and HV charges"&amp;MID($A$2,FIND("_",$A$2),2)&amp;"'!$A$10:$A$51"),0),MATCH(J$13,$A$13:$J$13,0))-J156),"")</f>
        <v/>
      </c>
    </row>
    <row r="157" spans="1:11" ht="27.75" customHeight="1" x14ac:dyDescent="0.2">
      <c r="A157" s="324" t="s">
        <v>716</v>
      </c>
      <c r="B157" s="18"/>
      <c r="C157" s="326">
        <v>0</v>
      </c>
      <c r="D157" s="92">
        <v>1.369</v>
      </c>
      <c r="E157" s="93">
        <v>0.157</v>
      </c>
      <c r="F157" s="94">
        <v>1.7999999999999999E-2</v>
      </c>
      <c r="G157" s="319">
        <v>6.29</v>
      </c>
      <c r="H157" s="319">
        <v>1.35</v>
      </c>
      <c r="I157" s="322">
        <v>1.35</v>
      </c>
      <c r="J157" s="26">
        <v>6.2E-2</v>
      </c>
      <c r="K157" s="328" t="str">
        <f ca="1">IFERROR(IF(#REF!="","",INDEX(INDIRECT("'Annex 1 LV and HV charges"&amp;MID($A$2,FIND("_",$A$2),2)&amp;"'!$A$10:$K$51"),MATCH(MID($A157,FIND(":",$A157)+2,LEN($A157)-FIND(":",$A157)+2),INDIRECT("'Annex 1 LV and HV charges"&amp;MID($A$2,FIND("_",$A$2),2)&amp;"'!$A$10:$A$51"),0),MATCH(J$13,$A$13:$J$13,0))-J157),"")</f>
        <v/>
      </c>
    </row>
    <row r="158" spans="1:11" ht="27.75" customHeight="1" x14ac:dyDescent="0.2">
      <c r="A158" s="324" t="s">
        <v>717</v>
      </c>
      <c r="B158" s="18"/>
      <c r="C158" s="326">
        <v>0</v>
      </c>
      <c r="D158" s="92">
        <v>1.369</v>
      </c>
      <c r="E158" s="93">
        <v>0.157</v>
      </c>
      <c r="F158" s="94">
        <v>1.7999999999999999E-2</v>
      </c>
      <c r="G158" s="319">
        <v>11.2</v>
      </c>
      <c r="H158" s="319">
        <v>1.35</v>
      </c>
      <c r="I158" s="322">
        <v>1.35</v>
      </c>
      <c r="J158" s="26">
        <v>6.2E-2</v>
      </c>
      <c r="K158" s="328" t="str">
        <f ca="1">IFERROR(IF(#REF!="","",INDEX(INDIRECT("'Annex 1 LV and HV charges"&amp;MID($A$2,FIND("_",$A$2),2)&amp;"'!$A$10:$K$51"),MATCH(MID($A158,FIND(":",$A158)+2,LEN($A158)-FIND(":",$A158)+2),INDIRECT("'Annex 1 LV and HV charges"&amp;MID($A$2,FIND("_",$A$2),2)&amp;"'!$A$10:$A$51"),0),MATCH(J$13,$A$13:$J$13,0))-J158),"")</f>
        <v/>
      </c>
    </row>
    <row r="159" spans="1:11" ht="27.75" customHeight="1" x14ac:dyDescent="0.2">
      <c r="A159" s="324" t="s">
        <v>718</v>
      </c>
      <c r="B159" s="18"/>
      <c r="C159" s="326">
        <v>0</v>
      </c>
      <c r="D159" s="92">
        <v>1.3839999999999999</v>
      </c>
      <c r="E159" s="93">
        <v>0.14199999999999999</v>
      </c>
      <c r="F159" s="94">
        <v>1.2999999999999999E-2</v>
      </c>
      <c r="G159" s="319">
        <v>4.51</v>
      </c>
      <c r="H159" s="319">
        <v>1.52</v>
      </c>
      <c r="I159" s="322">
        <v>1.52</v>
      </c>
      <c r="J159" s="26">
        <v>5.5E-2</v>
      </c>
      <c r="K159" s="328" t="str">
        <f ca="1">IFERROR(IF(#REF!="","",INDEX(INDIRECT("'Annex 1 LV and HV charges"&amp;MID($A$2,FIND("_",$A$2),2)&amp;"'!$A$10:$K$51"),MATCH(MID($A159,FIND(":",$A159)+2,LEN($A159)-FIND(":",$A159)+2),INDIRECT("'Annex 1 LV and HV charges"&amp;MID($A$2,FIND("_",$A$2),2)&amp;"'!$A$10:$A$51"),0),MATCH(J$13,$A$13:$J$13,0))-J159),"")</f>
        <v/>
      </c>
    </row>
    <row r="160" spans="1:11" ht="27.75" customHeight="1" x14ac:dyDescent="0.2">
      <c r="A160" s="324" t="s">
        <v>719</v>
      </c>
      <c r="B160" s="25"/>
      <c r="C160" s="326">
        <v>0</v>
      </c>
      <c r="D160" s="92">
        <v>1.3839999999999999</v>
      </c>
      <c r="E160" s="93">
        <v>0.14199999999999999</v>
      </c>
      <c r="F160" s="94">
        <v>1.2999999999999999E-2</v>
      </c>
      <c r="G160" s="319">
        <v>6.32</v>
      </c>
      <c r="H160" s="319">
        <v>1.52</v>
      </c>
      <c r="I160" s="322">
        <v>1.52</v>
      </c>
      <c r="J160" s="26">
        <v>5.5E-2</v>
      </c>
      <c r="K160" s="328" t="str">
        <f ca="1">IFERROR(IF(#REF!="","",INDEX(INDIRECT("'Annex 1 LV and HV charges"&amp;MID($A$2,FIND("_",$A$2),2)&amp;"'!$A$10:$K$51"),MATCH(MID($A160,FIND(":",$A160)+2,LEN($A160)-FIND(":",$A160)+2),INDIRECT("'Annex 1 LV and HV charges"&amp;MID($A$2,FIND("_",$A$2),2)&amp;"'!$A$10:$A$51"),0),MATCH(J$13,$A$13:$J$13,0))-J160),"")</f>
        <v/>
      </c>
    </row>
    <row r="161" spans="1:11" ht="27.75" customHeight="1" x14ac:dyDescent="0.2">
      <c r="A161" s="324" t="s">
        <v>720</v>
      </c>
      <c r="B161" s="18"/>
      <c r="C161" s="326">
        <v>0</v>
      </c>
      <c r="D161" s="92">
        <v>1.3839999999999999</v>
      </c>
      <c r="E161" s="93">
        <v>0.14199999999999999</v>
      </c>
      <c r="F161" s="94">
        <v>1.2999999999999999E-2</v>
      </c>
      <c r="G161" s="319">
        <v>7.43</v>
      </c>
      <c r="H161" s="319">
        <v>1.52</v>
      </c>
      <c r="I161" s="322">
        <v>1.52</v>
      </c>
      <c r="J161" s="26">
        <v>5.5E-2</v>
      </c>
      <c r="K161" s="328" t="str">
        <f ca="1">IFERROR(IF(#REF!="","",INDEX(INDIRECT("'Annex 1 LV and HV charges"&amp;MID($A$2,FIND("_",$A$2),2)&amp;"'!$A$10:$K$51"),MATCH(MID($A161,FIND(":",$A161)+2,LEN($A161)-FIND(":",$A161)+2),INDIRECT("'Annex 1 LV and HV charges"&amp;MID($A$2,FIND("_",$A$2),2)&amp;"'!$A$10:$A$51"),0),MATCH(J$13,$A$13:$J$13,0))-J161),"")</f>
        <v/>
      </c>
    </row>
    <row r="162" spans="1:11" ht="27.75" customHeight="1" x14ac:dyDescent="0.2">
      <c r="A162" s="324" t="s">
        <v>721</v>
      </c>
      <c r="B162" s="18"/>
      <c r="C162" s="326">
        <v>0</v>
      </c>
      <c r="D162" s="92">
        <v>1.3839999999999999</v>
      </c>
      <c r="E162" s="93">
        <v>0.14199999999999999</v>
      </c>
      <c r="F162" s="94">
        <v>1.2999999999999999E-2</v>
      </c>
      <c r="G162" s="319">
        <v>8.52</v>
      </c>
      <c r="H162" s="319">
        <v>1.52</v>
      </c>
      <c r="I162" s="322">
        <v>1.52</v>
      </c>
      <c r="J162" s="26">
        <v>5.5E-2</v>
      </c>
      <c r="K162" s="328" t="str">
        <f ca="1">IFERROR(IF(#REF!="","",INDEX(INDIRECT("'Annex 1 LV and HV charges"&amp;MID($A$2,FIND("_",$A$2),2)&amp;"'!$A$10:$K$51"),MATCH(MID($A162,FIND(":",$A162)+2,LEN($A162)-FIND(":",$A162)+2),INDIRECT("'Annex 1 LV and HV charges"&amp;MID($A$2,FIND("_",$A$2),2)&amp;"'!$A$10:$A$51"),0),MATCH(J$13,$A$13:$J$13,0))-J162),"")</f>
        <v/>
      </c>
    </row>
    <row r="163" spans="1:11" ht="27.75" customHeight="1" x14ac:dyDescent="0.2">
      <c r="A163" s="324" t="s">
        <v>722</v>
      </c>
      <c r="B163" s="18"/>
      <c r="C163" s="326">
        <v>0</v>
      </c>
      <c r="D163" s="92">
        <v>1.3839999999999999</v>
      </c>
      <c r="E163" s="93">
        <v>0.14199999999999999</v>
      </c>
      <c r="F163" s="94">
        <v>1.2999999999999999E-2</v>
      </c>
      <c r="G163" s="319">
        <v>15.87</v>
      </c>
      <c r="H163" s="319">
        <v>1.52</v>
      </c>
      <c r="I163" s="322">
        <v>1.52</v>
      </c>
      <c r="J163" s="26">
        <v>5.5E-2</v>
      </c>
      <c r="K163" s="328" t="str">
        <f ca="1">IFERROR(IF(#REF!="","",INDEX(INDIRECT("'Annex 1 LV and HV charges"&amp;MID($A$2,FIND("_",$A$2),2)&amp;"'!$A$10:$K$51"),MATCH(MID($A163,FIND(":",$A163)+2,LEN($A163)-FIND(":",$A163)+2),INDIRECT("'Annex 1 LV and HV charges"&amp;MID($A$2,FIND("_",$A$2),2)&amp;"'!$A$10:$A$51"),0),MATCH(J$13,$A$13:$J$13,0))-J163),"")</f>
        <v/>
      </c>
    </row>
    <row r="164" spans="1:11" ht="27.75" customHeight="1" x14ac:dyDescent="0.2">
      <c r="A164" s="324" t="s">
        <v>723</v>
      </c>
      <c r="B164" s="18"/>
      <c r="C164" s="326">
        <v>0</v>
      </c>
      <c r="D164" s="92">
        <v>1.347</v>
      </c>
      <c r="E164" s="93">
        <v>0.127</v>
      </c>
      <c r="F164" s="94">
        <v>0.01</v>
      </c>
      <c r="G164" s="319">
        <v>50.62</v>
      </c>
      <c r="H164" s="319">
        <v>1.48</v>
      </c>
      <c r="I164" s="322">
        <v>1.48</v>
      </c>
      <c r="J164" s="26">
        <v>5.0999999999999997E-2</v>
      </c>
      <c r="K164" s="328" t="str">
        <f ca="1">IFERROR(IF(#REF!="","",INDEX(INDIRECT("'Annex 1 LV and HV charges"&amp;MID($A$2,FIND("_",$A$2),2)&amp;"'!$A$10:$K$51"),MATCH(MID($A164,FIND(":",$A164)+2,LEN($A164)-FIND(":",$A164)+2),INDIRECT("'Annex 1 LV and HV charges"&amp;MID($A$2,FIND("_",$A$2),2)&amp;"'!$A$10:$A$51"),0),MATCH(J$13,$A$13:$J$13,0))-J164),"")</f>
        <v/>
      </c>
    </row>
    <row r="165" spans="1:11" ht="27.75" customHeight="1" x14ac:dyDescent="0.2">
      <c r="A165" s="324" t="s">
        <v>724</v>
      </c>
      <c r="B165" s="25"/>
      <c r="C165" s="326">
        <v>0</v>
      </c>
      <c r="D165" s="92">
        <v>1.347</v>
      </c>
      <c r="E165" s="93">
        <v>0.127</v>
      </c>
      <c r="F165" s="94">
        <v>0.01</v>
      </c>
      <c r="G165" s="319">
        <v>67.069999999999993</v>
      </c>
      <c r="H165" s="319">
        <v>1.48</v>
      </c>
      <c r="I165" s="322">
        <v>1.48</v>
      </c>
      <c r="J165" s="26">
        <v>5.0999999999999997E-2</v>
      </c>
      <c r="K165" s="328" t="str">
        <f ca="1">IFERROR(IF(#REF!="","",INDEX(INDIRECT("'Annex 1 LV and HV charges"&amp;MID($A$2,FIND("_",$A$2),2)&amp;"'!$A$10:$K$51"),MATCH(MID($A165,FIND(":",$A165)+2,LEN($A165)-FIND(":",$A165)+2),INDIRECT("'Annex 1 LV and HV charges"&amp;MID($A$2,FIND("_",$A$2),2)&amp;"'!$A$10:$A$51"),0),MATCH(J$13,$A$13:$J$13,0))-J165),"")</f>
        <v/>
      </c>
    </row>
    <row r="166" spans="1:11" ht="27.75" customHeight="1" x14ac:dyDescent="0.2">
      <c r="A166" s="324" t="s">
        <v>725</v>
      </c>
      <c r="B166" s="18"/>
      <c r="C166" s="326">
        <v>0</v>
      </c>
      <c r="D166" s="92">
        <v>1.347</v>
      </c>
      <c r="E166" s="93">
        <v>0.127</v>
      </c>
      <c r="F166" s="94">
        <v>0.01</v>
      </c>
      <c r="G166" s="319">
        <v>85.09</v>
      </c>
      <c r="H166" s="319">
        <v>1.48</v>
      </c>
      <c r="I166" s="322">
        <v>1.48</v>
      </c>
      <c r="J166" s="26">
        <v>5.0999999999999997E-2</v>
      </c>
      <c r="K166" s="328" t="str">
        <f ca="1">IFERROR(IF(#REF!="","",INDEX(INDIRECT("'Annex 1 LV and HV charges"&amp;MID($A$2,FIND("_",$A$2),2)&amp;"'!$A$10:$K$51"),MATCH(MID($A166,FIND(":",$A166)+2,LEN($A166)-FIND(":",$A166)+2),INDIRECT("'Annex 1 LV and HV charges"&amp;MID($A$2,FIND("_",$A$2),2)&amp;"'!$A$10:$A$51"),0),MATCH(J$13,$A$13:$J$13,0))-J166),"")</f>
        <v/>
      </c>
    </row>
    <row r="167" spans="1:11" ht="27.75" customHeight="1" x14ac:dyDescent="0.2">
      <c r="A167" s="324" t="s">
        <v>726</v>
      </c>
      <c r="B167" s="18"/>
      <c r="C167" s="326">
        <v>0</v>
      </c>
      <c r="D167" s="92">
        <v>1.347</v>
      </c>
      <c r="E167" s="93">
        <v>0.127</v>
      </c>
      <c r="F167" s="94">
        <v>0.01</v>
      </c>
      <c r="G167" s="319">
        <v>113.72</v>
      </c>
      <c r="H167" s="319">
        <v>1.48</v>
      </c>
      <c r="I167" s="322">
        <v>1.48</v>
      </c>
      <c r="J167" s="26">
        <v>5.0999999999999997E-2</v>
      </c>
      <c r="K167" s="328" t="str">
        <f ca="1">IFERROR(IF(#REF!="","",INDEX(INDIRECT("'Annex 1 LV and HV charges"&amp;MID($A$2,FIND("_",$A$2),2)&amp;"'!$A$10:$K$51"),MATCH(MID($A167,FIND(":",$A167)+2,LEN($A167)-FIND(":",$A167)+2),INDIRECT("'Annex 1 LV and HV charges"&amp;MID($A$2,FIND("_",$A$2),2)&amp;"'!$A$10:$A$51"),0),MATCH(J$13,$A$13:$J$13,0))-J167),"")</f>
        <v/>
      </c>
    </row>
    <row r="168" spans="1:11" ht="27.75" customHeight="1" x14ac:dyDescent="0.2">
      <c r="A168" s="324" t="s">
        <v>727</v>
      </c>
      <c r="B168" s="18"/>
      <c r="C168" s="326">
        <v>0</v>
      </c>
      <c r="D168" s="92">
        <v>1.347</v>
      </c>
      <c r="E168" s="93">
        <v>0.127</v>
      </c>
      <c r="F168" s="94">
        <v>0.01</v>
      </c>
      <c r="G168" s="319">
        <v>238.32</v>
      </c>
      <c r="H168" s="319">
        <v>1.48</v>
      </c>
      <c r="I168" s="322">
        <v>1.48</v>
      </c>
      <c r="J168" s="26">
        <v>5.0999999999999997E-2</v>
      </c>
      <c r="K168" s="328" t="str">
        <f ca="1">IFERROR(IF(#REF!="","",INDEX(INDIRECT("'Annex 1 LV and HV charges"&amp;MID($A$2,FIND("_",$A$2),2)&amp;"'!$A$10:$K$51"),MATCH(MID($A168,FIND(":",$A168)+2,LEN($A168)-FIND(":",$A168)+2),INDIRECT("'Annex 1 LV and HV charges"&amp;MID($A$2,FIND("_",$A$2),2)&amp;"'!$A$10:$A$51"),0),MATCH(J$13,$A$13:$J$13,0))-J168),"")</f>
        <v/>
      </c>
    </row>
    <row r="169" spans="1:11" ht="27.75" customHeight="1" x14ac:dyDescent="0.2">
      <c r="A169" s="324" t="s">
        <v>591</v>
      </c>
      <c r="B169" s="25"/>
      <c r="C169" s="326" t="s">
        <v>847</v>
      </c>
      <c r="D169" s="95">
        <v>6.7140000000000004</v>
      </c>
      <c r="E169" s="96">
        <v>0.56899999999999995</v>
      </c>
      <c r="F169" s="94">
        <v>0.34499999999999997</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charges"&amp;MID($A$2,FIND("_",$A$2),2)&amp;"'!$A$10:$A$51"),0),MATCH(J$13,$A$13:$J$13,0))-J169),"")</f>
        <v/>
      </c>
    </row>
    <row r="170" spans="1:11" ht="27.75" customHeight="1" x14ac:dyDescent="0.2">
      <c r="A170" s="324" t="s">
        <v>632</v>
      </c>
      <c r="B170" s="25"/>
      <c r="C170" s="326" t="s">
        <v>848</v>
      </c>
      <c r="D170" s="92">
        <v>-2.2970000000000002</v>
      </c>
      <c r="E170" s="93">
        <v>-0.28299999999999997</v>
      </c>
      <c r="F170" s="94">
        <v>-3.5999999999999997E-2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charges"&amp;MID($A$2,FIND("_",$A$2),2)&amp;"'!$A$10:$A$51"),0),MATCH(J$13,$A$13:$J$13,0))-J170),"")</f>
        <v/>
      </c>
    </row>
    <row r="171" spans="1:11" ht="27.75" customHeight="1" x14ac:dyDescent="0.2">
      <c r="A171" s="324" t="s">
        <v>633</v>
      </c>
      <c r="B171" s="323"/>
      <c r="C171" s="326">
        <v>0</v>
      </c>
      <c r="D171" s="92">
        <v>-2.0529999999999999</v>
      </c>
      <c r="E171" s="93">
        <v>-0.24099999999999999</v>
      </c>
      <c r="F171" s="94">
        <v>-2.9000000000000001E-2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charges"&amp;MID($A$2,FIND("_",$A$2),2)&amp;"'!$A$10:$A$51"),0),MATCH(J$13,$A$13:$J$13,0))-J171),"")</f>
        <v/>
      </c>
    </row>
    <row r="172" spans="1:11" ht="27.75" customHeight="1" x14ac:dyDescent="0.2">
      <c r="A172" s="324" t="s">
        <v>634</v>
      </c>
      <c r="B172" s="25"/>
      <c r="C172" s="326">
        <v>0</v>
      </c>
      <c r="D172" s="92">
        <v>-2.2970000000000002</v>
      </c>
      <c r="E172" s="93">
        <v>-0.28299999999999997</v>
      </c>
      <c r="F172" s="94">
        <v>-3.5999999999999997E-2</v>
      </c>
      <c r="G172" s="319" t="s">
        <v>840</v>
      </c>
      <c r="H172" s="320" t="s">
        <v>840</v>
      </c>
      <c r="I172" s="321" t="s">
        <v>840</v>
      </c>
      <c r="J172" s="26">
        <v>0.11600000000000001</v>
      </c>
      <c r="K172" s="328" t="str">
        <f ca="1">IFERROR(IF(#REF!="","",INDEX(INDIRECT("'Annex 1 LV and HV charges"&amp;MID($A$2,FIND("_",$A$2),2)&amp;"'!$A$10:$K$51"),MATCH(MID($A172,FIND(":",$A172)+2,LEN($A172)-FIND(":",$A172)+2),INDIRECT("'Annex 1 LV and HV charges"&amp;MID($A$2,FIND("_",$A$2),2)&amp;"'!$A$10:$A$51"),0),MATCH(J$13,$A$13:$J$13,0))-J172),"")</f>
        <v/>
      </c>
    </row>
    <row r="173" spans="1:11" ht="27.75" customHeight="1" x14ac:dyDescent="0.2">
      <c r="A173" s="324" t="s">
        <v>635</v>
      </c>
      <c r="B173" s="25"/>
      <c r="C173" s="326">
        <v>0</v>
      </c>
      <c r="D173" s="92">
        <v>-2.0529999999999999</v>
      </c>
      <c r="E173" s="93">
        <v>-0.24099999999999999</v>
      </c>
      <c r="F173" s="94">
        <v>-2.9000000000000001E-2</v>
      </c>
      <c r="G173" s="319" t="s">
        <v>840</v>
      </c>
      <c r="H173" s="320" t="s">
        <v>840</v>
      </c>
      <c r="I173" s="321" t="s">
        <v>840</v>
      </c>
      <c r="J173" s="26">
        <v>9.0999999999999998E-2</v>
      </c>
      <c r="K173" s="328" t="str">
        <f ca="1">IFERROR(IF(#REF!="","",INDEX(INDIRECT("'Annex 1 LV and HV charges"&amp;MID($A$2,FIND("_",$A$2),2)&amp;"'!$A$10:$K$51"),MATCH(MID($A173,FIND(":",$A173)+2,LEN($A173)-FIND(":",$A173)+2),INDIRECT("'Annex 1 LV and HV charges"&amp;MID($A$2,FIND("_",$A$2),2)&amp;"'!$A$10:$A$51"),0),MATCH(J$13,$A$13:$J$13,0))-J173),"")</f>
        <v/>
      </c>
    </row>
    <row r="174" spans="1:11" ht="27.75" customHeight="1" x14ac:dyDescent="0.2">
      <c r="A174" s="324" t="s">
        <v>636</v>
      </c>
      <c r="B174" s="25"/>
      <c r="C174" s="326">
        <v>0</v>
      </c>
      <c r="D174" s="92">
        <v>-2.1030000000000002</v>
      </c>
      <c r="E174" s="93">
        <v>-0.215</v>
      </c>
      <c r="F174" s="94">
        <v>-0.02</v>
      </c>
      <c r="G174" s="319">
        <v>4.96</v>
      </c>
      <c r="H174" s="320" t="s">
        <v>840</v>
      </c>
      <c r="I174" s="321" t="s">
        <v>840</v>
      </c>
      <c r="J174" s="26">
        <v>0.107</v>
      </c>
      <c r="K174" s="328" t="str">
        <f ca="1">IFERROR(IF(#REF!="","",INDEX(INDIRECT("'Annex 1 LV and HV charges"&amp;MID($A$2,FIND("_",$A$2),2)&amp;"'!$A$10:$K$51"),MATCH(MID($A174,FIND(":",$A174)+2,LEN($A174)-FIND(":",$A174)+2),INDIRECT("'Annex 1 LV and HV charges"&amp;MID($A$2,FIND("_",$A$2),2)&amp;"'!$A$10:$A$51"),0),MATCH(J$13,$A$13:$J$13,0))-J174),"")</f>
        <v/>
      </c>
    </row>
    <row r="175" spans="1:11" ht="27.75" customHeight="1" x14ac:dyDescent="0.2">
      <c r="A175" s="324" t="s">
        <v>785</v>
      </c>
      <c r="B175" s="25"/>
      <c r="C175" s="326" t="s">
        <v>845</v>
      </c>
      <c r="D175" s="92">
        <v>0.58299999999999996</v>
      </c>
      <c r="E175" s="93">
        <v>7.1999999999999995E-2</v>
      </c>
      <c r="F175" s="94">
        <v>8.9999999999999993E-3</v>
      </c>
      <c r="G175" s="319">
        <v>0.34</v>
      </c>
      <c r="H175" s="320" t="s">
        <v>840</v>
      </c>
      <c r="I175" s="321" t="s">
        <v>840</v>
      </c>
      <c r="J175" s="27" t="s">
        <v>840</v>
      </c>
      <c r="K175" s="328" t="str">
        <f ca="1">IFERROR(IF(#REF!="","",INDEX(INDIRECT("'Annex 1 LV and HV charges"&amp;MID($A$2,FIND("_",$A$2),2)&amp;"'!$A$10:$K$51"),MATCH(MID($A175,FIND(":",$A175)+2,LEN($A175)-FIND(":",$A175)+2),INDIRECT("'Annex 1 LV and HV charges"&amp;MID($A$2,FIND("_",$A$2),2)&amp;"'!$A$10:$A$51"),0),MATCH(J$13,$A$13:$J$13,0))-J175),"")</f>
        <v/>
      </c>
    </row>
    <row r="176" spans="1:11" ht="27.75" customHeight="1" x14ac:dyDescent="0.2">
      <c r="A176" s="324" t="s">
        <v>728</v>
      </c>
      <c r="B176" s="25"/>
      <c r="C176" s="326">
        <v>2</v>
      </c>
      <c r="D176" s="92">
        <v>0.58299999999999996</v>
      </c>
      <c r="E176" s="93">
        <v>7.1999999999999995E-2</v>
      </c>
      <c r="F176" s="94">
        <v>8.9999999999999993E-3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charges"&amp;MID($A$2,FIND("_",$A$2),2)&amp;"'!$A$10:$A$51"),0),MATCH(J$13,$A$13:$J$13,0))-J176),"")</f>
        <v/>
      </c>
    </row>
    <row r="177" spans="1:11" ht="27.75" customHeight="1" x14ac:dyDescent="0.2">
      <c r="A177" s="324" t="s">
        <v>792</v>
      </c>
      <c r="B177" s="18"/>
      <c r="C177" s="326" t="s">
        <v>846</v>
      </c>
      <c r="D177" s="92">
        <v>0.441</v>
      </c>
      <c r="E177" s="93">
        <v>5.3999999999999999E-2</v>
      </c>
      <c r="F177" s="94">
        <v>7.0000000000000001E-3</v>
      </c>
      <c r="G177" s="319">
        <v>0.35</v>
      </c>
      <c r="H177" s="320" t="s">
        <v>840</v>
      </c>
      <c r="I177" s="321" t="s">
        <v>840</v>
      </c>
      <c r="J177" s="27" t="s">
        <v>840</v>
      </c>
      <c r="K177" s="328" t="str">
        <f ca="1">IFERROR(IF(#REF!="","",INDEX(INDIRECT("'Annex 1 LV and HV charges"&amp;MID($A$2,FIND("_",$A$2),2)&amp;"'!$A$10:$K$51"),MATCH(MID($A177,FIND(":",$A177)+2,LEN($A177)-FIND(":",$A177)+2),INDIRECT("'Annex 1 LV and HV charges"&amp;MID($A$2,FIND("_",$A$2),2)&amp;"'!$A$10:$A$51"),0),MATCH(J$13,$A$13:$J$13,0))-J177),"")</f>
        <v/>
      </c>
    </row>
    <row r="178" spans="1:11" ht="27.75" customHeight="1" x14ac:dyDescent="0.2">
      <c r="A178" s="324" t="s">
        <v>799</v>
      </c>
      <c r="B178" s="25"/>
      <c r="C178" s="326" t="s">
        <v>846</v>
      </c>
      <c r="D178" s="92">
        <v>0.441</v>
      </c>
      <c r="E178" s="93">
        <v>5.3999999999999999E-2</v>
      </c>
      <c r="F178" s="94">
        <v>7.0000000000000001E-3</v>
      </c>
      <c r="G178" s="319">
        <v>0.36</v>
      </c>
      <c r="H178" s="320" t="s">
        <v>840</v>
      </c>
      <c r="I178" s="321" t="s">
        <v>840</v>
      </c>
      <c r="J178" s="27" t="s">
        <v>840</v>
      </c>
      <c r="K178" s="328" t="str">
        <f ca="1">IFERROR(IF(#REF!="","",INDEX(INDIRECT("'Annex 1 LV and HV charges"&amp;MID($A$2,FIND("_",$A$2),2)&amp;"'!$A$10:$K$51"),MATCH(MID($A178,FIND(":",$A178)+2,LEN($A178)-FIND(":",$A178)+2),INDIRECT("'Annex 1 LV and HV charges"&amp;MID($A$2,FIND("_",$A$2),2)&amp;"'!$A$10:$A$51"),0),MATCH(J$13,$A$13:$J$13,0))-J178),"")</f>
        <v/>
      </c>
    </row>
    <row r="179" spans="1:11" ht="27.75" customHeight="1" x14ac:dyDescent="0.2">
      <c r="A179" s="324" t="s">
        <v>806</v>
      </c>
      <c r="B179" s="18"/>
      <c r="C179" s="326" t="s">
        <v>846</v>
      </c>
      <c r="D179" s="92">
        <v>0.441</v>
      </c>
      <c r="E179" s="93">
        <v>5.3999999999999999E-2</v>
      </c>
      <c r="F179" s="94">
        <v>7.0000000000000001E-3</v>
      </c>
      <c r="G179" s="319">
        <v>0.38</v>
      </c>
      <c r="H179" s="320" t="s">
        <v>840</v>
      </c>
      <c r="I179" s="321" t="s">
        <v>840</v>
      </c>
      <c r="J179" s="27" t="s">
        <v>840</v>
      </c>
      <c r="K179" s="328" t="str">
        <f ca="1">IFERROR(IF(#REF!="","",INDEX(INDIRECT("'Annex 1 LV and HV charges"&amp;MID($A$2,FIND("_",$A$2),2)&amp;"'!$A$10:$K$51"),MATCH(MID($A179,FIND(":",$A179)+2,LEN($A179)-FIND(":",$A179)+2),INDIRECT("'Annex 1 LV and HV charges"&amp;MID($A$2,FIND("_",$A$2),2)&amp;"'!$A$10:$A$51"),0),MATCH(J$13,$A$13:$J$13,0))-J179),"")</f>
        <v/>
      </c>
    </row>
    <row r="180" spans="1:11" ht="27.75" customHeight="1" x14ac:dyDescent="0.2">
      <c r="A180" s="324" t="s">
        <v>813</v>
      </c>
      <c r="B180" s="18"/>
      <c r="C180" s="326" t="s">
        <v>846</v>
      </c>
      <c r="D180" s="92">
        <v>0.441</v>
      </c>
      <c r="E180" s="93">
        <v>5.3999999999999999E-2</v>
      </c>
      <c r="F180" s="94">
        <v>7.0000000000000001E-3</v>
      </c>
      <c r="G180" s="319">
        <v>0.41</v>
      </c>
      <c r="H180" s="320" t="s">
        <v>840</v>
      </c>
      <c r="I180" s="321" t="s">
        <v>840</v>
      </c>
      <c r="J180" s="27" t="s">
        <v>840</v>
      </c>
      <c r="K180" s="328" t="str">
        <f ca="1">IFERROR(IF(#REF!="","",INDEX(INDIRECT("'Annex 1 LV and HV charges"&amp;MID($A$2,FIND("_",$A$2),2)&amp;"'!$A$10:$K$51"),MATCH(MID($A180,FIND(":",$A180)+2,LEN($A180)-FIND(":",$A180)+2),INDIRECT("'Annex 1 LV and HV charges"&amp;MID($A$2,FIND("_",$A$2),2)&amp;"'!$A$10:$A$51"),0),MATCH(J$13,$A$13:$J$13,0))-J180),"")</f>
        <v/>
      </c>
    </row>
    <row r="181" spans="1:11" ht="27.75" customHeight="1" x14ac:dyDescent="0.2">
      <c r="A181" s="324" t="s">
        <v>820</v>
      </c>
      <c r="B181" s="18"/>
      <c r="C181" s="326" t="s">
        <v>846</v>
      </c>
      <c r="D181" s="92">
        <v>0.441</v>
      </c>
      <c r="E181" s="93">
        <v>5.3999999999999999E-2</v>
      </c>
      <c r="F181" s="94">
        <v>7.0000000000000001E-3</v>
      </c>
      <c r="G181" s="319">
        <v>0.49</v>
      </c>
      <c r="H181" s="320" t="s">
        <v>840</v>
      </c>
      <c r="I181" s="321" t="s">
        <v>840</v>
      </c>
      <c r="J181" s="27" t="s">
        <v>840</v>
      </c>
      <c r="K181" s="328" t="str">
        <f ca="1">IFERROR(IF(#REF!="","",INDEX(INDIRECT("'Annex 1 LV and HV charges"&amp;MID($A$2,FIND("_",$A$2),2)&amp;"'!$A$10:$K$51"),MATCH(MID($A181,FIND(":",$A181)+2,LEN($A181)-FIND(":",$A181)+2),INDIRECT("'Annex 1 LV and HV charges"&amp;MID($A$2,FIND("_",$A$2),2)&amp;"'!$A$10:$A$51"),0),MATCH(J$13,$A$13:$J$13,0))-J181),"")</f>
        <v/>
      </c>
    </row>
    <row r="182" spans="1:11" ht="27.75" customHeight="1" x14ac:dyDescent="0.2">
      <c r="A182" s="324" t="s">
        <v>592</v>
      </c>
      <c r="B182" s="25"/>
      <c r="C182" s="326">
        <v>4</v>
      </c>
      <c r="D182" s="92">
        <v>0.441</v>
      </c>
      <c r="E182" s="93">
        <v>5.3999999999999999E-2</v>
      </c>
      <c r="F182" s="94">
        <v>7.0000000000000001E-3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charges"&amp;MID($A$2,FIND("_",$A$2),2)&amp;"'!$A$10:$A$51"),0),MATCH(J$13,$A$13:$J$13,0))-J182),"")</f>
        <v/>
      </c>
    </row>
    <row r="183" spans="1:11" ht="27.75" customHeight="1" x14ac:dyDescent="0.2">
      <c r="A183" s="324" t="s">
        <v>729</v>
      </c>
      <c r="B183" s="18"/>
      <c r="C183" s="326">
        <v>0</v>
      </c>
      <c r="D183" s="92">
        <v>0.307</v>
      </c>
      <c r="E183" s="93">
        <v>3.5000000000000003E-2</v>
      </c>
      <c r="F183" s="94">
        <v>4.0000000000000001E-3</v>
      </c>
      <c r="G183" s="319">
        <v>0.81</v>
      </c>
      <c r="H183" s="319">
        <v>0.3</v>
      </c>
      <c r="I183" s="322">
        <v>0.3</v>
      </c>
      <c r="J183" s="26">
        <v>1.4E-2</v>
      </c>
      <c r="K183" s="328" t="str">
        <f ca="1">IFERROR(IF(#REF!="","",INDEX(INDIRECT("'Annex 1 LV and HV charges"&amp;MID($A$2,FIND("_",$A$2),2)&amp;"'!$A$10:$K$51"),MATCH(MID($A183,FIND(":",$A183)+2,LEN($A183)-FIND(":",$A183)+2),INDIRECT("'Annex 1 LV and HV charges"&amp;MID($A$2,FIND("_",$A$2),2)&amp;"'!$A$10:$A$51"),0),MATCH(J$13,$A$13:$J$13,0))-J183),"")</f>
        <v/>
      </c>
    </row>
    <row r="184" spans="1:11" ht="27.75" customHeight="1" x14ac:dyDescent="0.2">
      <c r="A184" s="324" t="s">
        <v>730</v>
      </c>
      <c r="B184" s="25"/>
      <c r="C184" s="326">
        <v>0</v>
      </c>
      <c r="D184" s="92">
        <v>0.307</v>
      </c>
      <c r="E184" s="93">
        <v>3.5000000000000003E-2</v>
      </c>
      <c r="F184" s="94">
        <v>4.0000000000000001E-3</v>
      </c>
      <c r="G184" s="319">
        <v>1.08</v>
      </c>
      <c r="H184" s="319">
        <v>0.3</v>
      </c>
      <c r="I184" s="322">
        <v>0.3</v>
      </c>
      <c r="J184" s="26">
        <v>1.4E-2</v>
      </c>
      <c r="K184" s="328" t="str">
        <f ca="1">IFERROR(IF(#REF!="","",INDEX(INDIRECT("'Annex 1 LV and HV charges"&amp;MID($A$2,FIND("_",$A$2),2)&amp;"'!$A$10:$K$51"),MATCH(MID($A184,FIND(":",$A184)+2,LEN($A184)-FIND(":",$A184)+2),INDIRECT("'Annex 1 LV and HV charges"&amp;MID($A$2,FIND("_",$A$2),2)&amp;"'!$A$10:$A$51"),0),MATCH(J$13,$A$13:$J$13,0))-J184),"")</f>
        <v/>
      </c>
    </row>
    <row r="185" spans="1:11" ht="27.75" customHeight="1" x14ac:dyDescent="0.2">
      <c r="A185" s="324" t="s">
        <v>731</v>
      </c>
      <c r="B185" s="18"/>
      <c r="C185" s="326">
        <v>0</v>
      </c>
      <c r="D185" s="92">
        <v>0.307</v>
      </c>
      <c r="E185" s="93">
        <v>3.5000000000000003E-2</v>
      </c>
      <c r="F185" s="94">
        <v>4.0000000000000001E-3</v>
      </c>
      <c r="G185" s="319">
        <v>1.25</v>
      </c>
      <c r="H185" s="319">
        <v>0.3</v>
      </c>
      <c r="I185" s="322">
        <v>0.3</v>
      </c>
      <c r="J185" s="26">
        <v>1.4E-2</v>
      </c>
      <c r="K185" s="328" t="str">
        <f ca="1">IFERROR(IF(#REF!="","",INDEX(INDIRECT("'Annex 1 LV and HV charges"&amp;MID($A$2,FIND("_",$A$2),2)&amp;"'!$A$10:$K$51"),MATCH(MID($A185,FIND(":",$A185)+2,LEN($A185)-FIND(":",$A185)+2),INDIRECT("'Annex 1 LV and HV charges"&amp;MID($A$2,FIND("_",$A$2),2)&amp;"'!$A$10:$A$51"),0),MATCH(J$13,$A$13:$J$13,0))-J185),"")</f>
        <v/>
      </c>
    </row>
    <row r="186" spans="1:11" ht="27.75" customHeight="1" x14ac:dyDescent="0.2">
      <c r="A186" s="324" t="s">
        <v>732</v>
      </c>
      <c r="B186" s="18"/>
      <c r="C186" s="326">
        <v>0</v>
      </c>
      <c r="D186" s="92">
        <v>0.307</v>
      </c>
      <c r="E186" s="93">
        <v>3.5000000000000003E-2</v>
      </c>
      <c r="F186" s="94">
        <v>4.0000000000000001E-3</v>
      </c>
      <c r="G186" s="319">
        <v>1.41</v>
      </c>
      <c r="H186" s="319">
        <v>0.3</v>
      </c>
      <c r="I186" s="322">
        <v>0.3</v>
      </c>
      <c r="J186" s="26">
        <v>1.4E-2</v>
      </c>
      <c r="K186" s="328" t="str">
        <f ca="1">IFERROR(IF(#REF!="","",INDEX(INDIRECT("'Annex 1 LV and HV charges"&amp;MID($A$2,FIND("_",$A$2),2)&amp;"'!$A$10:$K$51"),MATCH(MID($A186,FIND(":",$A186)+2,LEN($A186)-FIND(":",$A186)+2),INDIRECT("'Annex 1 LV and HV charges"&amp;MID($A$2,FIND("_",$A$2),2)&amp;"'!$A$10:$A$51"),0),MATCH(J$13,$A$13:$J$13,0))-J186),"")</f>
        <v/>
      </c>
    </row>
    <row r="187" spans="1:11" ht="27.75" customHeight="1" x14ac:dyDescent="0.2">
      <c r="A187" s="324" t="s">
        <v>733</v>
      </c>
      <c r="B187" s="18"/>
      <c r="C187" s="326">
        <v>0</v>
      </c>
      <c r="D187" s="92">
        <v>0.307</v>
      </c>
      <c r="E187" s="93">
        <v>3.5000000000000003E-2</v>
      </c>
      <c r="F187" s="94">
        <v>4.0000000000000001E-3</v>
      </c>
      <c r="G187" s="319">
        <v>2.5099999999999998</v>
      </c>
      <c r="H187" s="319">
        <v>0.3</v>
      </c>
      <c r="I187" s="322">
        <v>0.3</v>
      </c>
      <c r="J187" s="26">
        <v>1.4E-2</v>
      </c>
      <c r="K187" s="328" t="str">
        <f ca="1">IFERROR(IF(#REF!="","",INDEX(INDIRECT("'Annex 1 LV and HV charges"&amp;MID($A$2,FIND("_",$A$2),2)&amp;"'!$A$10:$K$51"),MATCH(MID($A187,FIND(":",$A187)+2,LEN($A187)-FIND(":",$A187)+2),INDIRECT("'Annex 1 LV and HV charges"&amp;MID($A$2,FIND("_",$A$2),2)&amp;"'!$A$10:$A$51"),0),MATCH(J$13,$A$13:$J$13,0))-J187),"")</f>
        <v/>
      </c>
    </row>
    <row r="188" spans="1:11" ht="27.75" customHeight="1" x14ac:dyDescent="0.2">
      <c r="A188" s="324" t="s">
        <v>734</v>
      </c>
      <c r="B188" s="18"/>
      <c r="C188" s="326">
        <v>0</v>
      </c>
      <c r="D188" s="92">
        <v>0.31</v>
      </c>
      <c r="E188" s="93">
        <v>3.2000000000000001E-2</v>
      </c>
      <c r="F188" s="94">
        <v>3.0000000000000001E-3</v>
      </c>
      <c r="G188" s="319">
        <v>1.01</v>
      </c>
      <c r="H188" s="319">
        <v>0.34</v>
      </c>
      <c r="I188" s="322">
        <v>0.34</v>
      </c>
      <c r="J188" s="26">
        <v>1.2E-2</v>
      </c>
      <c r="K188" s="328" t="str">
        <f ca="1">IFERROR(IF(#REF!="","",INDEX(INDIRECT("'Annex 1 LV and HV charges"&amp;MID($A$2,FIND("_",$A$2),2)&amp;"'!$A$10:$K$51"),MATCH(MID($A188,FIND(":",$A188)+2,LEN($A188)-FIND(":",$A188)+2),INDIRECT("'Annex 1 LV and HV charges"&amp;MID($A$2,FIND("_",$A$2),2)&amp;"'!$A$10:$A$51"),0),MATCH(J$13,$A$13:$J$13,0))-J188),"")</f>
        <v/>
      </c>
    </row>
    <row r="189" spans="1:11" ht="27.75" customHeight="1" x14ac:dyDescent="0.2">
      <c r="A189" s="324" t="s">
        <v>735</v>
      </c>
      <c r="B189" s="25"/>
      <c r="C189" s="326">
        <v>0</v>
      </c>
      <c r="D189" s="92">
        <v>0.31</v>
      </c>
      <c r="E189" s="93">
        <v>3.2000000000000001E-2</v>
      </c>
      <c r="F189" s="94">
        <v>3.0000000000000001E-3</v>
      </c>
      <c r="G189" s="319">
        <v>1.42</v>
      </c>
      <c r="H189" s="319">
        <v>0.34</v>
      </c>
      <c r="I189" s="322">
        <v>0.34</v>
      </c>
      <c r="J189" s="26">
        <v>1.2E-2</v>
      </c>
      <c r="K189" s="328" t="str">
        <f ca="1">IFERROR(IF(#REF!="","",INDEX(INDIRECT("'Annex 1 LV and HV charges"&amp;MID($A$2,FIND("_",$A$2),2)&amp;"'!$A$10:$K$51"),MATCH(MID($A189,FIND(":",$A189)+2,LEN($A189)-FIND(":",$A189)+2),INDIRECT("'Annex 1 LV and HV charges"&amp;MID($A$2,FIND("_",$A$2),2)&amp;"'!$A$10:$A$51"),0),MATCH(J$13,$A$13:$J$13,0))-J189),"")</f>
        <v/>
      </c>
    </row>
    <row r="190" spans="1:11" ht="27.75" customHeight="1" x14ac:dyDescent="0.2">
      <c r="A190" s="324" t="s">
        <v>736</v>
      </c>
      <c r="B190" s="18"/>
      <c r="C190" s="326">
        <v>0</v>
      </c>
      <c r="D190" s="92">
        <v>0.31</v>
      </c>
      <c r="E190" s="93">
        <v>3.2000000000000001E-2</v>
      </c>
      <c r="F190" s="94">
        <v>3.0000000000000001E-3</v>
      </c>
      <c r="G190" s="319">
        <v>1.66</v>
      </c>
      <c r="H190" s="319">
        <v>0.34</v>
      </c>
      <c r="I190" s="322">
        <v>0.34</v>
      </c>
      <c r="J190" s="26">
        <v>1.2E-2</v>
      </c>
      <c r="K190" s="328" t="str">
        <f ca="1">IFERROR(IF(#REF!="","",INDEX(INDIRECT("'Annex 1 LV and HV charges"&amp;MID($A$2,FIND("_",$A$2),2)&amp;"'!$A$10:$K$51"),MATCH(MID($A190,FIND(":",$A190)+2,LEN($A190)-FIND(":",$A190)+2),INDIRECT("'Annex 1 LV and HV charges"&amp;MID($A$2,FIND("_",$A$2),2)&amp;"'!$A$10:$A$51"),0),MATCH(J$13,$A$13:$J$13,0))-J190),"")</f>
        <v/>
      </c>
    </row>
    <row r="191" spans="1:11" ht="27.75" customHeight="1" x14ac:dyDescent="0.2">
      <c r="A191" s="324" t="s">
        <v>737</v>
      </c>
      <c r="B191" s="18"/>
      <c r="C191" s="326">
        <v>0</v>
      </c>
      <c r="D191" s="92">
        <v>0.31</v>
      </c>
      <c r="E191" s="93">
        <v>3.2000000000000001E-2</v>
      </c>
      <c r="F191" s="94">
        <v>3.0000000000000001E-3</v>
      </c>
      <c r="G191" s="319">
        <v>1.91</v>
      </c>
      <c r="H191" s="319">
        <v>0.34</v>
      </c>
      <c r="I191" s="322">
        <v>0.34</v>
      </c>
      <c r="J191" s="26">
        <v>1.2E-2</v>
      </c>
      <c r="K191" s="328" t="str">
        <f ca="1">IFERROR(IF(#REF!="","",INDEX(INDIRECT("'Annex 1 LV and HV charges"&amp;MID($A$2,FIND("_",$A$2),2)&amp;"'!$A$10:$K$51"),MATCH(MID($A191,FIND(":",$A191)+2,LEN($A191)-FIND(":",$A191)+2),INDIRECT("'Annex 1 LV and HV charges"&amp;MID($A$2,FIND("_",$A$2),2)&amp;"'!$A$10:$A$51"),0),MATCH(J$13,$A$13:$J$13,0))-J191),"")</f>
        <v/>
      </c>
    </row>
    <row r="192" spans="1:11" ht="27.75" customHeight="1" x14ac:dyDescent="0.2">
      <c r="A192" s="324" t="s">
        <v>738</v>
      </c>
      <c r="B192" s="18"/>
      <c r="C192" s="326">
        <v>0</v>
      </c>
      <c r="D192" s="92">
        <v>0.31</v>
      </c>
      <c r="E192" s="93">
        <v>3.2000000000000001E-2</v>
      </c>
      <c r="F192" s="94">
        <v>3.0000000000000001E-3</v>
      </c>
      <c r="G192" s="319">
        <v>3.56</v>
      </c>
      <c r="H192" s="319">
        <v>0.34</v>
      </c>
      <c r="I192" s="322">
        <v>0.34</v>
      </c>
      <c r="J192" s="26">
        <v>1.2E-2</v>
      </c>
      <c r="K192" s="328" t="str">
        <f ca="1">IFERROR(IF(#REF!="","",INDEX(INDIRECT("'Annex 1 LV and HV charges"&amp;MID($A$2,FIND("_",$A$2),2)&amp;"'!$A$10:$K$51"),MATCH(MID($A192,FIND(":",$A192)+2,LEN($A192)-FIND(":",$A192)+2),INDIRECT("'Annex 1 LV and HV charges"&amp;MID($A$2,FIND("_",$A$2),2)&amp;"'!$A$10:$A$51"),0),MATCH(J$13,$A$13:$J$13,0))-J192),"")</f>
        <v/>
      </c>
    </row>
    <row r="193" spans="1:11" ht="27.75" customHeight="1" x14ac:dyDescent="0.2">
      <c r="A193" s="324" t="s">
        <v>739</v>
      </c>
      <c r="B193" s="18"/>
      <c r="C193" s="326">
        <v>0</v>
      </c>
      <c r="D193" s="92">
        <v>0.30199999999999999</v>
      </c>
      <c r="E193" s="93">
        <v>2.9000000000000001E-2</v>
      </c>
      <c r="F193" s="94">
        <v>2E-3</v>
      </c>
      <c r="G193" s="319">
        <v>11.35</v>
      </c>
      <c r="H193" s="319">
        <v>0.33</v>
      </c>
      <c r="I193" s="322">
        <v>0.33</v>
      </c>
      <c r="J193" s="26">
        <v>1.0999999999999999E-2</v>
      </c>
      <c r="K193" s="328" t="str">
        <f ca="1">IFERROR(IF(#REF!="","",INDEX(INDIRECT("'Annex 1 LV and HV charges"&amp;MID($A$2,FIND("_",$A$2),2)&amp;"'!$A$10:$K$51"),MATCH(MID($A193,FIND(":",$A193)+2,LEN($A193)-FIND(":",$A193)+2),INDIRECT("'Annex 1 LV and HV charges"&amp;MID($A$2,FIND("_",$A$2),2)&amp;"'!$A$10:$A$51"),0),MATCH(J$13,$A$13:$J$13,0))-J193),"")</f>
        <v/>
      </c>
    </row>
    <row r="194" spans="1:11" ht="27.75" customHeight="1" x14ac:dyDescent="0.2">
      <c r="A194" s="324" t="s">
        <v>740</v>
      </c>
      <c r="B194" s="25"/>
      <c r="C194" s="326">
        <v>0</v>
      </c>
      <c r="D194" s="92">
        <v>0.30199999999999999</v>
      </c>
      <c r="E194" s="93">
        <v>2.9000000000000001E-2</v>
      </c>
      <c r="F194" s="94">
        <v>2E-3</v>
      </c>
      <c r="G194" s="319">
        <v>15.03</v>
      </c>
      <c r="H194" s="319">
        <v>0.33</v>
      </c>
      <c r="I194" s="322">
        <v>0.33</v>
      </c>
      <c r="J194" s="26">
        <v>1.0999999999999999E-2</v>
      </c>
      <c r="K194" s="328" t="str">
        <f ca="1">IFERROR(IF(#REF!="","",INDEX(INDIRECT("'Annex 1 LV and HV charges"&amp;MID($A$2,FIND("_",$A$2),2)&amp;"'!$A$10:$K$51"),MATCH(MID($A194,FIND(":",$A194)+2,LEN($A194)-FIND(":",$A194)+2),INDIRECT("'Annex 1 LV and HV charges"&amp;MID($A$2,FIND("_",$A$2),2)&amp;"'!$A$10:$A$51"),0),MATCH(J$13,$A$13:$J$13,0))-J194),"")</f>
        <v/>
      </c>
    </row>
    <row r="195" spans="1:11" ht="27.75" customHeight="1" x14ac:dyDescent="0.2">
      <c r="A195" s="324" t="s">
        <v>741</v>
      </c>
      <c r="B195" s="18"/>
      <c r="C195" s="326">
        <v>0</v>
      </c>
      <c r="D195" s="92">
        <v>0.30199999999999999</v>
      </c>
      <c r="E195" s="93">
        <v>2.9000000000000001E-2</v>
      </c>
      <c r="F195" s="94">
        <v>2E-3</v>
      </c>
      <c r="G195" s="319">
        <v>19.07</v>
      </c>
      <c r="H195" s="319">
        <v>0.33</v>
      </c>
      <c r="I195" s="322">
        <v>0.33</v>
      </c>
      <c r="J195" s="26">
        <v>1.0999999999999999E-2</v>
      </c>
      <c r="K195" s="328" t="str">
        <f ca="1">IFERROR(IF(#REF!="","",INDEX(INDIRECT("'Annex 1 LV and HV charges"&amp;MID($A$2,FIND("_",$A$2),2)&amp;"'!$A$10:$K$51"),MATCH(MID($A195,FIND(":",$A195)+2,LEN($A195)-FIND(":",$A195)+2),INDIRECT("'Annex 1 LV and HV charges"&amp;MID($A$2,FIND("_",$A$2),2)&amp;"'!$A$10:$A$51"),0),MATCH(J$13,$A$13:$J$13,0))-J195),"")</f>
        <v/>
      </c>
    </row>
    <row r="196" spans="1:11" ht="27.75" customHeight="1" x14ac:dyDescent="0.2">
      <c r="A196" s="324" t="s">
        <v>742</v>
      </c>
      <c r="B196" s="18"/>
      <c r="C196" s="326">
        <v>0</v>
      </c>
      <c r="D196" s="92">
        <v>0.30199999999999999</v>
      </c>
      <c r="E196" s="93">
        <v>2.9000000000000001E-2</v>
      </c>
      <c r="F196" s="94">
        <v>2E-3</v>
      </c>
      <c r="G196" s="319">
        <v>25.49</v>
      </c>
      <c r="H196" s="319">
        <v>0.33</v>
      </c>
      <c r="I196" s="322">
        <v>0.33</v>
      </c>
      <c r="J196" s="26">
        <v>1.0999999999999999E-2</v>
      </c>
      <c r="K196" s="328" t="str">
        <f ca="1">IFERROR(IF(#REF!="","",INDEX(INDIRECT("'Annex 1 LV and HV charges"&amp;MID($A$2,FIND("_",$A$2),2)&amp;"'!$A$10:$K$51"),MATCH(MID($A196,FIND(":",$A196)+2,LEN($A196)-FIND(":",$A196)+2),INDIRECT("'Annex 1 LV and HV charges"&amp;MID($A$2,FIND("_",$A$2),2)&amp;"'!$A$10:$A$51"),0),MATCH(J$13,$A$13:$J$13,0))-J196),"")</f>
        <v/>
      </c>
    </row>
    <row r="197" spans="1:11" ht="27.75" customHeight="1" x14ac:dyDescent="0.2">
      <c r="A197" s="324" t="s">
        <v>743</v>
      </c>
      <c r="B197" s="18"/>
      <c r="C197" s="326">
        <v>0</v>
      </c>
      <c r="D197" s="92">
        <v>0.30199999999999999</v>
      </c>
      <c r="E197" s="93">
        <v>2.9000000000000001E-2</v>
      </c>
      <c r="F197" s="94">
        <v>2E-3</v>
      </c>
      <c r="G197" s="319">
        <v>53.42</v>
      </c>
      <c r="H197" s="319">
        <v>0.33</v>
      </c>
      <c r="I197" s="322">
        <v>0.33</v>
      </c>
      <c r="J197" s="26">
        <v>1.0999999999999999E-2</v>
      </c>
      <c r="K197" s="328" t="str">
        <f ca="1">IFERROR(IF(#REF!="","",INDEX(INDIRECT("'Annex 1 LV and HV charges"&amp;MID($A$2,FIND("_",$A$2),2)&amp;"'!$A$10:$K$51"),MATCH(MID($A197,FIND(":",$A197)+2,LEN($A197)-FIND(":",$A197)+2),INDIRECT("'Annex 1 LV and HV charges"&amp;MID($A$2,FIND("_",$A$2),2)&amp;"'!$A$10:$A$51"),0),MATCH(J$13,$A$13:$J$13,0))-J197),"")</f>
        <v/>
      </c>
    </row>
    <row r="198" spans="1:11" ht="27.75" customHeight="1" x14ac:dyDescent="0.2">
      <c r="A198" s="324" t="s">
        <v>593</v>
      </c>
      <c r="B198" s="25"/>
      <c r="C198" s="326" t="s">
        <v>847</v>
      </c>
      <c r="D198" s="95">
        <v>1.5049999999999999</v>
      </c>
      <c r="E198" s="96">
        <v>0.127</v>
      </c>
      <c r="F198" s="94">
        <v>7.6999999999999999E-2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charges"&amp;MID($A$2,FIND("_",$A$2),2)&amp;"'!$A$10:$A$51"),0),MATCH(J$13,$A$13:$J$13,0))-J198),"")</f>
        <v/>
      </c>
    </row>
    <row r="199" spans="1:11" ht="27.75" customHeight="1" x14ac:dyDescent="0.2">
      <c r="A199" s="324" t="s">
        <v>637</v>
      </c>
      <c r="B199" s="25"/>
      <c r="C199" s="326" t="s">
        <v>848</v>
      </c>
      <c r="D199" s="92">
        <v>-0.51500000000000001</v>
      </c>
      <c r="E199" s="93">
        <v>-6.3E-2</v>
      </c>
      <c r="F199" s="94">
        <v>-8.0000000000000002E-3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charges"&amp;MID($A$2,FIND("_",$A$2),2)&amp;"'!$A$10:$A$51"),0),MATCH(J$13,$A$13:$J$13,0))-J199),"")</f>
        <v/>
      </c>
    </row>
    <row r="200" spans="1:11" ht="27.75" customHeight="1" x14ac:dyDescent="0.2">
      <c r="A200" s="324" t="s">
        <v>638</v>
      </c>
      <c r="B200" s="323"/>
      <c r="C200" s="326">
        <v>0</v>
      </c>
      <c r="D200" s="92">
        <v>-0.46</v>
      </c>
      <c r="E200" s="93">
        <v>-5.3999999999999999E-2</v>
      </c>
      <c r="F200" s="94">
        <v>-6.0000000000000001E-3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charges"&amp;MID($A$2,FIND("_",$A$2),2)&amp;"'!$A$10:$A$51"),0),MATCH(J$13,$A$13:$J$13,0))-J200),"")</f>
        <v/>
      </c>
    </row>
    <row r="201" spans="1:11" ht="27.75" customHeight="1" x14ac:dyDescent="0.2">
      <c r="A201" s="324" t="s">
        <v>639</v>
      </c>
      <c r="B201" s="25"/>
      <c r="C201" s="326">
        <v>0</v>
      </c>
      <c r="D201" s="92">
        <v>-0.51500000000000001</v>
      </c>
      <c r="E201" s="93">
        <v>-6.3E-2</v>
      </c>
      <c r="F201" s="94">
        <v>-8.0000000000000002E-3</v>
      </c>
      <c r="G201" s="319" t="s">
        <v>840</v>
      </c>
      <c r="H201" s="320" t="s">
        <v>840</v>
      </c>
      <c r="I201" s="321" t="s">
        <v>840</v>
      </c>
      <c r="J201" s="26">
        <v>2.5999999999999999E-2</v>
      </c>
      <c r="K201" s="328" t="str">
        <f ca="1">IFERROR(IF(#REF!="","",INDEX(INDIRECT("'Annex 1 LV and HV charges"&amp;MID($A$2,FIND("_",$A$2),2)&amp;"'!$A$10:$K$51"),MATCH(MID($A201,FIND(":",$A201)+2,LEN($A201)-FIND(":",$A201)+2),INDIRECT("'Annex 1 LV and HV charges"&amp;MID($A$2,FIND("_",$A$2),2)&amp;"'!$A$10:$A$51"),0),MATCH(J$13,$A$13:$J$13,0))-J201),"")</f>
        <v/>
      </c>
    </row>
    <row r="202" spans="1:11" ht="27.75" customHeight="1" x14ac:dyDescent="0.2">
      <c r="A202" s="324" t="s">
        <v>640</v>
      </c>
      <c r="B202" s="25"/>
      <c r="C202" s="326">
        <v>0</v>
      </c>
      <c r="D202" s="92">
        <v>-0.46</v>
      </c>
      <c r="E202" s="93">
        <v>-5.3999999999999999E-2</v>
      </c>
      <c r="F202" s="94">
        <v>-6.0000000000000001E-3</v>
      </c>
      <c r="G202" s="319" t="s">
        <v>840</v>
      </c>
      <c r="H202" s="320" t="s">
        <v>840</v>
      </c>
      <c r="I202" s="321" t="s">
        <v>840</v>
      </c>
      <c r="J202" s="26">
        <v>0.02</v>
      </c>
      <c r="K202" s="328" t="str">
        <f ca="1">IFERROR(IF(#REF!="","",INDEX(INDIRECT("'Annex 1 LV and HV charges"&amp;MID($A$2,FIND("_",$A$2),2)&amp;"'!$A$10:$K$51"),MATCH(MID($A202,FIND(":",$A202)+2,LEN($A202)-FIND(":",$A202)+2),INDIRECT("'Annex 1 LV and HV charges"&amp;MID($A$2,FIND("_",$A$2),2)&amp;"'!$A$10:$A$51"),0),MATCH(J$13,$A$13:$J$13,0))-J202),"")</f>
        <v/>
      </c>
    </row>
    <row r="203" spans="1:11" ht="27.75" customHeight="1" x14ac:dyDescent="0.2">
      <c r="A203" s="324" t="s">
        <v>641</v>
      </c>
      <c r="B203" s="25"/>
      <c r="C203" s="326">
        <v>0</v>
      </c>
      <c r="D203" s="92">
        <v>-0.47099999999999997</v>
      </c>
      <c r="E203" s="93">
        <v>-4.8000000000000001E-2</v>
      </c>
      <c r="F203" s="94">
        <v>-4.0000000000000001E-3</v>
      </c>
      <c r="G203" s="319">
        <v>1.1100000000000001</v>
      </c>
      <c r="H203" s="320" t="s">
        <v>840</v>
      </c>
      <c r="I203" s="321" t="s">
        <v>840</v>
      </c>
      <c r="J203" s="26">
        <v>2.4E-2</v>
      </c>
      <c r="K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K203">
    <cfRule type="cellIs" dxfId="78" priority="2" operator="equal">
      <formula>0</formula>
    </cfRule>
    <cfRule type="cellIs" dxfId="77" priority="3" operator="lessThan">
      <formula>0</formula>
    </cfRule>
    <cfRule type="cellIs" dxfId="76" priority="4" operator="greaterThan">
      <formula>0</formula>
    </cfRule>
  </conditionalFormatting>
  <conditionalFormatting sqref="K14:L203">
    <cfRule type="expression" dxfId="75" priority="20">
      <formula>#REF!&lt;&gt;""</formula>
    </cfRule>
  </conditionalFormatting>
  <hyperlinks>
    <hyperlink ref="A1" location="Overview!A1" display="Back to Overview" xr:uid="{50B4F35E-DE80-46CC-896A-0FD3B9BD269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03"/>
  <sheetViews>
    <sheetView zoomScale="70" zoomScaleNormal="70" workbookViewId="0"/>
  </sheetViews>
  <sheetFormatPr defaultColWidth="9.140625" defaultRowHeight="27.75" customHeight="1" x14ac:dyDescent="0.2"/>
  <cols>
    <col min="1" max="1" width="54.85546875"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68" t="str">
        <f>Overview!B4&amp;" - Effective from "&amp;TEXT(Overview!$D$4,"d mmmm yyyy")&amp;" - Final LDNO tariffs in WPD EM Area (GSP Group_B)"</f>
        <v>Leep Electricity Networks Limited - Effective from 1 April 2026 - Final LDNO tariffs in WPD EM Area (GSP Group_B)</v>
      </c>
      <c r="B2" s="468"/>
      <c r="C2" s="468"/>
      <c r="D2" s="468"/>
      <c r="E2" s="468"/>
      <c r="F2" s="468"/>
      <c r="G2" s="468"/>
      <c r="H2" s="468"/>
      <c r="I2" s="468"/>
      <c r="J2" s="468"/>
    </row>
    <row r="3" spans="1:17" s="41" customFormat="1" ht="15" customHeight="1" x14ac:dyDescent="0.2">
      <c r="A3" s="46"/>
      <c r="B3" s="46"/>
      <c r="C3" s="46"/>
      <c r="D3" s="46"/>
      <c r="E3" s="46"/>
      <c r="F3" s="46"/>
      <c r="G3" s="46"/>
      <c r="H3" s="46"/>
      <c r="I3" s="46"/>
      <c r="J3" s="46"/>
      <c r="K3" s="31"/>
      <c r="L3" s="31"/>
    </row>
    <row r="4" spans="1:17" ht="18" customHeight="1" x14ac:dyDescent="0.2">
      <c r="A4" s="382" t="s">
        <v>308</v>
      </c>
      <c r="B4" s="383"/>
      <c r="C4" s="383"/>
      <c r="D4" s="384"/>
      <c r="E4" s="46"/>
      <c r="F4" s="382" t="s">
        <v>307</v>
      </c>
      <c r="G4" s="383"/>
      <c r="H4" s="383"/>
      <c r="I4" s="383"/>
      <c r="J4" s="384"/>
      <c r="K4" s="3"/>
      <c r="L4" s="3"/>
    </row>
    <row r="5" spans="1:17" ht="30" x14ac:dyDescent="0.2">
      <c r="A5" s="40" t="s">
        <v>13</v>
      </c>
      <c r="B5" s="258" t="s">
        <v>299</v>
      </c>
      <c r="C5" s="271" t="s">
        <v>300</v>
      </c>
      <c r="D5" s="42" t="s">
        <v>301</v>
      </c>
      <c r="E5" s="46"/>
      <c r="F5" s="248"/>
      <c r="G5" s="249"/>
      <c r="H5" s="44" t="s">
        <v>305</v>
      </c>
      <c r="I5" s="45" t="s">
        <v>306</v>
      </c>
      <c r="J5" s="42" t="s">
        <v>301</v>
      </c>
      <c r="K5" s="46"/>
      <c r="L5" s="3"/>
      <c r="M5" s="3"/>
    </row>
    <row r="6" spans="1:17" ht="51.75" customHeight="1" x14ac:dyDescent="0.2">
      <c r="A6" s="269" t="str">
        <f>'Annex 1 LV and HV charges_B'!A6</f>
        <v>Monday to Friday 
(Including Bank Holidays)
All Year</v>
      </c>
      <c r="B6" s="13" t="str">
        <f>'Annex 1 LV and HV charges_B'!B6</f>
        <v>16:00 - 19:00</v>
      </c>
      <c r="C6" s="250" t="str">
        <f>'Annex 1 LV and HV charges_B'!C6</f>
        <v>07:30 to 16:00
19:00 to 21:00</v>
      </c>
      <c r="D6" s="97" t="str">
        <f>'Annex 1 LV and HV charges_B'!E6</f>
        <v>00:00 to 07:30
21:00 to 24:00</v>
      </c>
      <c r="E6" s="46"/>
      <c r="F6" s="255" t="str">
        <f>'Annex 1 LV and HV charges_B'!G6</f>
        <v>Monday to Friday 
(Including Bank Holidays)
Nov to Feb Inclusive</v>
      </c>
      <c r="G6" s="255">
        <f>'Annex 1 LV and HV charges_B'!H6</f>
        <v>0</v>
      </c>
      <c r="H6" s="13" t="str">
        <f>'Annex 1 LV and HV charges_B'!I6</f>
        <v>16:00 to 19:00</v>
      </c>
      <c r="I6" s="250" t="str">
        <f>'Annex 1 LV and HV charges_B'!J6</f>
        <v>07:30 to 16:00
19:00 to 21:00</v>
      </c>
      <c r="J6" s="250" t="str">
        <f>'Annex 1 LV and HV charges_B'!K6</f>
        <v>00:00 to 07:30
21:00 to 24:00</v>
      </c>
      <c r="K6" s="46"/>
      <c r="L6" s="3"/>
      <c r="M6" s="3"/>
    </row>
    <row r="7" spans="1:17" ht="45" customHeight="1" x14ac:dyDescent="0.2">
      <c r="A7" s="269" t="str">
        <f>'Annex 1 LV and HV charges_B'!A7</f>
        <v>Saturday and Sunday
All Year</v>
      </c>
      <c r="B7" s="252" t="str">
        <f>'Annex 1 LV and HV charges_B'!B7</f>
        <v/>
      </c>
      <c r="C7" s="254" t="str">
        <f>'Annex 1 LV and HV charges_B'!C7</f>
        <v/>
      </c>
      <c r="D7" s="250" t="str">
        <f>'Annex 1 LV and HV charges_B'!E7</f>
        <v>00:00 to 24:00</v>
      </c>
      <c r="E7" s="46"/>
      <c r="F7" s="255" t="str">
        <f>'Annex 1 LV and HV charges_B'!G7</f>
        <v>Monday to Friday 
(Including Bank Holidays)
Mar to Oct Inclusive</v>
      </c>
      <c r="G7" s="255">
        <f>'Annex 1 LV and HV charges_B'!H7</f>
        <v>0</v>
      </c>
      <c r="H7" s="252" t="str">
        <f>'Annex 1 LV and HV charges_B'!I7</f>
        <v/>
      </c>
      <c r="I7" s="250" t="str">
        <f>'Annex 1 LV and HV charges_B'!J7</f>
        <v>07:30 to 21:00</v>
      </c>
      <c r="J7" s="250" t="str">
        <f>'Annex 1 LV and HV charges_B'!K7</f>
        <v>00:00 to 07:30
21:00 to 24:00</v>
      </c>
      <c r="K7" s="46"/>
      <c r="L7" s="3"/>
      <c r="M7" s="3"/>
    </row>
    <row r="8" spans="1:17" ht="29.25" customHeight="1" x14ac:dyDescent="0.2">
      <c r="A8" s="255" t="str">
        <f>'Annex 1 LV and HV charges_B'!A8</f>
        <v>Notes</v>
      </c>
      <c r="B8" s="389" t="str">
        <f>'Annex 1 LV and HV charges_B'!B8</f>
        <v>All the above times are in UK Clock time</v>
      </c>
      <c r="C8" s="390">
        <f>'Annex 1 LV and HV charges_B'!C8</f>
        <v>0</v>
      </c>
      <c r="D8" s="391">
        <f>'Annex 1 LV and HV charges_B'!D8</f>
        <v>0</v>
      </c>
      <c r="E8" s="46"/>
      <c r="F8" s="255" t="str">
        <f>'Annex 1 LV and HV charges_B'!G8</f>
        <v>Saturday and Sunday
All year</v>
      </c>
      <c r="G8" s="255">
        <f>'Annex 1 LV and HV charges_B'!H8</f>
        <v>0</v>
      </c>
      <c r="H8" s="252" t="str">
        <f>'Annex 1 LV and HV charges_B'!I8</f>
        <v/>
      </c>
      <c r="I8" s="252" t="str">
        <f>'Annex 1 LV and HV charges_B'!J8</f>
        <v/>
      </c>
      <c r="J8" s="250" t="str">
        <f>'Annex 1 LV and HV charges_B'!K8</f>
        <v>00:00 to 24:00</v>
      </c>
      <c r="K8" s="46"/>
      <c r="L8" s="3"/>
      <c r="M8" s="3"/>
    </row>
    <row r="9" spans="1:17" s="41" customFormat="1" ht="23.25" customHeight="1" x14ac:dyDescent="0.2">
      <c r="A9" s="256"/>
      <c r="B9" s="256"/>
      <c r="C9" s="385"/>
      <c r="D9" s="386"/>
      <c r="E9" s="46"/>
      <c r="F9" s="255" t="str">
        <f>'Annex 1 LV and HV charges_B'!G9</f>
        <v>Notes</v>
      </c>
      <c r="G9" s="255">
        <f>'Annex 1 LV and HV charges_B'!H9</f>
        <v>0</v>
      </c>
      <c r="H9" s="389" t="str">
        <f>'Annex 1 LV and HV charges_B'!I9</f>
        <v>All the above times are in UK Clock time</v>
      </c>
      <c r="I9" s="390">
        <f>'Annex 1 LV and HV charges_B'!J9</f>
        <v>0</v>
      </c>
      <c r="J9" s="391">
        <f>'Annex 1 LV and HV charges_B'!K9</f>
        <v>0</v>
      </c>
      <c r="K9" s="46"/>
      <c r="L9" s="31"/>
      <c r="M9" s="31"/>
    </row>
    <row r="10" spans="1:17" s="41" customFormat="1" ht="18" x14ac:dyDescent="0.2">
      <c r="A10" s="120"/>
      <c r="B10" s="476"/>
      <c r="C10" s="477"/>
      <c r="D10" s="477"/>
      <c r="E10" s="478"/>
      <c r="F10" s="46"/>
      <c r="G10" s="385"/>
      <c r="H10" s="386"/>
      <c r="I10" s="257"/>
      <c r="J10" s="257"/>
      <c r="K10" s="46"/>
      <c r="L10" s="31"/>
      <c r="M10" s="31"/>
    </row>
    <row r="11" spans="1:17" s="41" customFormat="1" ht="18" x14ac:dyDescent="0.2">
      <c r="A11" s="46"/>
      <c r="B11" s="46"/>
      <c r="C11" s="46"/>
      <c r="D11" s="46"/>
      <c r="E11" s="46"/>
      <c r="F11" s="46"/>
      <c r="G11" s="120"/>
      <c r="H11" s="120"/>
      <c r="I11" s="270"/>
      <c r="J11" s="270"/>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25" customHeight="1" x14ac:dyDescent="0.2">
      <c r="A14" s="324" t="s">
        <v>779</v>
      </c>
      <c r="B14" s="25"/>
      <c r="C14" s="326" t="s">
        <v>845</v>
      </c>
      <c r="D14" s="92">
        <v>8.1709999999999994</v>
      </c>
      <c r="E14" s="93">
        <v>1.0569999999999999</v>
      </c>
      <c r="F14" s="94">
        <v>6.3E-2</v>
      </c>
      <c r="G14" s="319">
        <v>5.86</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25" customHeight="1" x14ac:dyDescent="0.2">
      <c r="A15" s="324" t="s">
        <v>642</v>
      </c>
      <c r="B15" s="25"/>
      <c r="C15" s="326" t="s">
        <v>2075</v>
      </c>
      <c r="D15" s="92">
        <v>8.1709999999999994</v>
      </c>
      <c r="E15" s="93">
        <v>1.0569999999999999</v>
      </c>
      <c r="F15" s="94">
        <v>6.3E-2</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25" customHeight="1" x14ac:dyDescent="0.2">
      <c r="A16" s="324" t="s">
        <v>786</v>
      </c>
      <c r="B16" s="25"/>
      <c r="C16" s="326" t="s">
        <v>846</v>
      </c>
      <c r="D16" s="92">
        <v>8.2739999999999991</v>
      </c>
      <c r="E16" s="93">
        <v>1.071</v>
      </c>
      <c r="F16" s="94">
        <v>6.4000000000000001E-2</v>
      </c>
      <c r="G16" s="319">
        <v>7.93</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25" customHeight="1" x14ac:dyDescent="0.2">
      <c r="A17" s="324" t="s">
        <v>793</v>
      </c>
      <c r="B17" s="25"/>
      <c r="C17" s="326" t="s">
        <v>846</v>
      </c>
      <c r="D17" s="92">
        <v>8.2739999999999991</v>
      </c>
      <c r="E17" s="93">
        <v>1.071</v>
      </c>
      <c r="F17" s="94">
        <v>6.4000000000000001E-2</v>
      </c>
      <c r="G17" s="319">
        <v>8.66</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25" customHeight="1" x14ac:dyDescent="0.2">
      <c r="A18" s="324" t="s">
        <v>800</v>
      </c>
      <c r="B18" s="25"/>
      <c r="C18" s="326" t="s">
        <v>846</v>
      </c>
      <c r="D18" s="92">
        <v>8.2739999999999991</v>
      </c>
      <c r="E18" s="93">
        <v>1.071</v>
      </c>
      <c r="F18" s="94">
        <v>6.4000000000000001E-2</v>
      </c>
      <c r="G18" s="319">
        <v>10.71</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25" customHeight="1" x14ac:dyDescent="0.2">
      <c r="A19" s="324" t="s">
        <v>807</v>
      </c>
      <c r="B19" s="25"/>
      <c r="C19" s="326" t="s">
        <v>846</v>
      </c>
      <c r="D19" s="92">
        <v>8.2739999999999991</v>
      </c>
      <c r="E19" s="93">
        <v>1.071</v>
      </c>
      <c r="F19" s="94">
        <v>6.4000000000000001E-2</v>
      </c>
      <c r="G19" s="319">
        <v>14.05</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25" customHeight="1" x14ac:dyDescent="0.2">
      <c r="A20" s="324" t="s">
        <v>814</v>
      </c>
      <c r="B20" s="25"/>
      <c r="C20" s="326" t="s">
        <v>846</v>
      </c>
      <c r="D20" s="92">
        <v>8.2739999999999991</v>
      </c>
      <c r="E20" s="93">
        <v>1.071</v>
      </c>
      <c r="F20" s="94">
        <v>6.4000000000000001E-2</v>
      </c>
      <c r="G20" s="319">
        <v>24.08</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25" customHeight="1" x14ac:dyDescent="0.2">
      <c r="A21" s="324" t="s">
        <v>580</v>
      </c>
      <c r="B21" s="25"/>
      <c r="C21" s="326" t="s">
        <v>2076</v>
      </c>
      <c r="D21" s="92">
        <v>8.2739999999999991</v>
      </c>
      <c r="E21" s="93">
        <v>1.071</v>
      </c>
      <c r="F21" s="94">
        <v>6.4000000000000001E-2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25" customHeight="1" x14ac:dyDescent="0.2">
      <c r="A22" s="324" t="s">
        <v>643</v>
      </c>
      <c r="B22" s="18"/>
      <c r="C22" s="326">
        <v>0</v>
      </c>
      <c r="D22" s="92">
        <v>5.3490000000000002</v>
      </c>
      <c r="E22" s="93">
        <v>0.65900000000000003</v>
      </c>
      <c r="F22" s="94">
        <v>3.6999999999999998E-2</v>
      </c>
      <c r="G22" s="319">
        <v>9.3800000000000008</v>
      </c>
      <c r="H22" s="319">
        <v>5.28</v>
      </c>
      <c r="I22" s="322">
        <v>5.28</v>
      </c>
      <c r="J22" s="26">
        <v>0.16800000000000001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25" customHeight="1" x14ac:dyDescent="0.2">
      <c r="A23" s="324" t="s">
        <v>644</v>
      </c>
      <c r="B23" s="25"/>
      <c r="C23" s="326">
        <v>0</v>
      </c>
      <c r="D23" s="92">
        <v>5.3490000000000002</v>
      </c>
      <c r="E23" s="93">
        <v>0.65900000000000003</v>
      </c>
      <c r="F23" s="94">
        <v>3.6999999999999998E-2</v>
      </c>
      <c r="G23" s="319">
        <v>38.33</v>
      </c>
      <c r="H23" s="319">
        <v>5.28</v>
      </c>
      <c r="I23" s="322">
        <v>5.28</v>
      </c>
      <c r="J23" s="26">
        <v>0.16800000000000001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25" customHeight="1" x14ac:dyDescent="0.2">
      <c r="A24" s="324" t="s">
        <v>645</v>
      </c>
      <c r="B24" s="18"/>
      <c r="C24" s="326">
        <v>0</v>
      </c>
      <c r="D24" s="92">
        <v>5.3490000000000002</v>
      </c>
      <c r="E24" s="93">
        <v>0.65900000000000003</v>
      </c>
      <c r="F24" s="94">
        <v>3.6999999999999998E-2</v>
      </c>
      <c r="G24" s="319">
        <v>58.52</v>
      </c>
      <c r="H24" s="319">
        <v>5.28</v>
      </c>
      <c r="I24" s="322">
        <v>5.28</v>
      </c>
      <c r="J24" s="26">
        <v>0.16800000000000001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25" customHeight="1" x14ac:dyDescent="0.2">
      <c r="A25" s="324" t="s">
        <v>646</v>
      </c>
      <c r="B25" s="18"/>
      <c r="C25" s="326">
        <v>0</v>
      </c>
      <c r="D25" s="92">
        <v>5.3490000000000002</v>
      </c>
      <c r="E25" s="93">
        <v>0.65900000000000003</v>
      </c>
      <c r="F25" s="94">
        <v>3.6999999999999998E-2</v>
      </c>
      <c r="G25" s="319">
        <v>88.72</v>
      </c>
      <c r="H25" s="319">
        <v>5.28</v>
      </c>
      <c r="I25" s="322">
        <v>5.28</v>
      </c>
      <c r="J25" s="26">
        <v>0.16800000000000001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25" customHeight="1" x14ac:dyDescent="0.2">
      <c r="A26" s="324" t="s">
        <v>647</v>
      </c>
      <c r="B26" s="18"/>
      <c r="C26" s="326">
        <v>0</v>
      </c>
      <c r="D26" s="92">
        <v>5.3490000000000002</v>
      </c>
      <c r="E26" s="93">
        <v>0.65900000000000003</v>
      </c>
      <c r="F26" s="94">
        <v>3.6999999999999998E-2</v>
      </c>
      <c r="G26" s="319">
        <v>164.88</v>
      </c>
      <c r="H26" s="319">
        <v>5.28</v>
      </c>
      <c r="I26" s="322">
        <v>5.28</v>
      </c>
      <c r="J26" s="26">
        <v>0.16800000000000001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25" customHeight="1" x14ac:dyDescent="0.2">
      <c r="A27" s="324" t="s">
        <v>581</v>
      </c>
      <c r="B27" s="25"/>
      <c r="C27" s="327" t="s">
        <v>847</v>
      </c>
      <c r="D27" s="95">
        <v>22.61</v>
      </c>
      <c r="E27" s="96">
        <v>2.0750000000000002</v>
      </c>
      <c r="F27" s="94">
        <v>0.84499999999999997</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25" customHeight="1" x14ac:dyDescent="0.2">
      <c r="A28" s="324" t="s">
        <v>610</v>
      </c>
      <c r="B28" s="25"/>
      <c r="C28" s="327">
        <v>0</v>
      </c>
      <c r="D28" s="92">
        <v>-7.7110000000000003</v>
      </c>
      <c r="E28" s="93">
        <v>-0.998</v>
      </c>
      <c r="F28" s="94">
        <v>-0.06</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25" customHeight="1" x14ac:dyDescent="0.2">
      <c r="A29" s="324" t="s">
        <v>611</v>
      </c>
      <c r="B29" s="25"/>
      <c r="C29" s="327">
        <v>0</v>
      </c>
      <c r="D29" s="92">
        <v>-7.7110000000000003</v>
      </c>
      <c r="E29" s="93">
        <v>-0.998</v>
      </c>
      <c r="F29" s="94">
        <v>-0.06</v>
      </c>
      <c r="G29" s="319" t="s">
        <v>840</v>
      </c>
      <c r="H29" s="320" t="s">
        <v>840</v>
      </c>
      <c r="I29" s="321" t="s">
        <v>840</v>
      </c>
      <c r="J29" s="26">
        <v>0.27900000000000003</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25" customHeight="1" x14ac:dyDescent="0.2">
      <c r="A30" s="325" t="s">
        <v>780</v>
      </c>
      <c r="B30" s="25"/>
      <c r="C30" s="327" t="s">
        <v>845</v>
      </c>
      <c r="D30" s="92">
        <v>6.4539999999999997</v>
      </c>
      <c r="E30" s="93">
        <v>0.83499999999999996</v>
      </c>
      <c r="F30" s="94">
        <v>0.05</v>
      </c>
      <c r="G30" s="319">
        <v>4.63</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25" customHeight="1" x14ac:dyDescent="0.2">
      <c r="A31" s="325" t="s">
        <v>648</v>
      </c>
      <c r="B31" s="25"/>
      <c r="C31" s="327" t="s">
        <v>2075</v>
      </c>
      <c r="D31" s="92">
        <v>6.4539999999999997</v>
      </c>
      <c r="E31" s="93">
        <v>0.83499999999999996</v>
      </c>
      <c r="F31" s="94">
        <v>0.05</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25" customHeight="1" x14ac:dyDescent="0.2">
      <c r="A32" s="325" t="s">
        <v>787</v>
      </c>
      <c r="B32" s="18"/>
      <c r="C32" s="327" t="s">
        <v>846</v>
      </c>
      <c r="D32" s="92">
        <v>6.5350000000000001</v>
      </c>
      <c r="E32" s="93">
        <v>0.84599999999999997</v>
      </c>
      <c r="F32" s="94">
        <v>5.0999999999999997E-2</v>
      </c>
      <c r="G32" s="319">
        <v>6.26</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25" customHeight="1" x14ac:dyDescent="0.2">
      <c r="A33" s="325" t="s">
        <v>794</v>
      </c>
      <c r="B33" s="25"/>
      <c r="C33" s="327" t="s">
        <v>846</v>
      </c>
      <c r="D33" s="92">
        <v>6.5350000000000001</v>
      </c>
      <c r="E33" s="93">
        <v>0.84599999999999997</v>
      </c>
      <c r="F33" s="94">
        <v>5.0999999999999997E-2</v>
      </c>
      <c r="G33" s="319">
        <v>6.84</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25" customHeight="1" x14ac:dyDescent="0.2">
      <c r="A34" s="325" t="s">
        <v>801</v>
      </c>
      <c r="B34" s="18"/>
      <c r="C34" s="327" t="s">
        <v>846</v>
      </c>
      <c r="D34" s="92">
        <v>6.5350000000000001</v>
      </c>
      <c r="E34" s="93">
        <v>0.84599999999999997</v>
      </c>
      <c r="F34" s="94">
        <v>5.0999999999999997E-2</v>
      </c>
      <c r="G34" s="319">
        <v>8.4600000000000009</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25" customHeight="1" x14ac:dyDescent="0.2">
      <c r="A35" s="325" t="s">
        <v>808</v>
      </c>
      <c r="B35" s="18"/>
      <c r="C35" s="327" t="s">
        <v>846</v>
      </c>
      <c r="D35" s="92">
        <v>6.5350000000000001</v>
      </c>
      <c r="E35" s="93">
        <v>0.84599999999999997</v>
      </c>
      <c r="F35" s="94">
        <v>5.0999999999999997E-2</v>
      </c>
      <c r="G35" s="319">
        <v>11.1</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25" customHeight="1" x14ac:dyDescent="0.2">
      <c r="A36" s="325" t="s">
        <v>815</v>
      </c>
      <c r="B36" s="18"/>
      <c r="C36" s="327" t="s">
        <v>846</v>
      </c>
      <c r="D36" s="92">
        <v>6.5350000000000001</v>
      </c>
      <c r="E36" s="93">
        <v>0.84599999999999997</v>
      </c>
      <c r="F36" s="94">
        <v>5.0999999999999997E-2</v>
      </c>
      <c r="G36" s="319">
        <v>19.02</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25" customHeight="1" x14ac:dyDescent="0.2">
      <c r="A37" s="325" t="s">
        <v>582</v>
      </c>
      <c r="B37" s="25"/>
      <c r="C37" s="327" t="s">
        <v>2076</v>
      </c>
      <c r="D37" s="92">
        <v>6.5350000000000001</v>
      </c>
      <c r="E37" s="93">
        <v>0.84599999999999997</v>
      </c>
      <c r="F37" s="94">
        <v>5.0999999999999997E-2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25" customHeight="1" x14ac:dyDescent="0.2">
      <c r="A38" s="325" t="s">
        <v>649</v>
      </c>
      <c r="B38" s="18"/>
      <c r="C38" s="327">
        <v>0</v>
      </c>
      <c r="D38" s="92">
        <v>4.2249999999999996</v>
      </c>
      <c r="E38" s="93">
        <v>0.52</v>
      </c>
      <c r="F38" s="94">
        <v>2.9000000000000001E-2</v>
      </c>
      <c r="G38" s="319">
        <v>7.41</v>
      </c>
      <c r="H38" s="319">
        <v>4.17</v>
      </c>
      <c r="I38" s="322">
        <v>4.17</v>
      </c>
      <c r="J38" s="26">
        <v>0.13200000000000001</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25" customHeight="1" x14ac:dyDescent="0.2">
      <c r="A39" s="325" t="s">
        <v>650</v>
      </c>
      <c r="B39" s="25"/>
      <c r="C39" s="327">
        <v>0</v>
      </c>
      <c r="D39" s="92">
        <v>4.2249999999999996</v>
      </c>
      <c r="E39" s="93">
        <v>0.52</v>
      </c>
      <c r="F39" s="94">
        <v>2.9000000000000001E-2</v>
      </c>
      <c r="G39" s="319">
        <v>30.27</v>
      </c>
      <c r="H39" s="319">
        <v>4.17</v>
      </c>
      <c r="I39" s="322">
        <v>4.17</v>
      </c>
      <c r="J39" s="26">
        <v>0.13200000000000001</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25" customHeight="1" x14ac:dyDescent="0.2">
      <c r="A40" s="325" t="s">
        <v>651</v>
      </c>
      <c r="B40" s="18"/>
      <c r="C40" s="327">
        <v>0</v>
      </c>
      <c r="D40" s="92">
        <v>4.2249999999999996</v>
      </c>
      <c r="E40" s="93">
        <v>0.52</v>
      </c>
      <c r="F40" s="94">
        <v>2.9000000000000001E-2</v>
      </c>
      <c r="G40" s="319">
        <v>46.22</v>
      </c>
      <c r="H40" s="319">
        <v>4.17</v>
      </c>
      <c r="I40" s="322">
        <v>4.17</v>
      </c>
      <c r="J40" s="26">
        <v>0.13200000000000001</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25" customHeight="1" x14ac:dyDescent="0.2">
      <c r="A41" s="325" t="s">
        <v>652</v>
      </c>
      <c r="B41" s="18"/>
      <c r="C41" s="327">
        <v>0</v>
      </c>
      <c r="D41" s="92">
        <v>4.2249999999999996</v>
      </c>
      <c r="E41" s="93">
        <v>0.52</v>
      </c>
      <c r="F41" s="94">
        <v>2.9000000000000001E-2</v>
      </c>
      <c r="G41" s="319">
        <v>70.08</v>
      </c>
      <c r="H41" s="319">
        <v>4.17</v>
      </c>
      <c r="I41" s="322">
        <v>4.17</v>
      </c>
      <c r="J41" s="26">
        <v>0.13200000000000001</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25" customHeight="1" x14ac:dyDescent="0.2">
      <c r="A42" s="325" t="s">
        <v>653</v>
      </c>
      <c r="B42" s="18"/>
      <c r="C42" s="327">
        <v>0</v>
      </c>
      <c r="D42" s="92">
        <v>4.2249999999999996</v>
      </c>
      <c r="E42" s="93">
        <v>0.52</v>
      </c>
      <c r="F42" s="94">
        <v>2.9000000000000001E-2</v>
      </c>
      <c r="G42" s="319">
        <v>130.22999999999999</v>
      </c>
      <c r="H42" s="319">
        <v>4.17</v>
      </c>
      <c r="I42" s="322">
        <v>4.17</v>
      </c>
      <c r="J42" s="26">
        <v>0.13200000000000001</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25" customHeight="1" x14ac:dyDescent="0.2">
      <c r="A43" s="325" t="s">
        <v>654</v>
      </c>
      <c r="B43" s="18"/>
      <c r="C43" s="327">
        <v>0</v>
      </c>
      <c r="D43" s="92">
        <v>4.1580000000000004</v>
      </c>
      <c r="E43" s="93">
        <v>0.45300000000000001</v>
      </c>
      <c r="F43" s="94">
        <v>2.1999999999999999E-2</v>
      </c>
      <c r="G43" s="319">
        <v>8.6</v>
      </c>
      <c r="H43" s="319">
        <v>5.98</v>
      </c>
      <c r="I43" s="322">
        <v>5.98</v>
      </c>
      <c r="J43" s="26">
        <v>0.126</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25" customHeight="1" x14ac:dyDescent="0.2">
      <c r="A44" s="325" t="s">
        <v>655</v>
      </c>
      <c r="B44" s="25"/>
      <c r="C44" s="327">
        <v>0</v>
      </c>
      <c r="D44" s="92">
        <v>4.1580000000000004</v>
      </c>
      <c r="E44" s="93">
        <v>0.45300000000000001</v>
      </c>
      <c r="F44" s="94">
        <v>2.1999999999999999E-2</v>
      </c>
      <c r="G44" s="319">
        <v>42.6</v>
      </c>
      <c r="H44" s="319">
        <v>5.98</v>
      </c>
      <c r="I44" s="322">
        <v>5.98</v>
      </c>
      <c r="J44" s="26">
        <v>0.126</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25" customHeight="1" x14ac:dyDescent="0.2">
      <c r="A45" s="325" t="s">
        <v>656</v>
      </c>
      <c r="B45" s="18"/>
      <c r="C45" s="327">
        <v>0</v>
      </c>
      <c r="D45" s="92">
        <v>4.1580000000000004</v>
      </c>
      <c r="E45" s="93">
        <v>0.45300000000000001</v>
      </c>
      <c r="F45" s="94">
        <v>2.1999999999999999E-2</v>
      </c>
      <c r="G45" s="319">
        <v>66.31</v>
      </c>
      <c r="H45" s="319">
        <v>5.98</v>
      </c>
      <c r="I45" s="322">
        <v>5.98</v>
      </c>
      <c r="J45" s="26">
        <v>0.126</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25" customHeight="1" x14ac:dyDescent="0.2">
      <c r="A46" s="325" t="s">
        <v>657</v>
      </c>
      <c r="B46" s="18"/>
      <c r="C46" s="327">
        <v>0</v>
      </c>
      <c r="D46" s="92">
        <v>4.1580000000000004</v>
      </c>
      <c r="E46" s="93">
        <v>0.45300000000000001</v>
      </c>
      <c r="F46" s="94">
        <v>2.1999999999999999E-2</v>
      </c>
      <c r="G46" s="319">
        <v>101.79</v>
      </c>
      <c r="H46" s="319">
        <v>5.98</v>
      </c>
      <c r="I46" s="322">
        <v>5.98</v>
      </c>
      <c r="J46" s="26">
        <v>0.126</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25" customHeight="1" x14ac:dyDescent="0.2">
      <c r="A47" s="325" t="s">
        <v>658</v>
      </c>
      <c r="B47" s="18"/>
      <c r="C47" s="327">
        <v>0</v>
      </c>
      <c r="D47" s="92">
        <v>4.1580000000000004</v>
      </c>
      <c r="E47" s="93">
        <v>0.45300000000000001</v>
      </c>
      <c r="F47" s="94">
        <v>2.1999999999999999E-2</v>
      </c>
      <c r="G47" s="319">
        <v>191.23</v>
      </c>
      <c r="H47" s="319">
        <v>5.98</v>
      </c>
      <c r="I47" s="322">
        <v>5.98</v>
      </c>
      <c r="J47" s="26">
        <v>0.126</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25" customHeight="1" x14ac:dyDescent="0.2">
      <c r="A48" s="325" t="s">
        <v>659</v>
      </c>
      <c r="B48" s="18"/>
      <c r="C48" s="327">
        <v>0</v>
      </c>
      <c r="D48" s="92">
        <v>2.6080000000000001</v>
      </c>
      <c r="E48" s="93">
        <v>0.23599999999999999</v>
      </c>
      <c r="F48" s="94">
        <v>8.0000000000000002E-3</v>
      </c>
      <c r="G48" s="319">
        <v>90.34</v>
      </c>
      <c r="H48" s="319">
        <v>7.88</v>
      </c>
      <c r="I48" s="322">
        <v>7.88</v>
      </c>
      <c r="J48" s="26">
        <v>7.0000000000000007E-2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25" customHeight="1" x14ac:dyDescent="0.2">
      <c r="A49" s="325" t="s">
        <v>660</v>
      </c>
      <c r="B49" s="18"/>
      <c r="C49" s="327">
        <v>0</v>
      </c>
      <c r="D49" s="92">
        <v>2.6080000000000001</v>
      </c>
      <c r="E49" s="93">
        <v>0.23599999999999999</v>
      </c>
      <c r="F49" s="94">
        <v>8.0000000000000002E-3</v>
      </c>
      <c r="G49" s="319">
        <v>331.53</v>
      </c>
      <c r="H49" s="319">
        <v>7.88</v>
      </c>
      <c r="I49" s="322">
        <v>7.88</v>
      </c>
      <c r="J49" s="26">
        <v>7.0000000000000007E-2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25" customHeight="1" x14ac:dyDescent="0.2">
      <c r="A50" s="325" t="s">
        <v>661</v>
      </c>
      <c r="B50" s="25"/>
      <c r="C50" s="327">
        <v>0</v>
      </c>
      <c r="D50" s="92">
        <v>2.6080000000000001</v>
      </c>
      <c r="E50" s="93">
        <v>0.23599999999999999</v>
      </c>
      <c r="F50" s="94">
        <v>8.0000000000000002E-3</v>
      </c>
      <c r="G50" s="319">
        <v>796.4</v>
      </c>
      <c r="H50" s="319">
        <v>7.88</v>
      </c>
      <c r="I50" s="322">
        <v>7.88</v>
      </c>
      <c r="J50" s="26">
        <v>7.0000000000000007E-2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25" customHeight="1" x14ac:dyDescent="0.2">
      <c r="A51" s="325" t="s">
        <v>662</v>
      </c>
      <c r="B51" s="18"/>
      <c r="C51" s="327">
        <v>0</v>
      </c>
      <c r="D51" s="92">
        <v>2.6080000000000001</v>
      </c>
      <c r="E51" s="93">
        <v>0.23599999999999999</v>
      </c>
      <c r="F51" s="94">
        <v>8.0000000000000002E-3</v>
      </c>
      <c r="G51" s="319">
        <v>1418.43</v>
      </c>
      <c r="H51" s="319">
        <v>7.88</v>
      </c>
      <c r="I51" s="322">
        <v>7.88</v>
      </c>
      <c r="J51" s="26">
        <v>7.0000000000000007E-2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25" customHeight="1" x14ac:dyDescent="0.2">
      <c r="A52" s="325" t="s">
        <v>663</v>
      </c>
      <c r="B52" s="18"/>
      <c r="C52" s="327">
        <v>0</v>
      </c>
      <c r="D52" s="92">
        <v>2.6080000000000001</v>
      </c>
      <c r="E52" s="93">
        <v>0.23599999999999999</v>
      </c>
      <c r="F52" s="94">
        <v>8.0000000000000002E-3</v>
      </c>
      <c r="G52" s="319">
        <v>3434.56</v>
      </c>
      <c r="H52" s="319">
        <v>7.88</v>
      </c>
      <c r="I52" s="322">
        <v>7.88</v>
      </c>
      <c r="J52" s="26">
        <v>7.0000000000000007E-2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25" customHeight="1" x14ac:dyDescent="0.2">
      <c r="A53" s="325" t="s">
        <v>583</v>
      </c>
      <c r="B53" s="25"/>
      <c r="C53" s="327" t="s">
        <v>847</v>
      </c>
      <c r="D53" s="95">
        <v>17.859000000000002</v>
      </c>
      <c r="E53" s="96">
        <v>1.639</v>
      </c>
      <c r="F53" s="94">
        <v>0.66800000000000004</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25" customHeight="1" x14ac:dyDescent="0.2">
      <c r="A54" s="325" t="s">
        <v>612</v>
      </c>
      <c r="B54" s="25"/>
      <c r="C54" s="327">
        <v>0</v>
      </c>
      <c r="D54" s="92">
        <v>-7.7110000000000003</v>
      </c>
      <c r="E54" s="93">
        <v>-0.998</v>
      </c>
      <c r="F54" s="94">
        <v>-0.06</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25" customHeight="1" x14ac:dyDescent="0.2">
      <c r="A55" s="325" t="s">
        <v>613</v>
      </c>
      <c r="B55" s="323"/>
      <c r="C55" s="327">
        <v>0</v>
      </c>
      <c r="D55" s="92">
        <v>-6.4219999999999997</v>
      </c>
      <c r="E55" s="93">
        <v>-0.80500000000000005</v>
      </c>
      <c r="F55" s="94">
        <v>-4.7E-2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25" customHeight="1" x14ac:dyDescent="0.2">
      <c r="A56" s="325" t="s">
        <v>614</v>
      </c>
      <c r="B56" s="25"/>
      <c r="C56" s="327">
        <v>0</v>
      </c>
      <c r="D56" s="92">
        <v>-7.7110000000000003</v>
      </c>
      <c r="E56" s="93">
        <v>-0.998</v>
      </c>
      <c r="F56" s="94">
        <v>-0.06</v>
      </c>
      <c r="G56" s="319" t="s">
        <v>840</v>
      </c>
      <c r="H56" s="320" t="s">
        <v>840</v>
      </c>
      <c r="I56" s="321" t="s">
        <v>840</v>
      </c>
      <c r="J56" s="26">
        <v>0.27900000000000003</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25" customHeight="1" x14ac:dyDescent="0.2">
      <c r="A57" s="325" t="s">
        <v>615</v>
      </c>
      <c r="B57" s="25"/>
      <c r="C57" s="327">
        <v>0</v>
      </c>
      <c r="D57" s="92">
        <v>-6.4219999999999997</v>
      </c>
      <c r="E57" s="93">
        <v>-0.80500000000000005</v>
      </c>
      <c r="F57" s="94">
        <v>-4.7E-2</v>
      </c>
      <c r="G57" s="319" t="s">
        <v>840</v>
      </c>
      <c r="H57" s="320" t="s">
        <v>840</v>
      </c>
      <c r="I57" s="321" t="s">
        <v>840</v>
      </c>
      <c r="J57" s="26">
        <v>0.20699999999999999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25" customHeight="1" x14ac:dyDescent="0.2">
      <c r="A58" s="325" t="s">
        <v>616</v>
      </c>
      <c r="B58" s="25"/>
      <c r="C58" s="327">
        <v>0</v>
      </c>
      <c r="D58" s="92">
        <v>-3.9580000000000002</v>
      </c>
      <c r="E58" s="93">
        <v>-0.43099999999999999</v>
      </c>
      <c r="F58" s="94">
        <v>-2.1000000000000001E-2</v>
      </c>
      <c r="G58" s="319" t="s">
        <v>840</v>
      </c>
      <c r="H58" s="320" t="s">
        <v>840</v>
      </c>
      <c r="I58" s="321" t="s">
        <v>840</v>
      </c>
      <c r="J58" s="26">
        <v>0.17199999999999999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25" customHeight="1" x14ac:dyDescent="0.2">
      <c r="A59" s="324" t="s">
        <v>781</v>
      </c>
      <c r="B59" s="25"/>
      <c r="C59" s="327" t="s">
        <v>845</v>
      </c>
      <c r="D59" s="92">
        <v>5.0190000000000001</v>
      </c>
      <c r="E59" s="93">
        <v>0.65</v>
      </c>
      <c r="F59" s="94">
        <v>3.9E-2</v>
      </c>
      <c r="G59" s="319">
        <v>3.6</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25" customHeight="1" x14ac:dyDescent="0.2">
      <c r="A60" s="324" t="s">
        <v>664</v>
      </c>
      <c r="B60" s="25"/>
      <c r="C60" s="327" t="s">
        <v>2075</v>
      </c>
      <c r="D60" s="92">
        <v>5.0190000000000001</v>
      </c>
      <c r="E60" s="93">
        <v>0.65</v>
      </c>
      <c r="F60" s="94">
        <v>3.9E-2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25" customHeight="1" x14ac:dyDescent="0.2">
      <c r="A61" s="324" t="s">
        <v>788</v>
      </c>
      <c r="B61" s="18"/>
      <c r="C61" s="327" t="s">
        <v>846</v>
      </c>
      <c r="D61" s="92">
        <v>5.0830000000000002</v>
      </c>
      <c r="E61" s="93">
        <v>0.65800000000000003</v>
      </c>
      <c r="F61" s="94">
        <v>3.9E-2</v>
      </c>
      <c r="G61" s="319">
        <v>4.87</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25" customHeight="1" x14ac:dyDescent="0.2">
      <c r="A62" s="324" t="s">
        <v>795</v>
      </c>
      <c r="B62" s="25"/>
      <c r="C62" s="327" t="s">
        <v>846</v>
      </c>
      <c r="D62" s="92">
        <v>5.0830000000000002</v>
      </c>
      <c r="E62" s="93">
        <v>0.65800000000000003</v>
      </c>
      <c r="F62" s="94">
        <v>3.9E-2</v>
      </c>
      <c r="G62" s="319">
        <v>5.32</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25" customHeight="1" x14ac:dyDescent="0.2">
      <c r="A63" s="324" t="s">
        <v>802</v>
      </c>
      <c r="B63" s="18"/>
      <c r="C63" s="327" t="s">
        <v>846</v>
      </c>
      <c r="D63" s="92">
        <v>5.0830000000000002</v>
      </c>
      <c r="E63" s="93">
        <v>0.65800000000000003</v>
      </c>
      <c r="F63" s="94">
        <v>3.9E-2</v>
      </c>
      <c r="G63" s="319">
        <v>6.58</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25" customHeight="1" x14ac:dyDescent="0.2">
      <c r="A64" s="324" t="s">
        <v>809</v>
      </c>
      <c r="B64" s="18"/>
      <c r="C64" s="327" t="s">
        <v>846</v>
      </c>
      <c r="D64" s="92">
        <v>5.0830000000000002</v>
      </c>
      <c r="E64" s="93">
        <v>0.65800000000000003</v>
      </c>
      <c r="F64" s="94">
        <v>3.9E-2</v>
      </c>
      <c r="G64" s="319">
        <v>8.6300000000000008</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25" customHeight="1" x14ac:dyDescent="0.2">
      <c r="A65" s="324" t="s">
        <v>816</v>
      </c>
      <c r="B65" s="18"/>
      <c r="C65" s="327" t="s">
        <v>846</v>
      </c>
      <c r="D65" s="92">
        <v>5.0830000000000002</v>
      </c>
      <c r="E65" s="93">
        <v>0.65800000000000003</v>
      </c>
      <c r="F65" s="94">
        <v>3.9E-2</v>
      </c>
      <c r="G65" s="319">
        <v>14.79</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25" customHeight="1" x14ac:dyDescent="0.2">
      <c r="A66" s="324" t="s">
        <v>584</v>
      </c>
      <c r="B66" s="25"/>
      <c r="C66" s="327" t="s">
        <v>2076</v>
      </c>
      <c r="D66" s="92">
        <v>5.0830000000000002</v>
      </c>
      <c r="E66" s="93">
        <v>0.65800000000000003</v>
      </c>
      <c r="F66" s="94">
        <v>3.9E-2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25" customHeight="1" x14ac:dyDescent="0.2">
      <c r="A67" s="324" t="s">
        <v>665</v>
      </c>
      <c r="B67" s="18"/>
      <c r="C67" s="327">
        <v>0</v>
      </c>
      <c r="D67" s="92">
        <v>3.286</v>
      </c>
      <c r="E67" s="93">
        <v>0.40500000000000003</v>
      </c>
      <c r="F67" s="94">
        <v>2.3E-2</v>
      </c>
      <c r="G67" s="319">
        <v>5.76</v>
      </c>
      <c r="H67" s="319">
        <v>3.25</v>
      </c>
      <c r="I67" s="322">
        <v>3.25</v>
      </c>
      <c r="J67" s="26">
        <v>0.10299999999999999</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25" customHeight="1" x14ac:dyDescent="0.2">
      <c r="A68" s="324" t="s">
        <v>666</v>
      </c>
      <c r="B68" s="25"/>
      <c r="C68" s="327">
        <v>0</v>
      </c>
      <c r="D68" s="92">
        <v>3.286</v>
      </c>
      <c r="E68" s="93">
        <v>0.40500000000000003</v>
      </c>
      <c r="F68" s="94">
        <v>2.3E-2</v>
      </c>
      <c r="G68" s="319">
        <v>23.54</v>
      </c>
      <c r="H68" s="319">
        <v>3.25</v>
      </c>
      <c r="I68" s="322">
        <v>3.25</v>
      </c>
      <c r="J68" s="26">
        <v>0.10299999999999999</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25" customHeight="1" x14ac:dyDescent="0.2">
      <c r="A69" s="324" t="s">
        <v>667</v>
      </c>
      <c r="B69" s="18"/>
      <c r="C69" s="327">
        <v>0</v>
      </c>
      <c r="D69" s="92">
        <v>3.286</v>
      </c>
      <c r="E69" s="93">
        <v>0.40500000000000003</v>
      </c>
      <c r="F69" s="94">
        <v>2.3E-2</v>
      </c>
      <c r="G69" s="319">
        <v>35.950000000000003</v>
      </c>
      <c r="H69" s="319">
        <v>3.25</v>
      </c>
      <c r="I69" s="322">
        <v>3.25</v>
      </c>
      <c r="J69" s="26">
        <v>0.10299999999999999</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25" customHeight="1" x14ac:dyDescent="0.2">
      <c r="A70" s="324" t="s">
        <v>668</v>
      </c>
      <c r="B70" s="18"/>
      <c r="C70" s="327">
        <v>0</v>
      </c>
      <c r="D70" s="92">
        <v>3.286</v>
      </c>
      <c r="E70" s="93">
        <v>0.40500000000000003</v>
      </c>
      <c r="F70" s="94">
        <v>2.3E-2</v>
      </c>
      <c r="G70" s="319">
        <v>54.5</v>
      </c>
      <c r="H70" s="319">
        <v>3.25</v>
      </c>
      <c r="I70" s="322">
        <v>3.25</v>
      </c>
      <c r="J70" s="26">
        <v>0.10299999999999999</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25" customHeight="1" x14ac:dyDescent="0.2">
      <c r="A71" s="324" t="s">
        <v>669</v>
      </c>
      <c r="B71" s="18"/>
      <c r="C71" s="327">
        <v>0</v>
      </c>
      <c r="D71" s="92">
        <v>3.286</v>
      </c>
      <c r="E71" s="93">
        <v>0.40500000000000003</v>
      </c>
      <c r="F71" s="94">
        <v>2.3E-2</v>
      </c>
      <c r="G71" s="319">
        <v>101.28</v>
      </c>
      <c r="H71" s="319">
        <v>3.25</v>
      </c>
      <c r="I71" s="322">
        <v>3.25</v>
      </c>
      <c r="J71" s="26">
        <v>0.10299999999999999</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25" customHeight="1" x14ac:dyDescent="0.2">
      <c r="A72" s="324" t="s">
        <v>670</v>
      </c>
      <c r="B72" s="18"/>
      <c r="C72" s="327">
        <v>0</v>
      </c>
      <c r="D72" s="92">
        <v>3.1589999999999998</v>
      </c>
      <c r="E72" s="93">
        <v>0.34399999999999997</v>
      </c>
      <c r="F72" s="94">
        <v>1.6E-2</v>
      </c>
      <c r="G72" s="319">
        <v>6.53</v>
      </c>
      <c r="H72" s="319">
        <v>4.54</v>
      </c>
      <c r="I72" s="322">
        <v>4.54</v>
      </c>
      <c r="J72" s="26">
        <v>9.5000000000000001E-2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25" customHeight="1" x14ac:dyDescent="0.2">
      <c r="A73" s="324" t="s">
        <v>671</v>
      </c>
      <c r="B73" s="25"/>
      <c r="C73" s="327">
        <v>0</v>
      </c>
      <c r="D73" s="92">
        <v>3.1589999999999998</v>
      </c>
      <c r="E73" s="93">
        <v>0.34399999999999997</v>
      </c>
      <c r="F73" s="94">
        <v>1.6E-2</v>
      </c>
      <c r="G73" s="319">
        <v>32.36</v>
      </c>
      <c r="H73" s="319">
        <v>4.54</v>
      </c>
      <c r="I73" s="322">
        <v>4.54</v>
      </c>
      <c r="J73" s="26">
        <v>9.5000000000000001E-2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25" customHeight="1" x14ac:dyDescent="0.2">
      <c r="A74" s="324" t="s">
        <v>672</v>
      </c>
      <c r="B74" s="18"/>
      <c r="C74" s="327">
        <v>0</v>
      </c>
      <c r="D74" s="92">
        <v>3.1589999999999998</v>
      </c>
      <c r="E74" s="93">
        <v>0.34399999999999997</v>
      </c>
      <c r="F74" s="94">
        <v>1.6E-2</v>
      </c>
      <c r="G74" s="319">
        <v>50.38</v>
      </c>
      <c r="H74" s="319">
        <v>4.54</v>
      </c>
      <c r="I74" s="322">
        <v>4.54</v>
      </c>
      <c r="J74" s="26">
        <v>9.5000000000000001E-2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25" customHeight="1" x14ac:dyDescent="0.2">
      <c r="A75" s="324" t="s">
        <v>673</v>
      </c>
      <c r="B75" s="18"/>
      <c r="C75" s="327">
        <v>0</v>
      </c>
      <c r="D75" s="92">
        <v>3.1589999999999998</v>
      </c>
      <c r="E75" s="93">
        <v>0.34399999999999997</v>
      </c>
      <c r="F75" s="94">
        <v>1.6E-2</v>
      </c>
      <c r="G75" s="319">
        <v>77.34</v>
      </c>
      <c r="H75" s="319">
        <v>4.54</v>
      </c>
      <c r="I75" s="322">
        <v>4.54</v>
      </c>
      <c r="J75" s="26">
        <v>9.5000000000000001E-2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25" customHeight="1" x14ac:dyDescent="0.2">
      <c r="A76" s="324" t="s">
        <v>674</v>
      </c>
      <c r="B76" s="18"/>
      <c r="C76" s="327">
        <v>0</v>
      </c>
      <c r="D76" s="92">
        <v>3.1589999999999998</v>
      </c>
      <c r="E76" s="93">
        <v>0.34399999999999997</v>
      </c>
      <c r="F76" s="94">
        <v>1.6E-2</v>
      </c>
      <c r="G76" s="319">
        <v>145.29</v>
      </c>
      <c r="H76" s="319">
        <v>4.54</v>
      </c>
      <c r="I76" s="322">
        <v>4.54</v>
      </c>
      <c r="J76" s="26">
        <v>9.5000000000000001E-2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25" customHeight="1" x14ac:dyDescent="0.2">
      <c r="A77" s="324" t="s">
        <v>675</v>
      </c>
      <c r="B77" s="18"/>
      <c r="C77" s="327">
        <v>0</v>
      </c>
      <c r="D77" s="92">
        <v>1.9590000000000001</v>
      </c>
      <c r="E77" s="93">
        <v>0.17799999999999999</v>
      </c>
      <c r="F77" s="94">
        <v>6.0000000000000001E-3</v>
      </c>
      <c r="G77" s="319">
        <v>67.86</v>
      </c>
      <c r="H77" s="319">
        <v>5.92</v>
      </c>
      <c r="I77" s="322">
        <v>5.92</v>
      </c>
      <c r="J77" s="26">
        <v>5.2999999999999999E-2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25" customHeight="1" x14ac:dyDescent="0.2">
      <c r="A78" s="324" t="s">
        <v>676</v>
      </c>
      <c r="B78" s="25"/>
      <c r="C78" s="327">
        <v>0</v>
      </c>
      <c r="D78" s="92">
        <v>1.9590000000000001</v>
      </c>
      <c r="E78" s="93">
        <v>0.17799999999999999</v>
      </c>
      <c r="F78" s="94">
        <v>6.0000000000000001E-3</v>
      </c>
      <c r="G78" s="319">
        <v>249.03</v>
      </c>
      <c r="H78" s="319">
        <v>5.92</v>
      </c>
      <c r="I78" s="322">
        <v>5.92</v>
      </c>
      <c r="J78" s="26">
        <v>5.2999999999999999E-2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25" customHeight="1" x14ac:dyDescent="0.2">
      <c r="A79" s="324" t="s">
        <v>677</v>
      </c>
      <c r="B79" s="18"/>
      <c r="C79" s="327">
        <v>0</v>
      </c>
      <c r="D79" s="92">
        <v>1.9590000000000001</v>
      </c>
      <c r="E79" s="93">
        <v>0.17799999999999999</v>
      </c>
      <c r="F79" s="94">
        <v>6.0000000000000001E-3</v>
      </c>
      <c r="G79" s="319">
        <v>598.21</v>
      </c>
      <c r="H79" s="319">
        <v>5.92</v>
      </c>
      <c r="I79" s="322">
        <v>5.92</v>
      </c>
      <c r="J79" s="26">
        <v>5.2999999999999999E-2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25" customHeight="1" x14ac:dyDescent="0.2">
      <c r="A80" s="324" t="s">
        <v>678</v>
      </c>
      <c r="B80" s="18"/>
      <c r="C80" s="327">
        <v>0</v>
      </c>
      <c r="D80" s="92">
        <v>1.9590000000000001</v>
      </c>
      <c r="E80" s="93">
        <v>0.17799999999999999</v>
      </c>
      <c r="F80" s="94">
        <v>6.0000000000000001E-3</v>
      </c>
      <c r="G80" s="319">
        <v>1065.45</v>
      </c>
      <c r="H80" s="319">
        <v>5.92</v>
      </c>
      <c r="I80" s="322">
        <v>5.92</v>
      </c>
      <c r="J80" s="26">
        <v>5.2999999999999999E-2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25" customHeight="1" x14ac:dyDescent="0.2">
      <c r="A81" s="324" t="s">
        <v>679</v>
      </c>
      <c r="B81" s="18"/>
      <c r="C81" s="327">
        <v>0</v>
      </c>
      <c r="D81" s="92">
        <v>1.9590000000000001</v>
      </c>
      <c r="E81" s="93">
        <v>0.17799999999999999</v>
      </c>
      <c r="F81" s="94">
        <v>6.0000000000000001E-3</v>
      </c>
      <c r="G81" s="319">
        <v>2579.86</v>
      </c>
      <c r="H81" s="319">
        <v>5.92</v>
      </c>
      <c r="I81" s="322">
        <v>5.92</v>
      </c>
      <c r="J81" s="26">
        <v>5.2999999999999999E-2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25" customHeight="1" x14ac:dyDescent="0.2">
      <c r="A82" s="324" t="s">
        <v>585</v>
      </c>
      <c r="B82" s="25"/>
      <c r="C82" s="327" t="s">
        <v>847</v>
      </c>
      <c r="D82" s="95">
        <v>13.888999999999999</v>
      </c>
      <c r="E82" s="96">
        <v>1.2749999999999999</v>
      </c>
      <c r="F82" s="94">
        <v>0.51900000000000002</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25" customHeight="1" x14ac:dyDescent="0.2">
      <c r="A83" s="324" t="s">
        <v>617</v>
      </c>
      <c r="B83" s="25"/>
      <c r="C83" s="327">
        <v>0</v>
      </c>
      <c r="D83" s="92">
        <v>-4.7329999999999997</v>
      </c>
      <c r="E83" s="93">
        <v>-0.61199999999999999</v>
      </c>
      <c r="F83" s="94">
        <v>-3.6999999999999998E-2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25" customHeight="1" x14ac:dyDescent="0.2">
      <c r="A84" s="324" t="s">
        <v>618</v>
      </c>
      <c r="B84" s="323"/>
      <c r="C84" s="327">
        <v>0</v>
      </c>
      <c r="D84" s="92">
        <v>-4.4349999999999996</v>
      </c>
      <c r="E84" s="93">
        <v>-0.55600000000000005</v>
      </c>
      <c r="F84" s="94">
        <v>-3.2000000000000001E-2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25" customHeight="1" x14ac:dyDescent="0.2">
      <c r="A85" s="324" t="s">
        <v>619</v>
      </c>
      <c r="B85" s="25"/>
      <c r="C85" s="327">
        <v>0</v>
      </c>
      <c r="D85" s="92">
        <v>-4.7329999999999997</v>
      </c>
      <c r="E85" s="93">
        <v>-0.61199999999999999</v>
      </c>
      <c r="F85" s="94">
        <v>-3.6999999999999998E-2</v>
      </c>
      <c r="G85" s="319" t="s">
        <v>840</v>
      </c>
      <c r="H85" s="320" t="s">
        <v>840</v>
      </c>
      <c r="I85" s="321" t="s">
        <v>840</v>
      </c>
      <c r="J85" s="26">
        <v>0.17100000000000001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25" customHeight="1" x14ac:dyDescent="0.2">
      <c r="A86" s="324" t="s">
        <v>620</v>
      </c>
      <c r="B86" s="25"/>
      <c r="C86" s="327">
        <v>0</v>
      </c>
      <c r="D86" s="92">
        <v>-4.4349999999999996</v>
      </c>
      <c r="E86" s="93">
        <v>-0.55600000000000005</v>
      </c>
      <c r="F86" s="94">
        <v>-3.2000000000000001E-2</v>
      </c>
      <c r="G86" s="319" t="s">
        <v>840</v>
      </c>
      <c r="H86" s="320" t="s">
        <v>840</v>
      </c>
      <c r="I86" s="321" t="s">
        <v>840</v>
      </c>
      <c r="J86" s="26">
        <v>0.14299999999999999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25" customHeight="1" x14ac:dyDescent="0.2">
      <c r="A87" s="324" t="s">
        <v>621</v>
      </c>
      <c r="B87" s="25"/>
      <c r="C87" s="327">
        <v>0</v>
      </c>
      <c r="D87" s="92">
        <v>-3.9580000000000002</v>
      </c>
      <c r="E87" s="93">
        <v>-0.43099999999999999</v>
      </c>
      <c r="F87" s="94">
        <v>-2.1000000000000001E-2</v>
      </c>
      <c r="G87" s="319">
        <v>61.51</v>
      </c>
      <c r="H87" s="320" t="s">
        <v>840</v>
      </c>
      <c r="I87" s="321" t="s">
        <v>840</v>
      </c>
      <c r="J87" s="26">
        <v>0.17199999999999999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25" customHeight="1" x14ac:dyDescent="0.2">
      <c r="A88" s="324" t="s">
        <v>782</v>
      </c>
      <c r="B88" s="25"/>
      <c r="C88" s="327" t="s">
        <v>845</v>
      </c>
      <c r="D88" s="92">
        <v>4.3559999999999999</v>
      </c>
      <c r="E88" s="93">
        <v>0.56399999999999995</v>
      </c>
      <c r="F88" s="94">
        <v>3.4000000000000002E-2</v>
      </c>
      <c r="G88" s="319">
        <v>3.12</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25" customHeight="1" x14ac:dyDescent="0.2">
      <c r="A89" s="324" t="s">
        <v>680</v>
      </c>
      <c r="B89" s="25"/>
      <c r="C89" s="327" t="s">
        <v>2075</v>
      </c>
      <c r="D89" s="92">
        <v>4.3559999999999999</v>
      </c>
      <c r="E89" s="93">
        <v>0.56399999999999995</v>
      </c>
      <c r="F89" s="94">
        <v>3.4000000000000002E-2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25" customHeight="1" x14ac:dyDescent="0.2">
      <c r="A90" s="324" t="s">
        <v>789</v>
      </c>
      <c r="B90" s="18"/>
      <c r="C90" s="327" t="s">
        <v>846</v>
      </c>
      <c r="D90" s="92">
        <v>4.4109999999999996</v>
      </c>
      <c r="E90" s="93">
        <v>0.57099999999999995</v>
      </c>
      <c r="F90" s="94">
        <v>3.4000000000000002E-2</v>
      </c>
      <c r="G90" s="319">
        <v>4.2300000000000004</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25" customHeight="1" x14ac:dyDescent="0.2">
      <c r="A91" s="324" t="s">
        <v>796</v>
      </c>
      <c r="B91" s="25"/>
      <c r="C91" s="327" t="s">
        <v>846</v>
      </c>
      <c r="D91" s="92">
        <v>4.4109999999999996</v>
      </c>
      <c r="E91" s="93">
        <v>0.57099999999999995</v>
      </c>
      <c r="F91" s="94">
        <v>3.4000000000000002E-2</v>
      </c>
      <c r="G91" s="319">
        <v>4.62</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25" customHeight="1" x14ac:dyDescent="0.2">
      <c r="A92" s="324" t="s">
        <v>803</v>
      </c>
      <c r="B92" s="18"/>
      <c r="C92" s="327" t="s">
        <v>846</v>
      </c>
      <c r="D92" s="92">
        <v>4.4109999999999996</v>
      </c>
      <c r="E92" s="93">
        <v>0.57099999999999995</v>
      </c>
      <c r="F92" s="94">
        <v>3.4000000000000002E-2</v>
      </c>
      <c r="G92" s="319">
        <v>5.71</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25" customHeight="1" x14ac:dyDescent="0.2">
      <c r="A93" s="324" t="s">
        <v>810</v>
      </c>
      <c r="B93" s="18"/>
      <c r="C93" s="327" t="s">
        <v>846</v>
      </c>
      <c r="D93" s="92">
        <v>4.4109999999999996</v>
      </c>
      <c r="E93" s="93">
        <v>0.57099999999999995</v>
      </c>
      <c r="F93" s="94">
        <v>3.4000000000000002E-2</v>
      </c>
      <c r="G93" s="319">
        <v>7.49</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25" customHeight="1" x14ac:dyDescent="0.2">
      <c r="A94" s="324" t="s">
        <v>817</v>
      </c>
      <c r="B94" s="18"/>
      <c r="C94" s="327" t="s">
        <v>846</v>
      </c>
      <c r="D94" s="92">
        <v>4.4109999999999996</v>
      </c>
      <c r="E94" s="93">
        <v>0.57099999999999995</v>
      </c>
      <c r="F94" s="94">
        <v>3.4000000000000002E-2</v>
      </c>
      <c r="G94" s="319">
        <v>12.84</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25" customHeight="1" x14ac:dyDescent="0.2">
      <c r="A95" s="324" t="s">
        <v>586</v>
      </c>
      <c r="B95" s="25"/>
      <c r="C95" s="327" t="s">
        <v>2076</v>
      </c>
      <c r="D95" s="92">
        <v>4.4109999999999996</v>
      </c>
      <c r="E95" s="93">
        <v>0.57099999999999995</v>
      </c>
      <c r="F95" s="94">
        <v>3.4000000000000002E-2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25" customHeight="1" x14ac:dyDescent="0.2">
      <c r="A96" s="324" t="s">
        <v>681</v>
      </c>
      <c r="B96" s="18"/>
      <c r="C96" s="327">
        <v>0</v>
      </c>
      <c r="D96" s="92">
        <v>2.8519999999999999</v>
      </c>
      <c r="E96" s="93">
        <v>0.35099999999999998</v>
      </c>
      <c r="F96" s="94">
        <v>0.02</v>
      </c>
      <c r="G96" s="319">
        <v>5</v>
      </c>
      <c r="H96" s="319">
        <v>2.82</v>
      </c>
      <c r="I96" s="322">
        <v>2.82</v>
      </c>
      <c r="J96" s="26">
        <v>8.8999999999999996E-2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25" customHeight="1" x14ac:dyDescent="0.2">
      <c r="A97" s="324" t="s">
        <v>682</v>
      </c>
      <c r="B97" s="25"/>
      <c r="C97" s="327">
        <v>0</v>
      </c>
      <c r="D97" s="92">
        <v>2.8519999999999999</v>
      </c>
      <c r="E97" s="93">
        <v>0.35099999999999998</v>
      </c>
      <c r="F97" s="94">
        <v>0.02</v>
      </c>
      <c r="G97" s="319">
        <v>20.43</v>
      </c>
      <c r="H97" s="319">
        <v>2.82</v>
      </c>
      <c r="I97" s="322">
        <v>2.82</v>
      </c>
      <c r="J97" s="26">
        <v>8.8999999999999996E-2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25" customHeight="1" x14ac:dyDescent="0.2">
      <c r="A98" s="324" t="s">
        <v>683</v>
      </c>
      <c r="B98" s="18"/>
      <c r="C98" s="327">
        <v>0</v>
      </c>
      <c r="D98" s="92">
        <v>2.8519999999999999</v>
      </c>
      <c r="E98" s="93">
        <v>0.35099999999999998</v>
      </c>
      <c r="F98" s="94">
        <v>0.02</v>
      </c>
      <c r="G98" s="319">
        <v>31.2</v>
      </c>
      <c r="H98" s="319">
        <v>2.82</v>
      </c>
      <c r="I98" s="322">
        <v>2.82</v>
      </c>
      <c r="J98" s="26">
        <v>8.8999999999999996E-2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25" customHeight="1" x14ac:dyDescent="0.2">
      <c r="A99" s="324" t="s">
        <v>684</v>
      </c>
      <c r="B99" s="18"/>
      <c r="C99" s="327">
        <v>0</v>
      </c>
      <c r="D99" s="92">
        <v>2.8519999999999999</v>
      </c>
      <c r="E99" s="93">
        <v>0.35099999999999998</v>
      </c>
      <c r="F99" s="94">
        <v>0.02</v>
      </c>
      <c r="G99" s="319">
        <v>47.3</v>
      </c>
      <c r="H99" s="319">
        <v>2.82</v>
      </c>
      <c r="I99" s="322">
        <v>2.82</v>
      </c>
      <c r="J99" s="26">
        <v>8.8999999999999996E-2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25" customHeight="1" x14ac:dyDescent="0.2">
      <c r="A100" s="324" t="s">
        <v>685</v>
      </c>
      <c r="B100" s="18"/>
      <c r="C100" s="327">
        <v>0</v>
      </c>
      <c r="D100" s="92">
        <v>2.8519999999999999</v>
      </c>
      <c r="E100" s="93">
        <v>0.35099999999999998</v>
      </c>
      <c r="F100" s="94">
        <v>0.02</v>
      </c>
      <c r="G100" s="319">
        <v>87.9</v>
      </c>
      <c r="H100" s="319">
        <v>2.82</v>
      </c>
      <c r="I100" s="322">
        <v>2.82</v>
      </c>
      <c r="J100" s="26">
        <v>8.8999999999999996E-2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25" customHeight="1" x14ac:dyDescent="0.2">
      <c r="A101" s="324" t="s">
        <v>686</v>
      </c>
      <c r="B101" s="18"/>
      <c r="C101" s="327">
        <v>0</v>
      </c>
      <c r="D101" s="92">
        <v>2.742</v>
      </c>
      <c r="E101" s="93">
        <v>0.29899999999999999</v>
      </c>
      <c r="F101" s="94">
        <v>1.4E-2</v>
      </c>
      <c r="G101" s="319">
        <v>5.67</v>
      </c>
      <c r="H101" s="319">
        <v>3.94</v>
      </c>
      <c r="I101" s="322">
        <v>3.94</v>
      </c>
      <c r="J101" s="26">
        <v>8.3000000000000004E-2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25" customHeight="1" x14ac:dyDescent="0.2">
      <c r="A102" s="324" t="s">
        <v>687</v>
      </c>
      <c r="B102" s="25"/>
      <c r="C102" s="327">
        <v>0</v>
      </c>
      <c r="D102" s="92">
        <v>2.742</v>
      </c>
      <c r="E102" s="93">
        <v>0.29899999999999999</v>
      </c>
      <c r="F102" s="94">
        <v>1.4E-2</v>
      </c>
      <c r="G102" s="319">
        <v>28.09</v>
      </c>
      <c r="H102" s="319">
        <v>3.94</v>
      </c>
      <c r="I102" s="322">
        <v>3.94</v>
      </c>
      <c r="J102" s="26">
        <v>8.3000000000000004E-2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25" customHeight="1" x14ac:dyDescent="0.2">
      <c r="A103" s="324" t="s">
        <v>688</v>
      </c>
      <c r="B103" s="18"/>
      <c r="C103" s="327">
        <v>0</v>
      </c>
      <c r="D103" s="92">
        <v>2.742</v>
      </c>
      <c r="E103" s="93">
        <v>0.29899999999999999</v>
      </c>
      <c r="F103" s="94">
        <v>1.4E-2</v>
      </c>
      <c r="G103" s="319">
        <v>43.73</v>
      </c>
      <c r="H103" s="319">
        <v>3.94</v>
      </c>
      <c r="I103" s="322">
        <v>3.94</v>
      </c>
      <c r="J103" s="26">
        <v>8.3000000000000004E-2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25" customHeight="1" x14ac:dyDescent="0.2">
      <c r="A104" s="324" t="s">
        <v>689</v>
      </c>
      <c r="B104" s="18"/>
      <c r="C104" s="327">
        <v>0</v>
      </c>
      <c r="D104" s="92">
        <v>2.742</v>
      </c>
      <c r="E104" s="93">
        <v>0.29899999999999999</v>
      </c>
      <c r="F104" s="94">
        <v>1.4E-2</v>
      </c>
      <c r="G104" s="319">
        <v>67.12</v>
      </c>
      <c r="H104" s="319">
        <v>3.94</v>
      </c>
      <c r="I104" s="322">
        <v>3.94</v>
      </c>
      <c r="J104" s="26">
        <v>8.3000000000000004E-2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25" customHeight="1" x14ac:dyDescent="0.2">
      <c r="A105" s="324" t="s">
        <v>690</v>
      </c>
      <c r="B105" s="18"/>
      <c r="C105" s="327">
        <v>0</v>
      </c>
      <c r="D105" s="92">
        <v>2.742</v>
      </c>
      <c r="E105" s="93">
        <v>0.29899999999999999</v>
      </c>
      <c r="F105" s="94">
        <v>1.4E-2</v>
      </c>
      <c r="G105" s="319">
        <v>126.1</v>
      </c>
      <c r="H105" s="319">
        <v>3.94</v>
      </c>
      <c r="I105" s="322">
        <v>3.94</v>
      </c>
      <c r="J105" s="26">
        <v>8.3000000000000004E-2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25" customHeight="1" x14ac:dyDescent="0.2">
      <c r="A106" s="324" t="s">
        <v>691</v>
      </c>
      <c r="B106" s="18"/>
      <c r="C106" s="327">
        <v>0</v>
      </c>
      <c r="D106" s="92">
        <v>1.7</v>
      </c>
      <c r="E106" s="93">
        <v>0.154</v>
      </c>
      <c r="F106" s="94">
        <v>5.0000000000000001E-3</v>
      </c>
      <c r="G106" s="319">
        <v>58.9</v>
      </c>
      <c r="H106" s="319">
        <v>5.14</v>
      </c>
      <c r="I106" s="322">
        <v>5.14</v>
      </c>
      <c r="J106" s="26">
        <v>4.5999999999999999E-2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25" customHeight="1" x14ac:dyDescent="0.2">
      <c r="A107" s="324" t="s">
        <v>692</v>
      </c>
      <c r="B107" s="25"/>
      <c r="C107" s="327">
        <v>0</v>
      </c>
      <c r="D107" s="92">
        <v>1.7</v>
      </c>
      <c r="E107" s="93">
        <v>0.154</v>
      </c>
      <c r="F107" s="94">
        <v>5.0000000000000001E-3</v>
      </c>
      <c r="G107" s="319">
        <v>216.14</v>
      </c>
      <c r="H107" s="319">
        <v>5.14</v>
      </c>
      <c r="I107" s="322">
        <v>5.14</v>
      </c>
      <c r="J107" s="26">
        <v>4.5999999999999999E-2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25" customHeight="1" x14ac:dyDescent="0.2">
      <c r="A108" s="324" t="s">
        <v>693</v>
      </c>
      <c r="B108" s="18"/>
      <c r="C108" s="327">
        <v>0</v>
      </c>
      <c r="D108" s="92">
        <v>1.7</v>
      </c>
      <c r="E108" s="93">
        <v>0.154</v>
      </c>
      <c r="F108" s="94">
        <v>5.0000000000000001E-3</v>
      </c>
      <c r="G108" s="319">
        <v>519.20000000000005</v>
      </c>
      <c r="H108" s="319">
        <v>5.14</v>
      </c>
      <c r="I108" s="322">
        <v>5.14</v>
      </c>
      <c r="J108" s="26">
        <v>4.5999999999999999E-2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25" customHeight="1" x14ac:dyDescent="0.2">
      <c r="A109" s="324" t="s">
        <v>694</v>
      </c>
      <c r="B109" s="18"/>
      <c r="C109" s="327">
        <v>0</v>
      </c>
      <c r="D109" s="92">
        <v>1.7</v>
      </c>
      <c r="E109" s="93">
        <v>0.154</v>
      </c>
      <c r="F109" s="94">
        <v>5.0000000000000001E-3</v>
      </c>
      <c r="G109" s="319">
        <v>924.72</v>
      </c>
      <c r="H109" s="319">
        <v>5.14</v>
      </c>
      <c r="I109" s="322">
        <v>5.14</v>
      </c>
      <c r="J109" s="26">
        <v>4.5999999999999999E-2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25" customHeight="1" x14ac:dyDescent="0.2">
      <c r="A110" s="324" t="s">
        <v>695</v>
      </c>
      <c r="B110" s="18"/>
      <c r="C110" s="327">
        <v>0</v>
      </c>
      <c r="D110" s="92">
        <v>1.7</v>
      </c>
      <c r="E110" s="93">
        <v>0.154</v>
      </c>
      <c r="F110" s="94">
        <v>5.0000000000000001E-3</v>
      </c>
      <c r="G110" s="319">
        <v>2239.1</v>
      </c>
      <c r="H110" s="319">
        <v>5.14</v>
      </c>
      <c r="I110" s="322">
        <v>5.14</v>
      </c>
      <c r="J110" s="26">
        <v>4.5999999999999999E-2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25" customHeight="1" x14ac:dyDescent="0.2">
      <c r="A111" s="324" t="s">
        <v>587</v>
      </c>
      <c r="B111" s="25"/>
      <c r="C111" s="327" t="s">
        <v>847</v>
      </c>
      <c r="D111" s="95">
        <v>12.054</v>
      </c>
      <c r="E111" s="96">
        <v>1.1060000000000001</v>
      </c>
      <c r="F111" s="94">
        <v>0.45100000000000001</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25" customHeight="1" x14ac:dyDescent="0.2">
      <c r="A112" s="324" t="s">
        <v>622</v>
      </c>
      <c r="B112" s="25"/>
      <c r="C112" s="327">
        <v>0</v>
      </c>
      <c r="D112" s="92">
        <v>-4.1079999999999997</v>
      </c>
      <c r="E112" s="93">
        <v>-0.53200000000000003</v>
      </c>
      <c r="F112" s="94">
        <v>-3.2000000000000001E-2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25" customHeight="1" x14ac:dyDescent="0.2">
      <c r="A113" s="324" t="s">
        <v>623</v>
      </c>
      <c r="B113" s="25"/>
      <c r="C113" s="327">
        <v>0</v>
      </c>
      <c r="D113" s="92">
        <v>-3.8490000000000002</v>
      </c>
      <c r="E113" s="93">
        <v>-0.48299999999999998</v>
      </c>
      <c r="F113" s="94">
        <v>-2.8000000000000001E-2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25" customHeight="1" x14ac:dyDescent="0.2">
      <c r="A114" s="324" t="s">
        <v>624</v>
      </c>
      <c r="B114" s="25"/>
      <c r="C114" s="327">
        <v>0</v>
      </c>
      <c r="D114" s="92">
        <v>-4.1079999999999997</v>
      </c>
      <c r="E114" s="93">
        <v>-0.53200000000000003</v>
      </c>
      <c r="F114" s="94">
        <v>-3.2000000000000001E-2</v>
      </c>
      <c r="G114" s="319" t="s">
        <v>840</v>
      </c>
      <c r="H114" s="320" t="s">
        <v>840</v>
      </c>
      <c r="I114" s="321" t="s">
        <v>840</v>
      </c>
      <c r="J114" s="26">
        <v>0.14899999999999999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25" customHeight="1" x14ac:dyDescent="0.2">
      <c r="A115" s="324" t="s">
        <v>625</v>
      </c>
      <c r="B115" s="25"/>
      <c r="C115" s="327">
        <v>0</v>
      </c>
      <c r="D115" s="92">
        <v>-3.8490000000000002</v>
      </c>
      <c r="E115" s="93">
        <v>-0.48299999999999998</v>
      </c>
      <c r="F115" s="94">
        <v>-2.8000000000000001E-2</v>
      </c>
      <c r="G115" s="319" t="s">
        <v>840</v>
      </c>
      <c r="H115" s="320" t="s">
        <v>840</v>
      </c>
      <c r="I115" s="321" t="s">
        <v>840</v>
      </c>
      <c r="J115" s="26">
        <v>0.124</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25" customHeight="1" x14ac:dyDescent="0.2">
      <c r="A116" s="324" t="s">
        <v>626</v>
      </c>
      <c r="B116" s="25"/>
      <c r="C116" s="327">
        <v>0</v>
      </c>
      <c r="D116" s="92">
        <v>-3.4350000000000001</v>
      </c>
      <c r="E116" s="93">
        <v>-0.374</v>
      </c>
      <c r="F116" s="94">
        <v>-1.7999999999999999E-2</v>
      </c>
      <c r="G116" s="319">
        <v>53.38</v>
      </c>
      <c r="H116" s="320" t="s">
        <v>840</v>
      </c>
      <c r="I116" s="321" t="s">
        <v>840</v>
      </c>
      <c r="J116" s="26">
        <v>0.15</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25" customHeight="1" x14ac:dyDescent="0.2">
      <c r="A117" s="324" t="s">
        <v>783</v>
      </c>
      <c r="B117" s="25"/>
      <c r="C117" s="327" t="s">
        <v>845</v>
      </c>
      <c r="D117" s="92">
        <v>4.0679999999999996</v>
      </c>
      <c r="E117" s="93">
        <v>0.52700000000000002</v>
      </c>
      <c r="F117" s="94">
        <v>3.2000000000000001E-2</v>
      </c>
      <c r="G117" s="319">
        <v>2.92</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25" customHeight="1" x14ac:dyDescent="0.2">
      <c r="A118" s="324" t="s">
        <v>696</v>
      </c>
      <c r="B118" s="25"/>
      <c r="C118" s="327" t="s">
        <v>2075</v>
      </c>
      <c r="D118" s="92">
        <v>4.0679999999999996</v>
      </c>
      <c r="E118" s="93">
        <v>0.52700000000000002</v>
      </c>
      <c r="F118" s="94">
        <v>3.2000000000000001E-2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25" customHeight="1" x14ac:dyDescent="0.2">
      <c r="A119" s="324" t="s">
        <v>790</v>
      </c>
      <c r="B119" s="18"/>
      <c r="C119" s="327" t="s">
        <v>846</v>
      </c>
      <c r="D119" s="92">
        <v>4.12</v>
      </c>
      <c r="E119" s="93">
        <v>0.53300000000000003</v>
      </c>
      <c r="F119" s="94">
        <v>3.2000000000000001E-2</v>
      </c>
      <c r="G119" s="319">
        <v>3.95</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25" customHeight="1" x14ac:dyDescent="0.2">
      <c r="A120" s="324" t="s">
        <v>797</v>
      </c>
      <c r="B120" s="25"/>
      <c r="C120" s="327" t="s">
        <v>846</v>
      </c>
      <c r="D120" s="92">
        <v>4.12</v>
      </c>
      <c r="E120" s="93">
        <v>0.53300000000000003</v>
      </c>
      <c r="F120" s="94">
        <v>3.2000000000000001E-2</v>
      </c>
      <c r="G120" s="319">
        <v>4.3099999999999996</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25" customHeight="1" x14ac:dyDescent="0.2">
      <c r="A121" s="324" t="s">
        <v>804</v>
      </c>
      <c r="B121" s="18"/>
      <c r="C121" s="327" t="s">
        <v>846</v>
      </c>
      <c r="D121" s="92">
        <v>4.12</v>
      </c>
      <c r="E121" s="93">
        <v>0.53300000000000003</v>
      </c>
      <c r="F121" s="94">
        <v>3.2000000000000001E-2</v>
      </c>
      <c r="G121" s="319">
        <v>5.33</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25" customHeight="1" x14ac:dyDescent="0.2">
      <c r="A122" s="324" t="s">
        <v>811</v>
      </c>
      <c r="B122" s="18"/>
      <c r="C122" s="327" t="s">
        <v>846</v>
      </c>
      <c r="D122" s="92">
        <v>4.12</v>
      </c>
      <c r="E122" s="93">
        <v>0.53300000000000003</v>
      </c>
      <c r="F122" s="94">
        <v>3.2000000000000001E-2</v>
      </c>
      <c r="G122" s="319">
        <v>7</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25" customHeight="1" x14ac:dyDescent="0.2">
      <c r="A123" s="324" t="s">
        <v>818</v>
      </c>
      <c r="B123" s="18"/>
      <c r="C123" s="327" t="s">
        <v>846</v>
      </c>
      <c r="D123" s="92">
        <v>4.12</v>
      </c>
      <c r="E123" s="93">
        <v>0.53300000000000003</v>
      </c>
      <c r="F123" s="94">
        <v>3.2000000000000001E-2</v>
      </c>
      <c r="G123" s="319">
        <v>11.99</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25" customHeight="1" x14ac:dyDescent="0.2">
      <c r="A124" s="324" t="s">
        <v>588</v>
      </c>
      <c r="B124" s="25"/>
      <c r="C124" s="327" t="s">
        <v>2076</v>
      </c>
      <c r="D124" s="92">
        <v>4.12</v>
      </c>
      <c r="E124" s="93">
        <v>0.53300000000000003</v>
      </c>
      <c r="F124" s="94">
        <v>3.2000000000000001E-2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25" customHeight="1" x14ac:dyDescent="0.2">
      <c r="A125" s="324" t="s">
        <v>697</v>
      </c>
      <c r="B125" s="18"/>
      <c r="C125" s="327">
        <v>0</v>
      </c>
      <c r="D125" s="92">
        <v>2.6629999999999998</v>
      </c>
      <c r="E125" s="93">
        <v>0.32800000000000001</v>
      </c>
      <c r="F125" s="94">
        <v>1.9E-2</v>
      </c>
      <c r="G125" s="319">
        <v>4.67</v>
      </c>
      <c r="H125" s="319">
        <v>2.63</v>
      </c>
      <c r="I125" s="322">
        <v>2.63</v>
      </c>
      <c r="J125" s="26">
        <v>8.3000000000000004E-2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25" customHeight="1" x14ac:dyDescent="0.2">
      <c r="A126" s="324" t="s">
        <v>698</v>
      </c>
      <c r="B126" s="25"/>
      <c r="C126" s="327">
        <v>0</v>
      </c>
      <c r="D126" s="92">
        <v>2.6629999999999998</v>
      </c>
      <c r="E126" s="93">
        <v>0.32800000000000001</v>
      </c>
      <c r="F126" s="94">
        <v>1.9E-2</v>
      </c>
      <c r="G126" s="319">
        <v>19.079999999999998</v>
      </c>
      <c r="H126" s="319">
        <v>2.63</v>
      </c>
      <c r="I126" s="322">
        <v>2.63</v>
      </c>
      <c r="J126" s="26">
        <v>8.3000000000000004E-2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25" customHeight="1" x14ac:dyDescent="0.2">
      <c r="A127" s="324" t="s">
        <v>699</v>
      </c>
      <c r="B127" s="18"/>
      <c r="C127" s="327">
        <v>0</v>
      </c>
      <c r="D127" s="92">
        <v>2.6629999999999998</v>
      </c>
      <c r="E127" s="93">
        <v>0.32800000000000001</v>
      </c>
      <c r="F127" s="94">
        <v>1.9E-2</v>
      </c>
      <c r="G127" s="319">
        <v>29.14</v>
      </c>
      <c r="H127" s="319">
        <v>2.63</v>
      </c>
      <c r="I127" s="322">
        <v>2.63</v>
      </c>
      <c r="J127" s="26">
        <v>8.3000000000000004E-2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25" customHeight="1" x14ac:dyDescent="0.2">
      <c r="A128" s="324" t="s">
        <v>700</v>
      </c>
      <c r="B128" s="18"/>
      <c r="C128" s="327">
        <v>0</v>
      </c>
      <c r="D128" s="92">
        <v>2.6629999999999998</v>
      </c>
      <c r="E128" s="93">
        <v>0.32800000000000001</v>
      </c>
      <c r="F128" s="94">
        <v>1.9E-2</v>
      </c>
      <c r="G128" s="319">
        <v>44.18</v>
      </c>
      <c r="H128" s="319">
        <v>2.63</v>
      </c>
      <c r="I128" s="322">
        <v>2.63</v>
      </c>
      <c r="J128" s="26">
        <v>8.3000000000000004E-2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25" customHeight="1" x14ac:dyDescent="0.2">
      <c r="A129" s="324" t="s">
        <v>701</v>
      </c>
      <c r="B129" s="18"/>
      <c r="C129" s="327">
        <v>0</v>
      </c>
      <c r="D129" s="92">
        <v>2.6629999999999998</v>
      </c>
      <c r="E129" s="93">
        <v>0.32800000000000001</v>
      </c>
      <c r="F129" s="94">
        <v>1.9E-2</v>
      </c>
      <c r="G129" s="319">
        <v>82.09</v>
      </c>
      <c r="H129" s="319">
        <v>2.63</v>
      </c>
      <c r="I129" s="322">
        <v>2.63</v>
      </c>
      <c r="J129" s="26">
        <v>8.3000000000000004E-2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25" customHeight="1" x14ac:dyDescent="0.2">
      <c r="A130" s="324" t="s">
        <v>702</v>
      </c>
      <c r="B130" s="18"/>
      <c r="C130" s="327">
        <v>0</v>
      </c>
      <c r="D130" s="92">
        <v>2.5609999999999999</v>
      </c>
      <c r="E130" s="93">
        <v>0.27900000000000003</v>
      </c>
      <c r="F130" s="94">
        <v>1.2999999999999999E-2</v>
      </c>
      <c r="G130" s="319">
        <v>5.3</v>
      </c>
      <c r="H130" s="319">
        <v>3.68</v>
      </c>
      <c r="I130" s="322">
        <v>3.68</v>
      </c>
      <c r="J130" s="26">
        <v>7.6999999999999999E-2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25" customHeight="1" x14ac:dyDescent="0.2">
      <c r="A131" s="324" t="s">
        <v>703</v>
      </c>
      <c r="B131" s="25"/>
      <c r="C131" s="327">
        <v>0</v>
      </c>
      <c r="D131" s="92">
        <v>2.5609999999999999</v>
      </c>
      <c r="E131" s="93">
        <v>0.27900000000000003</v>
      </c>
      <c r="F131" s="94">
        <v>1.2999999999999999E-2</v>
      </c>
      <c r="G131" s="319">
        <v>26.23</v>
      </c>
      <c r="H131" s="319">
        <v>3.68</v>
      </c>
      <c r="I131" s="322">
        <v>3.68</v>
      </c>
      <c r="J131" s="26">
        <v>7.6999999999999999E-2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25" customHeight="1" x14ac:dyDescent="0.2">
      <c r="A132" s="324" t="s">
        <v>704</v>
      </c>
      <c r="B132" s="18"/>
      <c r="C132" s="327">
        <v>0</v>
      </c>
      <c r="D132" s="92">
        <v>2.5609999999999999</v>
      </c>
      <c r="E132" s="93">
        <v>0.27900000000000003</v>
      </c>
      <c r="F132" s="94">
        <v>1.2999999999999999E-2</v>
      </c>
      <c r="G132" s="319">
        <v>40.840000000000003</v>
      </c>
      <c r="H132" s="319">
        <v>3.68</v>
      </c>
      <c r="I132" s="322">
        <v>3.68</v>
      </c>
      <c r="J132" s="26">
        <v>7.6999999999999999E-2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25" customHeight="1" x14ac:dyDescent="0.2">
      <c r="A133" s="324" t="s">
        <v>705</v>
      </c>
      <c r="B133" s="18"/>
      <c r="C133" s="327">
        <v>0</v>
      </c>
      <c r="D133" s="92">
        <v>2.5609999999999999</v>
      </c>
      <c r="E133" s="93">
        <v>0.27900000000000003</v>
      </c>
      <c r="F133" s="94">
        <v>1.2999999999999999E-2</v>
      </c>
      <c r="G133" s="319">
        <v>62.69</v>
      </c>
      <c r="H133" s="319">
        <v>3.68</v>
      </c>
      <c r="I133" s="322">
        <v>3.68</v>
      </c>
      <c r="J133" s="26">
        <v>7.6999999999999999E-2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25" customHeight="1" x14ac:dyDescent="0.2">
      <c r="A134" s="324" t="s">
        <v>706</v>
      </c>
      <c r="B134" s="18"/>
      <c r="C134" s="327">
        <v>0</v>
      </c>
      <c r="D134" s="92">
        <v>2.5609999999999999</v>
      </c>
      <c r="E134" s="93">
        <v>0.27900000000000003</v>
      </c>
      <c r="F134" s="94">
        <v>1.2999999999999999E-2</v>
      </c>
      <c r="G134" s="319">
        <v>117.77</v>
      </c>
      <c r="H134" s="319">
        <v>3.68</v>
      </c>
      <c r="I134" s="322">
        <v>3.68</v>
      </c>
      <c r="J134" s="26">
        <v>7.6999999999999999E-2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25" customHeight="1" x14ac:dyDescent="0.2">
      <c r="A135" s="324" t="s">
        <v>707</v>
      </c>
      <c r="B135" s="18"/>
      <c r="C135" s="327">
        <v>0</v>
      </c>
      <c r="D135" s="92">
        <v>1.5880000000000001</v>
      </c>
      <c r="E135" s="93">
        <v>0.14399999999999999</v>
      </c>
      <c r="F135" s="94">
        <v>5.0000000000000001E-3</v>
      </c>
      <c r="G135" s="319">
        <v>55.01</v>
      </c>
      <c r="H135" s="319">
        <v>4.8</v>
      </c>
      <c r="I135" s="322">
        <v>4.8</v>
      </c>
      <c r="J135" s="26">
        <v>4.2999999999999997E-2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25" customHeight="1" x14ac:dyDescent="0.2">
      <c r="A136" s="324" t="s">
        <v>708</v>
      </c>
      <c r="B136" s="25"/>
      <c r="C136" s="327">
        <v>0</v>
      </c>
      <c r="D136" s="92">
        <v>1.5880000000000001</v>
      </c>
      <c r="E136" s="93">
        <v>0.14399999999999999</v>
      </c>
      <c r="F136" s="94">
        <v>5.0000000000000001E-3</v>
      </c>
      <c r="G136" s="319">
        <v>201.85</v>
      </c>
      <c r="H136" s="319">
        <v>4.8</v>
      </c>
      <c r="I136" s="322">
        <v>4.8</v>
      </c>
      <c r="J136" s="26">
        <v>4.2999999999999997E-2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25" customHeight="1" x14ac:dyDescent="0.2">
      <c r="A137" s="324" t="s">
        <v>709</v>
      </c>
      <c r="B137" s="18"/>
      <c r="C137" s="327">
        <v>0</v>
      </c>
      <c r="D137" s="92">
        <v>1.5880000000000001</v>
      </c>
      <c r="E137" s="93">
        <v>0.14399999999999999</v>
      </c>
      <c r="F137" s="94">
        <v>5.0000000000000001E-3</v>
      </c>
      <c r="G137" s="319">
        <v>484.88</v>
      </c>
      <c r="H137" s="319">
        <v>4.8</v>
      </c>
      <c r="I137" s="322">
        <v>4.8</v>
      </c>
      <c r="J137" s="26">
        <v>4.2999999999999997E-2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25" customHeight="1" x14ac:dyDescent="0.2">
      <c r="A138" s="324" t="s">
        <v>710</v>
      </c>
      <c r="B138" s="18"/>
      <c r="C138" s="327">
        <v>0</v>
      </c>
      <c r="D138" s="92">
        <v>1.5880000000000001</v>
      </c>
      <c r="E138" s="93">
        <v>0.14399999999999999</v>
      </c>
      <c r="F138" s="94">
        <v>5.0000000000000001E-3</v>
      </c>
      <c r="G138" s="319">
        <v>863.61</v>
      </c>
      <c r="H138" s="319">
        <v>4.8</v>
      </c>
      <c r="I138" s="322">
        <v>4.8</v>
      </c>
      <c r="J138" s="26">
        <v>4.2999999999999997E-2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25" customHeight="1" x14ac:dyDescent="0.2">
      <c r="A139" s="324" t="s">
        <v>711</v>
      </c>
      <c r="B139" s="18"/>
      <c r="C139" s="327">
        <v>0</v>
      </c>
      <c r="D139" s="92">
        <v>1.5880000000000001</v>
      </c>
      <c r="E139" s="93">
        <v>0.14399999999999999</v>
      </c>
      <c r="F139" s="94">
        <v>5.0000000000000001E-3</v>
      </c>
      <c r="G139" s="319">
        <v>2091.12</v>
      </c>
      <c r="H139" s="319">
        <v>4.8</v>
      </c>
      <c r="I139" s="322">
        <v>4.8</v>
      </c>
      <c r="J139" s="26">
        <v>4.2999999999999997E-2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25" customHeight="1" x14ac:dyDescent="0.2">
      <c r="A140" s="324" t="s">
        <v>589</v>
      </c>
      <c r="B140" s="25"/>
      <c r="C140" s="327" t="s">
        <v>847</v>
      </c>
      <c r="D140" s="95">
        <v>11.257999999999999</v>
      </c>
      <c r="E140" s="96">
        <v>1.0329999999999999</v>
      </c>
      <c r="F140" s="94">
        <v>0.42099999999999999</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-3.8359999999999999</v>
      </c>
      <c r="E141" s="93">
        <v>-0.496</v>
      </c>
      <c r="F141" s="94">
        <v>-0.03</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-3.5939999999999999</v>
      </c>
      <c r="E142" s="93">
        <v>-0.45100000000000001</v>
      </c>
      <c r="F142" s="94">
        <v>-2.5999999999999999E-2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-3.8359999999999999</v>
      </c>
      <c r="E143" s="93">
        <v>-0.496</v>
      </c>
      <c r="F143" s="94">
        <v>-0.03</v>
      </c>
      <c r="G143" s="319" t="s">
        <v>840</v>
      </c>
      <c r="H143" s="320" t="s">
        <v>840</v>
      </c>
      <c r="I143" s="321" t="s">
        <v>840</v>
      </c>
      <c r="J143" s="26">
        <v>0.13900000000000001</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-3.5939999999999999</v>
      </c>
      <c r="E144" s="93">
        <v>-0.45100000000000001</v>
      </c>
      <c r="F144" s="94">
        <v>-2.5999999999999999E-2</v>
      </c>
      <c r="G144" s="319" t="s">
        <v>840</v>
      </c>
      <c r="H144" s="320" t="s">
        <v>840</v>
      </c>
      <c r="I144" s="321" t="s">
        <v>840</v>
      </c>
      <c r="J144" s="26">
        <v>0.11600000000000001</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-3.2080000000000002</v>
      </c>
      <c r="E145" s="93">
        <v>-0.34899999999999998</v>
      </c>
      <c r="F145" s="94">
        <v>-1.7000000000000001E-2</v>
      </c>
      <c r="G145" s="319">
        <v>49.86</v>
      </c>
      <c r="H145" s="320" t="s">
        <v>840</v>
      </c>
      <c r="I145" s="321" t="s">
        <v>840</v>
      </c>
      <c r="J145" s="26">
        <v>0.14000000000000001</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3.0270000000000001</v>
      </c>
      <c r="E146" s="93">
        <v>0.39200000000000002</v>
      </c>
      <c r="F146" s="94">
        <v>2.3E-2</v>
      </c>
      <c r="G146" s="319">
        <v>2.17</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2075</v>
      </c>
      <c r="D147" s="92">
        <v>3.0270000000000001</v>
      </c>
      <c r="E147" s="93">
        <v>0.39200000000000002</v>
      </c>
      <c r="F147" s="94">
        <v>2.3E-2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3.0649999999999999</v>
      </c>
      <c r="E148" s="93">
        <v>0.39700000000000002</v>
      </c>
      <c r="F148" s="94">
        <v>2.4E-2</v>
      </c>
      <c r="G148" s="319">
        <v>2.94</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3.0649999999999999</v>
      </c>
      <c r="E149" s="93">
        <v>0.39700000000000002</v>
      </c>
      <c r="F149" s="94">
        <v>2.4E-2</v>
      </c>
      <c r="G149" s="319">
        <v>3.21</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3.0649999999999999</v>
      </c>
      <c r="E150" s="93">
        <v>0.39700000000000002</v>
      </c>
      <c r="F150" s="94">
        <v>2.4E-2</v>
      </c>
      <c r="G150" s="319">
        <v>3.97</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3.0649999999999999</v>
      </c>
      <c r="E151" s="93">
        <v>0.39700000000000002</v>
      </c>
      <c r="F151" s="94">
        <v>2.4E-2</v>
      </c>
      <c r="G151" s="319">
        <v>5.21</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3.0649999999999999</v>
      </c>
      <c r="E152" s="93">
        <v>0.39700000000000002</v>
      </c>
      <c r="F152" s="94">
        <v>2.4E-2</v>
      </c>
      <c r="G152" s="319">
        <v>8.92</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2076</v>
      </c>
      <c r="D153" s="92">
        <v>3.0649999999999999</v>
      </c>
      <c r="E153" s="93">
        <v>0.39700000000000002</v>
      </c>
      <c r="F153" s="94">
        <v>2.4E-2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1.982</v>
      </c>
      <c r="E154" s="93">
        <v>0.24399999999999999</v>
      </c>
      <c r="F154" s="94">
        <v>1.4E-2</v>
      </c>
      <c r="G154" s="319">
        <v>3.47</v>
      </c>
      <c r="H154" s="319">
        <v>1.96</v>
      </c>
      <c r="I154" s="322">
        <v>1.96</v>
      </c>
      <c r="J154" s="26">
        <v>6.2E-2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1.982</v>
      </c>
      <c r="E155" s="93">
        <v>0.24399999999999999</v>
      </c>
      <c r="F155" s="94">
        <v>1.4E-2</v>
      </c>
      <c r="G155" s="319">
        <v>14.2</v>
      </c>
      <c r="H155" s="319">
        <v>1.96</v>
      </c>
      <c r="I155" s="322">
        <v>1.96</v>
      </c>
      <c r="J155" s="26">
        <v>6.2E-2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1.982</v>
      </c>
      <c r="E156" s="93">
        <v>0.24399999999999999</v>
      </c>
      <c r="F156" s="94">
        <v>1.4E-2</v>
      </c>
      <c r="G156" s="319">
        <v>21.68</v>
      </c>
      <c r="H156" s="319">
        <v>1.96</v>
      </c>
      <c r="I156" s="322">
        <v>1.96</v>
      </c>
      <c r="J156" s="26">
        <v>6.2E-2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1.982</v>
      </c>
      <c r="E157" s="93">
        <v>0.24399999999999999</v>
      </c>
      <c r="F157" s="94">
        <v>1.4E-2</v>
      </c>
      <c r="G157" s="319">
        <v>32.869999999999997</v>
      </c>
      <c r="H157" s="319">
        <v>1.96</v>
      </c>
      <c r="I157" s="322">
        <v>1.96</v>
      </c>
      <c r="J157" s="26">
        <v>6.2E-2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1.982</v>
      </c>
      <c r="E158" s="93">
        <v>0.24399999999999999</v>
      </c>
      <c r="F158" s="94">
        <v>1.4E-2</v>
      </c>
      <c r="G158" s="319">
        <v>61.09</v>
      </c>
      <c r="H158" s="319">
        <v>1.96</v>
      </c>
      <c r="I158" s="322">
        <v>1.96</v>
      </c>
      <c r="J158" s="26">
        <v>6.2E-2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1.905</v>
      </c>
      <c r="E159" s="93">
        <v>0.20699999999999999</v>
      </c>
      <c r="F159" s="94">
        <v>0.01</v>
      </c>
      <c r="G159" s="319">
        <v>3.94</v>
      </c>
      <c r="H159" s="319">
        <v>2.74</v>
      </c>
      <c r="I159" s="322">
        <v>2.74</v>
      </c>
      <c r="J159" s="26">
        <v>5.8000000000000003E-2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1.905</v>
      </c>
      <c r="E160" s="93">
        <v>0.20699999999999999</v>
      </c>
      <c r="F160" s="94">
        <v>0.01</v>
      </c>
      <c r="G160" s="319">
        <v>19.52</v>
      </c>
      <c r="H160" s="319">
        <v>2.74</v>
      </c>
      <c r="I160" s="322">
        <v>2.74</v>
      </c>
      <c r="J160" s="26">
        <v>5.8000000000000003E-2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1.905</v>
      </c>
      <c r="E161" s="93">
        <v>0.20699999999999999</v>
      </c>
      <c r="F161" s="94">
        <v>0.01</v>
      </c>
      <c r="G161" s="319">
        <v>30.39</v>
      </c>
      <c r="H161" s="319">
        <v>2.74</v>
      </c>
      <c r="I161" s="322">
        <v>2.74</v>
      </c>
      <c r="J161" s="26">
        <v>5.8000000000000003E-2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1.905</v>
      </c>
      <c r="E162" s="93">
        <v>0.20699999999999999</v>
      </c>
      <c r="F162" s="94">
        <v>0.01</v>
      </c>
      <c r="G162" s="319">
        <v>46.64</v>
      </c>
      <c r="H162" s="319">
        <v>2.74</v>
      </c>
      <c r="I162" s="322">
        <v>2.74</v>
      </c>
      <c r="J162" s="26">
        <v>5.8000000000000003E-2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1.905</v>
      </c>
      <c r="E163" s="93">
        <v>0.20699999999999999</v>
      </c>
      <c r="F163" s="94">
        <v>0.01</v>
      </c>
      <c r="G163" s="319">
        <v>87.63</v>
      </c>
      <c r="H163" s="319">
        <v>2.74</v>
      </c>
      <c r="I163" s="322">
        <v>2.74</v>
      </c>
      <c r="J163" s="26">
        <v>5.8000000000000003E-2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1.181</v>
      </c>
      <c r="E164" s="93">
        <v>0.107</v>
      </c>
      <c r="F164" s="94">
        <v>4.0000000000000001E-3</v>
      </c>
      <c r="G164" s="319">
        <v>40.93</v>
      </c>
      <c r="H164" s="319">
        <v>3.57</v>
      </c>
      <c r="I164" s="322">
        <v>3.57</v>
      </c>
      <c r="J164" s="26">
        <v>3.2000000000000001E-2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1.181</v>
      </c>
      <c r="E165" s="93">
        <v>0.107</v>
      </c>
      <c r="F165" s="94">
        <v>4.0000000000000001E-3</v>
      </c>
      <c r="G165" s="319">
        <v>150.19999999999999</v>
      </c>
      <c r="H165" s="319">
        <v>3.57</v>
      </c>
      <c r="I165" s="322">
        <v>3.57</v>
      </c>
      <c r="J165" s="26">
        <v>3.2000000000000001E-2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1.181</v>
      </c>
      <c r="E166" s="93">
        <v>0.107</v>
      </c>
      <c r="F166" s="94">
        <v>4.0000000000000001E-3</v>
      </c>
      <c r="G166" s="319">
        <v>360.8</v>
      </c>
      <c r="H166" s="319">
        <v>3.57</v>
      </c>
      <c r="I166" s="322">
        <v>3.57</v>
      </c>
      <c r="J166" s="26">
        <v>3.2000000000000001E-2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1.181</v>
      </c>
      <c r="E167" s="93">
        <v>0.107</v>
      </c>
      <c r="F167" s="94">
        <v>4.0000000000000001E-3</v>
      </c>
      <c r="G167" s="319">
        <v>642.61</v>
      </c>
      <c r="H167" s="319">
        <v>3.57</v>
      </c>
      <c r="I167" s="322">
        <v>3.57</v>
      </c>
      <c r="J167" s="26">
        <v>3.2000000000000001E-2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1.181</v>
      </c>
      <c r="E168" s="93">
        <v>0.107</v>
      </c>
      <c r="F168" s="94">
        <v>4.0000000000000001E-3</v>
      </c>
      <c r="G168" s="319">
        <v>1555.99</v>
      </c>
      <c r="H168" s="319">
        <v>3.57</v>
      </c>
      <c r="I168" s="322">
        <v>3.57</v>
      </c>
      <c r="J168" s="26">
        <v>3.2000000000000001E-2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8.3770000000000007</v>
      </c>
      <c r="E169" s="96">
        <v>0.76900000000000002</v>
      </c>
      <c r="F169" s="94">
        <v>0.313</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-2.8540000000000001</v>
      </c>
      <c r="E170" s="93">
        <v>-0.36899999999999999</v>
      </c>
      <c r="F170" s="94">
        <v>-2.1999999999999999E-2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-2.6749999999999998</v>
      </c>
      <c r="E171" s="93">
        <v>-0.33500000000000002</v>
      </c>
      <c r="F171" s="94">
        <v>-1.9E-2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-2.8540000000000001</v>
      </c>
      <c r="E172" s="93">
        <v>-0.36899999999999999</v>
      </c>
      <c r="F172" s="94">
        <v>-2.1999999999999999E-2</v>
      </c>
      <c r="G172" s="319" t="s">
        <v>840</v>
      </c>
      <c r="H172" s="320" t="s">
        <v>840</v>
      </c>
      <c r="I172" s="321" t="s">
        <v>840</v>
      </c>
      <c r="J172" s="26">
        <v>0.10299999999999999</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-2.6749999999999998</v>
      </c>
      <c r="E173" s="93">
        <v>-0.33500000000000002</v>
      </c>
      <c r="F173" s="94">
        <v>-1.9E-2</v>
      </c>
      <c r="G173" s="319" t="s">
        <v>840</v>
      </c>
      <c r="H173" s="320" t="s">
        <v>840</v>
      </c>
      <c r="I173" s="321" t="s">
        <v>840</v>
      </c>
      <c r="J173" s="26">
        <v>8.5999999999999993E-2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-2.387</v>
      </c>
      <c r="E174" s="93">
        <v>-0.26</v>
      </c>
      <c r="F174" s="94">
        <v>-1.2E-2</v>
      </c>
      <c r="G174" s="319">
        <v>37.1</v>
      </c>
      <c r="H174" s="320" t="s">
        <v>840</v>
      </c>
      <c r="I174" s="321" t="s">
        <v>840</v>
      </c>
      <c r="J174" s="26">
        <v>0.104</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1.05</v>
      </c>
      <c r="E175" s="93">
        <v>0.13600000000000001</v>
      </c>
      <c r="F175" s="94">
        <v>8.0000000000000002E-3</v>
      </c>
      <c r="G175" s="319">
        <v>0.75</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2075</v>
      </c>
      <c r="D176" s="92">
        <v>1.05</v>
      </c>
      <c r="E176" s="93">
        <v>0.13600000000000001</v>
      </c>
      <c r="F176" s="94">
        <v>8.0000000000000002E-3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1.0629999999999999</v>
      </c>
      <c r="E177" s="93">
        <v>0.13800000000000001</v>
      </c>
      <c r="F177" s="94">
        <v>8.0000000000000002E-3</v>
      </c>
      <c r="G177" s="319">
        <v>1.02</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1.0629999999999999</v>
      </c>
      <c r="E178" s="93">
        <v>0.13800000000000001</v>
      </c>
      <c r="F178" s="94">
        <v>8.0000000000000002E-3</v>
      </c>
      <c r="G178" s="319">
        <v>1.1100000000000001</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1.0629999999999999</v>
      </c>
      <c r="E179" s="93">
        <v>0.13800000000000001</v>
      </c>
      <c r="F179" s="94">
        <v>8.0000000000000002E-3</v>
      </c>
      <c r="G179" s="319">
        <v>1.38</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1.0629999999999999</v>
      </c>
      <c r="E180" s="93">
        <v>0.13800000000000001</v>
      </c>
      <c r="F180" s="94">
        <v>8.0000000000000002E-3</v>
      </c>
      <c r="G180" s="319">
        <v>1.81</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1.0629999999999999</v>
      </c>
      <c r="E181" s="93">
        <v>0.13800000000000001</v>
      </c>
      <c r="F181" s="94">
        <v>8.0000000000000002E-3</v>
      </c>
      <c r="G181" s="319">
        <v>3.09</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2076</v>
      </c>
      <c r="D182" s="92">
        <v>1.0629999999999999</v>
      </c>
      <c r="E182" s="93">
        <v>0.13800000000000001</v>
      </c>
      <c r="F182" s="94">
        <v>8.0000000000000002E-3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0.68799999999999994</v>
      </c>
      <c r="E183" s="93">
        <v>8.5000000000000006E-2</v>
      </c>
      <c r="F183" s="94">
        <v>5.0000000000000001E-3</v>
      </c>
      <c r="G183" s="319">
        <v>1.21</v>
      </c>
      <c r="H183" s="319">
        <v>0.68</v>
      </c>
      <c r="I183" s="322">
        <v>0.68</v>
      </c>
      <c r="J183" s="26">
        <v>2.1999999999999999E-2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0.68799999999999994</v>
      </c>
      <c r="E184" s="93">
        <v>8.5000000000000006E-2</v>
      </c>
      <c r="F184" s="94">
        <v>5.0000000000000001E-3</v>
      </c>
      <c r="G184" s="319">
        <v>4.93</v>
      </c>
      <c r="H184" s="319">
        <v>0.68</v>
      </c>
      <c r="I184" s="322">
        <v>0.68</v>
      </c>
      <c r="J184" s="26">
        <v>2.1999999999999999E-2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0.68799999999999994</v>
      </c>
      <c r="E185" s="93">
        <v>8.5000000000000006E-2</v>
      </c>
      <c r="F185" s="94">
        <v>5.0000000000000001E-3</v>
      </c>
      <c r="G185" s="319">
        <v>7.52</v>
      </c>
      <c r="H185" s="319">
        <v>0.68</v>
      </c>
      <c r="I185" s="322">
        <v>0.68</v>
      </c>
      <c r="J185" s="26">
        <v>2.1999999999999999E-2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0.68799999999999994</v>
      </c>
      <c r="E186" s="93">
        <v>8.5000000000000006E-2</v>
      </c>
      <c r="F186" s="94">
        <v>5.0000000000000001E-3</v>
      </c>
      <c r="G186" s="319">
        <v>11.4</v>
      </c>
      <c r="H186" s="319">
        <v>0.68</v>
      </c>
      <c r="I186" s="322">
        <v>0.68</v>
      </c>
      <c r="J186" s="26">
        <v>2.1999999999999999E-2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0.68799999999999994</v>
      </c>
      <c r="E187" s="93">
        <v>8.5000000000000006E-2</v>
      </c>
      <c r="F187" s="94">
        <v>5.0000000000000001E-3</v>
      </c>
      <c r="G187" s="319">
        <v>21.19</v>
      </c>
      <c r="H187" s="319">
        <v>0.68</v>
      </c>
      <c r="I187" s="322">
        <v>0.68</v>
      </c>
      <c r="J187" s="26">
        <v>2.1999999999999999E-2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0.66100000000000003</v>
      </c>
      <c r="E188" s="93">
        <v>7.1999999999999995E-2</v>
      </c>
      <c r="F188" s="94">
        <v>3.0000000000000001E-3</v>
      </c>
      <c r="G188" s="319">
        <v>1.37</v>
      </c>
      <c r="H188" s="319">
        <v>0.95</v>
      </c>
      <c r="I188" s="322">
        <v>0.95</v>
      </c>
      <c r="J188" s="26">
        <v>0.02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0.66100000000000003</v>
      </c>
      <c r="E189" s="93">
        <v>7.1999999999999995E-2</v>
      </c>
      <c r="F189" s="94">
        <v>3.0000000000000001E-3</v>
      </c>
      <c r="G189" s="319">
        <v>6.77</v>
      </c>
      <c r="H189" s="319">
        <v>0.95</v>
      </c>
      <c r="I189" s="322">
        <v>0.95</v>
      </c>
      <c r="J189" s="26">
        <v>0.02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0.66100000000000003</v>
      </c>
      <c r="E190" s="93">
        <v>7.1999999999999995E-2</v>
      </c>
      <c r="F190" s="94">
        <v>3.0000000000000001E-3</v>
      </c>
      <c r="G190" s="319">
        <v>10.54</v>
      </c>
      <c r="H190" s="319">
        <v>0.95</v>
      </c>
      <c r="I190" s="322">
        <v>0.95</v>
      </c>
      <c r="J190" s="26">
        <v>0.02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0.66100000000000003</v>
      </c>
      <c r="E191" s="93">
        <v>7.1999999999999995E-2</v>
      </c>
      <c r="F191" s="94">
        <v>3.0000000000000001E-3</v>
      </c>
      <c r="G191" s="319">
        <v>16.18</v>
      </c>
      <c r="H191" s="319">
        <v>0.95</v>
      </c>
      <c r="I191" s="322">
        <v>0.95</v>
      </c>
      <c r="J191" s="26">
        <v>0.02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0.66100000000000003</v>
      </c>
      <c r="E192" s="93">
        <v>7.1999999999999995E-2</v>
      </c>
      <c r="F192" s="94">
        <v>3.0000000000000001E-3</v>
      </c>
      <c r="G192" s="319">
        <v>30.4</v>
      </c>
      <c r="H192" s="319">
        <v>0.95</v>
      </c>
      <c r="I192" s="322">
        <v>0.95</v>
      </c>
      <c r="J192" s="26">
        <v>0.02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0.41</v>
      </c>
      <c r="E193" s="93">
        <v>3.6999999999999998E-2</v>
      </c>
      <c r="F193" s="94">
        <v>1E-3</v>
      </c>
      <c r="G193" s="319">
        <v>14.2</v>
      </c>
      <c r="H193" s="319">
        <v>1.24</v>
      </c>
      <c r="I193" s="322">
        <v>1.24</v>
      </c>
      <c r="J193" s="26">
        <v>1.0999999999999999E-2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0.41</v>
      </c>
      <c r="E194" s="93">
        <v>3.6999999999999998E-2</v>
      </c>
      <c r="F194" s="94">
        <v>1E-3</v>
      </c>
      <c r="G194" s="319">
        <v>52.11</v>
      </c>
      <c r="H194" s="319">
        <v>1.24</v>
      </c>
      <c r="I194" s="322">
        <v>1.24</v>
      </c>
      <c r="J194" s="26">
        <v>1.0999999999999999E-2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0.41</v>
      </c>
      <c r="E195" s="93">
        <v>3.6999999999999998E-2</v>
      </c>
      <c r="F195" s="94">
        <v>1E-3</v>
      </c>
      <c r="G195" s="319">
        <v>125.17</v>
      </c>
      <c r="H195" s="319">
        <v>1.24</v>
      </c>
      <c r="I195" s="322">
        <v>1.24</v>
      </c>
      <c r="J195" s="26">
        <v>1.0999999999999999E-2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0.41</v>
      </c>
      <c r="E196" s="93">
        <v>3.6999999999999998E-2</v>
      </c>
      <c r="F196" s="94">
        <v>1E-3</v>
      </c>
      <c r="G196" s="319">
        <v>222.93</v>
      </c>
      <c r="H196" s="319">
        <v>1.24</v>
      </c>
      <c r="I196" s="322">
        <v>1.24</v>
      </c>
      <c r="J196" s="26">
        <v>1.0999999999999999E-2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0.41</v>
      </c>
      <c r="E197" s="93">
        <v>3.6999999999999998E-2</v>
      </c>
      <c r="F197" s="94">
        <v>1E-3</v>
      </c>
      <c r="G197" s="319">
        <v>539.79</v>
      </c>
      <c r="H197" s="319">
        <v>1.24</v>
      </c>
      <c r="I197" s="322">
        <v>1.24</v>
      </c>
      <c r="J197" s="26">
        <v>1.0999999999999999E-2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2.9060000000000001</v>
      </c>
      <c r="E198" s="96">
        <v>0.26700000000000002</v>
      </c>
      <c r="F198" s="94">
        <v>0.109</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-0.99</v>
      </c>
      <c r="E199" s="93">
        <v>-0.128</v>
      </c>
      <c r="F199" s="94">
        <v>-8.0000000000000002E-3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-0.92800000000000005</v>
      </c>
      <c r="E200" s="93">
        <v>-0.11600000000000001</v>
      </c>
      <c r="F200" s="94">
        <v>-7.0000000000000001E-3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-0.99</v>
      </c>
      <c r="E201" s="93">
        <v>-0.128</v>
      </c>
      <c r="F201" s="94">
        <v>-8.0000000000000002E-3</v>
      </c>
      <c r="G201" s="319" t="s">
        <v>840</v>
      </c>
      <c r="H201" s="320" t="s">
        <v>840</v>
      </c>
      <c r="I201" s="321" t="s">
        <v>840</v>
      </c>
      <c r="J201" s="26">
        <v>3.5999999999999997E-2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-0.92800000000000005</v>
      </c>
      <c r="E202" s="93">
        <v>-0.11600000000000001</v>
      </c>
      <c r="F202" s="94">
        <v>-7.0000000000000001E-3</v>
      </c>
      <c r="G202" s="319" t="s">
        <v>840</v>
      </c>
      <c r="H202" s="320" t="s">
        <v>840</v>
      </c>
      <c r="I202" s="321" t="s">
        <v>840</v>
      </c>
      <c r="J202" s="26">
        <v>0.03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-0.82799999999999996</v>
      </c>
      <c r="E203" s="93">
        <v>-0.09</v>
      </c>
      <c r="F203" s="94">
        <v>-4.0000000000000001E-3</v>
      </c>
      <c r="G203" s="319">
        <v>12.87</v>
      </c>
      <c r="H203" s="320" t="s">
        <v>840</v>
      </c>
      <c r="I203" s="321" t="s">
        <v>840</v>
      </c>
      <c r="J203" s="26">
        <v>3.5999999999999997E-2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8">
    <mergeCell ref="B10:E10"/>
    <mergeCell ref="G10:H10"/>
    <mergeCell ref="B8:D8"/>
    <mergeCell ref="A2:J2"/>
    <mergeCell ref="A4:D4"/>
    <mergeCell ref="F4:J4"/>
    <mergeCell ref="C9:D9"/>
    <mergeCell ref="H9:J9"/>
  </mergeCells>
  <conditionalFormatting sqref="K14:Q203">
    <cfRule type="cellIs" dxfId="74" priority="2" operator="equal">
      <formula>0</formula>
    </cfRule>
    <cfRule type="cellIs" dxfId="73" priority="3" operator="lessThan">
      <formula>0</formula>
    </cfRule>
    <cfRule type="cellIs" dxfId="72" priority="4" operator="greaterThan">
      <formula>0</formula>
    </cfRule>
  </conditionalFormatting>
  <conditionalFormatting sqref="K14:R203">
    <cfRule type="expression" dxfId="71" priority="1">
      <formula>$K14&lt;&gt;""</formula>
    </cfRule>
  </conditionalFormatting>
  <hyperlinks>
    <hyperlink ref="A1" location="Overview!A1" display="Back to Overview" xr:uid="{AE56D807-17BE-4F26-94CE-78BC04396834}"/>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28515625" style="1" bestFit="1" customWidth="1"/>
    <col min="4" max="4" width="20.7109375" style="1" bestFit="1" customWidth="1"/>
    <col min="5" max="7" width="17.7109375" style="2" customWidth="1"/>
    <col min="8" max="8" width="19.7109375" style="6" bestFit="1" customWidth="1"/>
    <col min="9" max="9" width="21.140625" style="6" bestFit="1" customWidth="1"/>
    <col min="10" max="10" width="20" style="3" bestFit="1" customWidth="1"/>
    <col min="11" max="16" width="15.5703125" style="1" customWidth="1"/>
    <col min="17" max="16384" width="9.140625" style="1"/>
  </cols>
  <sheetData>
    <row r="1" spans="1:18" ht="27.75" customHeight="1" x14ac:dyDescent="0.2">
      <c r="A1" s="32" t="s">
        <v>19</v>
      </c>
      <c r="B1" s="3"/>
      <c r="C1" s="3"/>
      <c r="D1" s="3"/>
      <c r="F1" s="3"/>
      <c r="G1" s="3"/>
      <c r="H1" s="3"/>
      <c r="I1" s="3"/>
      <c r="J1" s="1"/>
    </row>
    <row r="2" spans="1:18" ht="31.5" customHeight="1" x14ac:dyDescent="0.2">
      <c r="A2" s="468" t="str">
        <f>Overview!B4&amp;" - Effective from "&amp;TEXT(Overview!$D$4,"d mmmm yyyy")&amp;" - Final LDNO tariffs in UKPN LPN Area (GSP Group_C)"</f>
        <v>Leep Electricity Networks Limited - Effective from 1 April 2026 - Final LDNO tariffs in UKPN LPN Area (GSP Group_C)</v>
      </c>
      <c r="B2" s="468"/>
      <c r="C2" s="468"/>
      <c r="D2" s="468"/>
      <c r="E2" s="468"/>
      <c r="F2" s="468"/>
      <c r="G2" s="468"/>
      <c r="H2" s="468"/>
      <c r="I2" s="468"/>
      <c r="J2" s="468"/>
    </row>
    <row r="3" spans="1:18" ht="8.25" customHeight="1" x14ac:dyDescent="0.2">
      <c r="A3" s="47"/>
      <c r="B3" s="47"/>
      <c r="C3" s="47"/>
      <c r="D3" s="47"/>
      <c r="E3" s="47"/>
      <c r="F3" s="47"/>
      <c r="G3" s="47"/>
      <c r="H3" s="47"/>
      <c r="I3" s="47"/>
      <c r="J3" s="47"/>
    </row>
    <row r="4" spans="1:18" ht="27" customHeight="1" x14ac:dyDescent="0.2">
      <c r="A4" s="382" t="s">
        <v>308</v>
      </c>
      <c r="B4" s="383"/>
      <c r="C4" s="383"/>
      <c r="D4" s="384"/>
      <c r="E4" s="51"/>
      <c r="F4" s="382" t="s">
        <v>307</v>
      </c>
      <c r="G4" s="383"/>
      <c r="H4" s="383"/>
      <c r="I4" s="383"/>
      <c r="J4" s="384"/>
      <c r="K4" s="3"/>
      <c r="L4" s="395"/>
      <c r="M4" s="396"/>
      <c r="N4" s="396"/>
      <c r="O4" s="396"/>
      <c r="P4" s="396"/>
      <c r="Q4" s="396"/>
      <c r="R4" s="397"/>
    </row>
    <row r="5" spans="1:18" ht="32.25" customHeight="1" x14ac:dyDescent="0.2">
      <c r="A5" s="40" t="s">
        <v>13</v>
      </c>
      <c r="B5" s="258" t="s">
        <v>299</v>
      </c>
      <c r="C5" s="182" t="s">
        <v>300</v>
      </c>
      <c r="D5" s="42" t="s">
        <v>301</v>
      </c>
      <c r="E5" s="46"/>
      <c r="F5" s="368"/>
      <c r="G5" s="369"/>
      <c r="H5" s="44" t="s">
        <v>305</v>
      </c>
      <c r="I5" s="45" t="s">
        <v>306</v>
      </c>
      <c r="J5" s="42" t="s">
        <v>301</v>
      </c>
      <c r="K5" s="3"/>
      <c r="L5" s="396"/>
      <c r="M5" s="396"/>
      <c r="N5" s="396"/>
      <c r="O5" s="396"/>
      <c r="P5" s="396"/>
      <c r="Q5" s="396"/>
      <c r="R5" s="397"/>
    </row>
    <row r="6" spans="1:18" ht="56.25" customHeight="1" x14ac:dyDescent="0.2">
      <c r="A6" s="251" t="str">
        <f>'Annex 1 LV and HV charges_C'!A6</f>
        <v>Monday to Friday 
(Including Bank Holidays)
All Year</v>
      </c>
      <c r="B6" s="13" t="str">
        <f>'Annex 1 LV and HV charges_C'!B6</f>
        <v>11:00 - 14:00
16:00 - 19:00</v>
      </c>
      <c r="C6" s="253" t="str">
        <f>'Annex 1 LV and HV charges_C'!C6</f>
        <v>07:00 - 11:00
14:00 - 16:00
19:00 - 23:00</v>
      </c>
      <c r="D6" s="97" t="str">
        <f>'Annex 1 LV and HV charges_C'!E6</f>
        <v>00:00 - 07:00
23:00 - 24:00</v>
      </c>
      <c r="E6" s="46"/>
      <c r="F6" s="380" t="str">
        <f>'Annex 1 LV and HV charges_C'!G6</f>
        <v>Monday to Friday 
(Including Bank Holidays)
June to August Inclusive</v>
      </c>
      <c r="G6" s="381">
        <f>'Annex 1 LV and HV charges_C'!H6</f>
        <v>0</v>
      </c>
      <c r="H6" s="13" t="str">
        <f>'Annex 1 LV and HV charges_C'!I6</f>
        <v>11:00 - 14:00</v>
      </c>
      <c r="I6" s="250" t="str">
        <f>'Annex 1 LV and HV charges_C'!J6</f>
        <v>07:00 - 11:00
14:00 - 23:00</v>
      </c>
      <c r="J6" s="97" t="str">
        <f>'Annex 1 LV and HV charges_C'!K6</f>
        <v>00:00 - 07:00
23:00 - 24:00</v>
      </c>
      <c r="K6" s="3"/>
      <c r="L6" s="3"/>
    </row>
    <row r="7" spans="1:18" ht="56.25" customHeight="1" x14ac:dyDescent="0.2">
      <c r="A7" s="251" t="str">
        <f>'Annex 1 LV and HV charges_C'!A7</f>
        <v>Saturday and Sunday
All Year</v>
      </c>
      <c r="B7" s="252" t="str">
        <f>'Annex 1 LV and HV charges_C'!B7</f>
        <v/>
      </c>
      <c r="C7" s="183" t="str">
        <f>'Annex 1 LV and HV charges_C'!C7</f>
        <v/>
      </c>
      <c r="D7" s="250" t="str">
        <f>'Annex 1 LV and HV charges_C'!E7</f>
        <v>00:00 - 24:00</v>
      </c>
      <c r="E7" s="46"/>
      <c r="F7" s="380" t="str">
        <f>'Annex 1 LV and HV charges_C'!G7</f>
        <v>Monday to Friday 
(Including Bank Holidays)
November to February Inclusive</v>
      </c>
      <c r="G7" s="381">
        <f>'Annex 1 LV and HV charges_C'!H7</f>
        <v>0</v>
      </c>
      <c r="H7" s="250" t="str">
        <f>'Annex 1 LV and HV charges_C'!I7</f>
        <v>16:00 - 19:00</v>
      </c>
      <c r="I7" s="250" t="str">
        <f>'Annex 1 LV and HV charges_C'!J7</f>
        <v>07:00 - 16:00
19:00 - 23:00</v>
      </c>
      <c r="J7" s="97" t="str">
        <f>'Annex 1 LV and HV charges_C'!K7</f>
        <v>00:00 - 07:00
23:00 - 24:00</v>
      </c>
      <c r="K7" s="3"/>
      <c r="L7" s="3"/>
    </row>
    <row r="8" spans="1:18" ht="55.5" customHeight="1" x14ac:dyDescent="0.2">
      <c r="A8" s="259" t="str">
        <f>'Annex 1 LV and HV charges_C'!A8</f>
        <v>Notes</v>
      </c>
      <c r="B8" s="380" t="str">
        <f>'Annex 1 LV and HV charges_C'!B8</f>
        <v>All the above times are in UK Clock time</v>
      </c>
      <c r="C8" s="394">
        <f>'Annex 1 LV and HV charges_C'!C8</f>
        <v>0</v>
      </c>
      <c r="D8" s="381">
        <f>'Annex 1 LV and HV charges_C'!D8</f>
        <v>0</v>
      </c>
      <c r="E8" s="46"/>
      <c r="F8" s="380" t="str">
        <f>'Annex 1 LV and HV charges_C'!G8</f>
        <v>Monday to Friday 
(Including Bank Holidays)
March, April, May and September, October</v>
      </c>
      <c r="G8" s="381">
        <f>'Annex 1 LV and HV charges_C'!H8</f>
        <v>0</v>
      </c>
      <c r="H8" s="252" t="str">
        <f>'Annex 1 LV and HV charges_C'!I8</f>
        <v/>
      </c>
      <c r="I8" s="250" t="str">
        <f>'Annex 1 LV and HV charges_C'!J8</f>
        <v>07:00 - 23:00</v>
      </c>
      <c r="J8" s="97" t="str">
        <f>'Annex 1 LV and HV charges_C'!K8</f>
        <v>00:00 - 07:00
23:00 - 24:00</v>
      </c>
      <c r="K8" s="3"/>
      <c r="L8" s="3"/>
    </row>
    <row r="9" spans="1:18" s="41" customFormat="1" ht="55.5" customHeight="1" x14ac:dyDescent="0.2">
      <c r="B9" s="46"/>
      <c r="C9" s="46"/>
      <c r="D9" s="46"/>
      <c r="E9" s="48"/>
      <c r="F9" s="380" t="str">
        <f>'Annex 1 LV and HV charges_C'!G9</f>
        <v>Saturday and Sunday
All year</v>
      </c>
      <c r="G9" s="381">
        <f>'Annex 1 LV and HV charges_C'!H9</f>
        <v>0</v>
      </c>
      <c r="H9" s="252" t="str">
        <f>'Annex 1 LV and HV charges_C'!I9</f>
        <v/>
      </c>
      <c r="I9" s="252" t="str">
        <f>'Annex 1 LV and HV charges_C'!J9</f>
        <v/>
      </c>
      <c r="J9" s="250" t="str">
        <f>'Annex 1 LV and HV charges_C'!K9</f>
        <v>00:00 - 24:00</v>
      </c>
      <c r="K9" s="31"/>
    </row>
    <row r="10" spans="1:18" s="41" customFormat="1" ht="36.75" customHeight="1" x14ac:dyDescent="0.2">
      <c r="B10" s="46"/>
      <c r="C10" s="46"/>
      <c r="D10" s="46"/>
      <c r="E10" s="46"/>
      <c r="F10" s="380" t="str">
        <f>'Annex 1 LV and HV charges_C'!G10</f>
        <v>Notes</v>
      </c>
      <c r="G10" s="381">
        <f>'Annex 1 LV and HV charges_C'!H10</f>
        <v>0</v>
      </c>
      <c r="H10" s="380" t="str">
        <f>'Annex 1 LV and HV charges_C'!I10</f>
        <v>All the above times are in UK Clock time</v>
      </c>
      <c r="I10" s="394">
        <f>'Annex 1 LV and HV charges_C'!J10</f>
        <v>0</v>
      </c>
      <c r="J10" s="381">
        <f>'Annex 1 LV and HV charges_C'!K10</f>
        <v>0</v>
      </c>
      <c r="K10" s="31"/>
    </row>
    <row r="11" spans="1:18" s="41" customFormat="1" ht="12" customHeight="1" x14ac:dyDescent="0.2">
      <c r="A11" s="46"/>
      <c r="B11" s="46"/>
      <c r="C11" s="46"/>
      <c r="D11" s="46"/>
      <c r="E11" s="46"/>
      <c r="F11" s="49"/>
      <c r="G11" s="49"/>
      <c r="H11" s="50"/>
      <c r="I11" s="50"/>
      <c r="J11" s="50"/>
      <c r="K11" s="31"/>
    </row>
    <row r="12" spans="1:18" s="41" customFormat="1" ht="12" customHeight="1" x14ac:dyDescent="0.2">
      <c r="A12" s="46"/>
      <c r="B12" s="46"/>
      <c r="C12" s="46"/>
      <c r="D12" s="46"/>
      <c r="E12" s="46"/>
      <c r="F12" s="49"/>
      <c r="G12" s="49"/>
      <c r="H12" s="50"/>
      <c r="I12" s="50"/>
      <c r="J12" s="50"/>
      <c r="K12" s="31"/>
    </row>
    <row r="13" spans="1:18" ht="66" customHeight="1" x14ac:dyDescent="0.2">
      <c r="A13" s="19" t="s">
        <v>458</v>
      </c>
      <c r="B13" s="19" t="s">
        <v>31</v>
      </c>
      <c r="C13" s="16" t="s">
        <v>24</v>
      </c>
      <c r="D13" s="16" t="s">
        <v>577</v>
      </c>
      <c r="E13" s="16" t="s">
        <v>578</v>
      </c>
      <c r="F13" s="16" t="s">
        <v>579</v>
      </c>
      <c r="G13" s="16" t="s">
        <v>25</v>
      </c>
      <c r="H13" s="16" t="s">
        <v>26</v>
      </c>
      <c r="I13" s="16" t="s">
        <v>459</v>
      </c>
      <c r="J13" s="16" t="s">
        <v>270</v>
      </c>
    </row>
    <row r="14" spans="1:18" ht="27" customHeight="1" x14ac:dyDescent="0.2">
      <c r="A14" s="324" t="s">
        <v>779</v>
      </c>
      <c r="B14" s="25"/>
      <c r="C14" s="326" t="s">
        <v>845</v>
      </c>
      <c r="D14" s="92">
        <v>7.798</v>
      </c>
      <c r="E14" s="93">
        <v>0.35</v>
      </c>
      <c r="F14" s="94" t="s">
        <v>840</v>
      </c>
      <c r="G14" s="319" t="s">
        <v>840</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8" ht="27" customHeight="1" x14ac:dyDescent="0.2">
      <c r="A15" s="324" t="s">
        <v>642</v>
      </c>
      <c r="B15" s="25"/>
      <c r="C15" s="326">
        <v>2</v>
      </c>
      <c r="D15" s="92">
        <v>7.992</v>
      </c>
      <c r="E15" s="93">
        <v>0.54500000000000004</v>
      </c>
      <c r="F15" s="94">
        <v>4.5999999999999999E-2</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8" ht="27" customHeight="1" x14ac:dyDescent="0.2">
      <c r="A16" s="324" t="s">
        <v>786</v>
      </c>
      <c r="B16" s="25"/>
      <c r="C16" s="326" t="s">
        <v>846</v>
      </c>
      <c r="D16" s="92">
        <v>7.0739999999999998</v>
      </c>
      <c r="E16" s="93">
        <v>0.48199999999999998</v>
      </c>
      <c r="F16" s="94">
        <v>0.04</v>
      </c>
      <c r="G16" s="319">
        <v>4.2</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846</v>
      </c>
      <c r="D17" s="92">
        <v>6.9740000000000002</v>
      </c>
      <c r="E17" s="93">
        <v>0.38300000000000001</v>
      </c>
      <c r="F17" s="94" t="s">
        <v>840</v>
      </c>
      <c r="G17" s="319" t="s">
        <v>840</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846</v>
      </c>
      <c r="D18" s="92">
        <v>6.0970000000000004</v>
      </c>
      <c r="E18" s="93" t="s">
        <v>840</v>
      </c>
      <c r="F18" s="94" t="s">
        <v>840</v>
      </c>
      <c r="G18" s="319" t="s">
        <v>840</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846</v>
      </c>
      <c r="D19" s="92">
        <v>5.7210000000000001</v>
      </c>
      <c r="E19" s="93" t="s">
        <v>840</v>
      </c>
      <c r="F19" s="94" t="s">
        <v>840</v>
      </c>
      <c r="G19" s="319" t="s">
        <v>840</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846</v>
      </c>
      <c r="D20" s="92">
        <v>5.4660000000000002</v>
      </c>
      <c r="E20" s="93" t="s">
        <v>840</v>
      </c>
      <c r="F20" s="94" t="s">
        <v>840</v>
      </c>
      <c r="G20" s="319" t="s">
        <v>840</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7.0739999999999998</v>
      </c>
      <c r="E21" s="93">
        <v>0.48199999999999998</v>
      </c>
      <c r="F21" s="94">
        <v>0.04</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5.3070000000000004</v>
      </c>
      <c r="E22" s="93">
        <v>0.375</v>
      </c>
      <c r="F22" s="94">
        <v>2.5000000000000001E-2</v>
      </c>
      <c r="G22" s="319">
        <v>10.210000000000001</v>
      </c>
      <c r="H22" s="319">
        <v>5.18</v>
      </c>
      <c r="I22" s="322">
        <v>5.18</v>
      </c>
      <c r="J22" s="26">
        <v>0.373</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3.1819999999999999</v>
      </c>
      <c r="E23" s="93">
        <v>0.11600000000000001</v>
      </c>
      <c r="F23" s="94">
        <v>1.7000000000000001E-2</v>
      </c>
      <c r="G23" s="319">
        <v>1.68</v>
      </c>
      <c r="H23" s="319">
        <v>5.18</v>
      </c>
      <c r="I23" s="322">
        <v>5.18</v>
      </c>
      <c r="J23" s="26">
        <v>0.373</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3.1419999999999999</v>
      </c>
      <c r="E24" s="93">
        <v>0.11600000000000001</v>
      </c>
      <c r="F24" s="94">
        <v>1.7000000000000001E-2</v>
      </c>
      <c r="G24" s="319">
        <v>1.68</v>
      </c>
      <c r="H24" s="319">
        <v>5.18</v>
      </c>
      <c r="I24" s="322">
        <v>5.18</v>
      </c>
      <c r="J24" s="26">
        <v>0.373</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3.097</v>
      </c>
      <c r="E25" s="93">
        <v>0.11600000000000001</v>
      </c>
      <c r="F25" s="94">
        <v>1.7000000000000001E-2</v>
      </c>
      <c r="G25" s="319">
        <v>1.68</v>
      </c>
      <c r="H25" s="319">
        <v>5.18</v>
      </c>
      <c r="I25" s="322">
        <v>5.18</v>
      </c>
      <c r="J25" s="26">
        <v>0.373</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3.048</v>
      </c>
      <c r="E26" s="93">
        <v>0.11600000000000001</v>
      </c>
      <c r="F26" s="94">
        <v>1.7000000000000001E-2</v>
      </c>
      <c r="G26" s="319">
        <v>1.68</v>
      </c>
      <c r="H26" s="319">
        <v>5.18</v>
      </c>
      <c r="I26" s="322">
        <v>5.18</v>
      </c>
      <c r="J26" s="26">
        <v>0.373</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847</v>
      </c>
      <c r="D27" s="95">
        <v>30.006</v>
      </c>
      <c r="E27" s="96">
        <v>1.9159999999999999</v>
      </c>
      <c r="F27" s="94">
        <v>0.318</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848</v>
      </c>
      <c r="D28" s="92">
        <v>-7.5780000000000003</v>
      </c>
      <c r="E28" s="93">
        <v>-0.51600000000000001</v>
      </c>
      <c r="F28" s="94">
        <v>-4.2999999999999997E-2</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-7.5780000000000003</v>
      </c>
      <c r="E29" s="93">
        <v>-0.51600000000000001</v>
      </c>
      <c r="F29" s="94">
        <v>-4.2999999999999997E-2</v>
      </c>
      <c r="G29" s="319" t="s">
        <v>840</v>
      </c>
      <c r="H29" s="320" t="s">
        <v>840</v>
      </c>
      <c r="I29" s="321" t="s">
        <v>840</v>
      </c>
      <c r="J29" s="26">
        <v>0.48</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845</v>
      </c>
      <c r="D30" s="92">
        <v>5.9589999999999996</v>
      </c>
      <c r="E30" s="93">
        <v>0.26800000000000002</v>
      </c>
      <c r="F30" s="94" t="s">
        <v>840</v>
      </c>
      <c r="G30" s="319" t="s">
        <v>840</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6.1070000000000002</v>
      </c>
      <c r="E31" s="93">
        <v>0.41599999999999998</v>
      </c>
      <c r="F31" s="94">
        <v>3.5000000000000003E-2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846</v>
      </c>
      <c r="D32" s="92">
        <v>5.4059999999999997</v>
      </c>
      <c r="E32" s="93">
        <v>0.36799999999999999</v>
      </c>
      <c r="F32" s="94">
        <v>3.1E-2</v>
      </c>
      <c r="G32" s="319">
        <v>3.21</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846</v>
      </c>
      <c r="D33" s="92">
        <v>5.33</v>
      </c>
      <c r="E33" s="93">
        <v>0.29199999999999998</v>
      </c>
      <c r="F33" s="94" t="s">
        <v>840</v>
      </c>
      <c r="G33" s="319" t="s">
        <v>840</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846</v>
      </c>
      <c r="D34" s="92">
        <v>4.6589999999999998</v>
      </c>
      <c r="E34" s="93" t="s">
        <v>840</v>
      </c>
      <c r="F34" s="94" t="s">
        <v>840</v>
      </c>
      <c r="G34" s="319" t="s">
        <v>840</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846</v>
      </c>
      <c r="D35" s="92">
        <v>4.3719999999999999</v>
      </c>
      <c r="E35" s="93" t="s">
        <v>840</v>
      </c>
      <c r="F35" s="94" t="s">
        <v>840</v>
      </c>
      <c r="G35" s="319" t="s">
        <v>840</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846</v>
      </c>
      <c r="D36" s="92">
        <v>4.1769999999999996</v>
      </c>
      <c r="E36" s="93" t="s">
        <v>840</v>
      </c>
      <c r="F36" s="94" t="s">
        <v>840</v>
      </c>
      <c r="G36" s="319" t="s">
        <v>840</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5.4059999999999997</v>
      </c>
      <c r="E37" s="93">
        <v>0.36799999999999999</v>
      </c>
      <c r="F37" s="94">
        <v>3.1E-2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4.056</v>
      </c>
      <c r="E38" s="93">
        <v>0.28599999999999998</v>
      </c>
      <c r="F38" s="94">
        <v>1.9E-2</v>
      </c>
      <c r="G38" s="319">
        <v>7.8</v>
      </c>
      <c r="H38" s="319">
        <v>3.96</v>
      </c>
      <c r="I38" s="322">
        <v>3.96</v>
      </c>
      <c r="J38" s="26">
        <v>0.28499999999999998</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2.431</v>
      </c>
      <c r="E39" s="93">
        <v>8.8999999999999996E-2</v>
      </c>
      <c r="F39" s="94">
        <v>1.2999999999999999E-2</v>
      </c>
      <c r="G39" s="319">
        <v>1.29</v>
      </c>
      <c r="H39" s="319">
        <v>3.96</v>
      </c>
      <c r="I39" s="322">
        <v>3.96</v>
      </c>
      <c r="J39" s="26">
        <v>0.28499999999999998</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2.4009999999999998</v>
      </c>
      <c r="E40" s="93">
        <v>8.8999999999999996E-2</v>
      </c>
      <c r="F40" s="94">
        <v>1.2999999999999999E-2</v>
      </c>
      <c r="G40" s="319">
        <v>1.29</v>
      </c>
      <c r="H40" s="319">
        <v>3.96</v>
      </c>
      <c r="I40" s="322">
        <v>3.96</v>
      </c>
      <c r="J40" s="26">
        <v>0.28499999999999998</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2.367</v>
      </c>
      <c r="E41" s="93">
        <v>8.8999999999999996E-2</v>
      </c>
      <c r="F41" s="94">
        <v>1.2999999999999999E-2</v>
      </c>
      <c r="G41" s="319">
        <v>1.29</v>
      </c>
      <c r="H41" s="319">
        <v>3.96</v>
      </c>
      <c r="I41" s="322">
        <v>3.96</v>
      </c>
      <c r="J41" s="26">
        <v>0.28499999999999998</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2.3290000000000002</v>
      </c>
      <c r="E42" s="93">
        <v>8.8999999999999996E-2</v>
      </c>
      <c r="F42" s="94">
        <v>1.2999999999999999E-2</v>
      </c>
      <c r="G42" s="319">
        <v>1.29</v>
      </c>
      <c r="H42" s="319">
        <v>3.96</v>
      </c>
      <c r="I42" s="322">
        <v>3.96</v>
      </c>
      <c r="J42" s="26">
        <v>0.28499999999999998</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3.673</v>
      </c>
      <c r="E43" s="93">
        <v>0.28100000000000003</v>
      </c>
      <c r="F43" s="94">
        <v>8.9999999999999993E-3</v>
      </c>
      <c r="G43" s="319">
        <v>9.24</v>
      </c>
      <c r="H43" s="319">
        <v>6.94</v>
      </c>
      <c r="I43" s="322">
        <v>6.94</v>
      </c>
      <c r="J43" s="26">
        <v>0.251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1.37</v>
      </c>
      <c r="E44" s="93" t="s">
        <v>840</v>
      </c>
      <c r="F44" s="94" t="s">
        <v>840</v>
      </c>
      <c r="G44" s="319" t="s">
        <v>840</v>
      </c>
      <c r="H44" s="319">
        <v>6.94</v>
      </c>
      <c r="I44" s="322">
        <v>6.94</v>
      </c>
      <c r="J44" s="26">
        <v>0.251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1.327</v>
      </c>
      <c r="E45" s="93" t="s">
        <v>840</v>
      </c>
      <c r="F45" s="94" t="s">
        <v>840</v>
      </c>
      <c r="G45" s="319" t="s">
        <v>840</v>
      </c>
      <c r="H45" s="319">
        <v>6.94</v>
      </c>
      <c r="I45" s="322">
        <v>6.94</v>
      </c>
      <c r="J45" s="26">
        <v>0.251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1.2789999999999999</v>
      </c>
      <c r="E46" s="93" t="s">
        <v>840</v>
      </c>
      <c r="F46" s="94" t="s">
        <v>840</v>
      </c>
      <c r="G46" s="319" t="s">
        <v>840</v>
      </c>
      <c r="H46" s="319">
        <v>6.94</v>
      </c>
      <c r="I46" s="322">
        <v>6.94</v>
      </c>
      <c r="J46" s="26">
        <v>0.251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1.2250000000000001</v>
      </c>
      <c r="E47" s="93" t="s">
        <v>840</v>
      </c>
      <c r="F47" s="94" t="s">
        <v>840</v>
      </c>
      <c r="G47" s="319" t="s">
        <v>840</v>
      </c>
      <c r="H47" s="319">
        <v>6.94</v>
      </c>
      <c r="I47" s="322">
        <v>6.94</v>
      </c>
      <c r="J47" s="26">
        <v>0.251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2.9769999999999999</v>
      </c>
      <c r="E48" s="93">
        <v>0.22700000000000001</v>
      </c>
      <c r="F48" s="94">
        <v>7.0000000000000001E-3</v>
      </c>
      <c r="G48" s="319">
        <v>104.34</v>
      </c>
      <c r="H48" s="319">
        <v>7.95</v>
      </c>
      <c r="I48" s="322">
        <v>7.95</v>
      </c>
      <c r="J48" s="26">
        <v>0.21199999999999999</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0.19900000000000001</v>
      </c>
      <c r="E49" s="93" t="s">
        <v>840</v>
      </c>
      <c r="F49" s="94" t="s">
        <v>840</v>
      </c>
      <c r="G49" s="319" t="s">
        <v>840</v>
      </c>
      <c r="H49" s="319">
        <v>7.95</v>
      </c>
      <c r="I49" s="322">
        <v>7.95</v>
      </c>
      <c r="J49" s="26">
        <v>0.21199999999999999</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8.0000000000000002E-3</v>
      </c>
      <c r="E50" s="93" t="s">
        <v>840</v>
      </c>
      <c r="F50" s="94" t="s">
        <v>840</v>
      </c>
      <c r="G50" s="319" t="s">
        <v>840</v>
      </c>
      <c r="H50" s="319">
        <v>7.95</v>
      </c>
      <c r="I50" s="322">
        <v>7.95</v>
      </c>
      <c r="J50" s="26">
        <v>0.21199999999999999</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0.09</v>
      </c>
      <c r="E51" s="93" t="s">
        <v>840</v>
      </c>
      <c r="F51" s="94" t="s">
        <v>840</v>
      </c>
      <c r="G51" s="319" t="s">
        <v>840</v>
      </c>
      <c r="H51" s="319">
        <v>7.95</v>
      </c>
      <c r="I51" s="322">
        <v>7.95</v>
      </c>
      <c r="J51" s="26">
        <v>0.21199999999999999</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1.7999999999999999E-2</v>
      </c>
      <c r="E52" s="93" t="s">
        <v>840</v>
      </c>
      <c r="F52" s="94" t="s">
        <v>840</v>
      </c>
      <c r="G52" s="319" t="s">
        <v>840</v>
      </c>
      <c r="H52" s="319">
        <v>7.95</v>
      </c>
      <c r="I52" s="322">
        <v>7.95</v>
      </c>
      <c r="J52" s="26">
        <v>0.21199999999999999</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847</v>
      </c>
      <c r="D53" s="95">
        <v>22.93</v>
      </c>
      <c r="E53" s="96">
        <v>1.464</v>
      </c>
      <c r="F53" s="94">
        <v>0.24299999999999999</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848</v>
      </c>
      <c r="D54" s="92">
        <v>-7.5780000000000003</v>
      </c>
      <c r="E54" s="93">
        <v>-0.51600000000000001</v>
      </c>
      <c r="F54" s="94">
        <v>-4.2999999999999997E-2</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-6.2629999999999999</v>
      </c>
      <c r="E55" s="93">
        <v>-0.436</v>
      </c>
      <c r="F55" s="94">
        <v>-3.2000000000000001E-2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-7.5780000000000003</v>
      </c>
      <c r="E56" s="93">
        <v>-0.51600000000000001</v>
      </c>
      <c r="F56" s="94">
        <v>-4.2999999999999997E-2</v>
      </c>
      <c r="G56" s="319" t="s">
        <v>840</v>
      </c>
      <c r="H56" s="320" t="s">
        <v>840</v>
      </c>
      <c r="I56" s="321" t="s">
        <v>840</v>
      </c>
      <c r="J56" s="26">
        <v>0.48</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-6.2629999999999999</v>
      </c>
      <c r="E57" s="93">
        <v>-0.436</v>
      </c>
      <c r="F57" s="94">
        <v>-3.2000000000000001E-2</v>
      </c>
      <c r="G57" s="319" t="s">
        <v>840</v>
      </c>
      <c r="H57" s="320" t="s">
        <v>840</v>
      </c>
      <c r="I57" s="321" t="s">
        <v>840</v>
      </c>
      <c r="J57" s="26">
        <v>0.38200000000000001</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-4.0940000000000003</v>
      </c>
      <c r="E58" s="93">
        <v>-0.313</v>
      </c>
      <c r="F58" s="94">
        <v>-0.01</v>
      </c>
      <c r="G58" s="319" t="s">
        <v>840</v>
      </c>
      <c r="H58" s="320" t="s">
        <v>840</v>
      </c>
      <c r="I58" s="321" t="s">
        <v>840</v>
      </c>
      <c r="J58" s="26">
        <v>0.33800000000000002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845</v>
      </c>
      <c r="D59" s="92">
        <v>5.2789999999999999</v>
      </c>
      <c r="E59" s="93">
        <v>0.23699999999999999</v>
      </c>
      <c r="F59" s="94" t="s">
        <v>840</v>
      </c>
      <c r="G59" s="319" t="s">
        <v>840</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5.41</v>
      </c>
      <c r="E60" s="93">
        <v>0.36899999999999999</v>
      </c>
      <c r="F60" s="94">
        <v>3.1E-2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846</v>
      </c>
      <c r="D61" s="92">
        <v>4.7880000000000003</v>
      </c>
      <c r="E61" s="93">
        <v>0.32600000000000001</v>
      </c>
      <c r="F61" s="94">
        <v>2.7E-2</v>
      </c>
      <c r="G61" s="319">
        <v>2.84</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846</v>
      </c>
      <c r="D62" s="92">
        <v>4.7210000000000001</v>
      </c>
      <c r="E62" s="93">
        <v>0.25900000000000001</v>
      </c>
      <c r="F62" s="94" t="s">
        <v>840</v>
      </c>
      <c r="G62" s="319" t="s">
        <v>840</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846</v>
      </c>
      <c r="D63" s="92">
        <v>4.1269999999999998</v>
      </c>
      <c r="E63" s="93" t="s">
        <v>840</v>
      </c>
      <c r="F63" s="94" t="s">
        <v>840</v>
      </c>
      <c r="G63" s="319" t="s">
        <v>840</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846</v>
      </c>
      <c r="D64" s="92">
        <v>3.8730000000000002</v>
      </c>
      <c r="E64" s="93" t="s">
        <v>840</v>
      </c>
      <c r="F64" s="94" t="s">
        <v>840</v>
      </c>
      <c r="G64" s="319" t="s">
        <v>840</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846</v>
      </c>
      <c r="D65" s="92">
        <v>3.7</v>
      </c>
      <c r="E65" s="93" t="s">
        <v>840</v>
      </c>
      <c r="F65" s="94" t="s">
        <v>840</v>
      </c>
      <c r="G65" s="319" t="s">
        <v>840</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4.7880000000000003</v>
      </c>
      <c r="E66" s="93">
        <v>0.32600000000000001</v>
      </c>
      <c r="F66" s="94">
        <v>2.7E-2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3.593</v>
      </c>
      <c r="E67" s="93">
        <v>0.254</v>
      </c>
      <c r="F67" s="94">
        <v>1.7000000000000001E-2</v>
      </c>
      <c r="G67" s="319">
        <v>6.91</v>
      </c>
      <c r="H67" s="319">
        <v>3.5</v>
      </c>
      <c r="I67" s="322">
        <v>3.5</v>
      </c>
      <c r="J67" s="26">
        <v>0.253</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2.1539999999999999</v>
      </c>
      <c r="E68" s="93">
        <v>7.8E-2</v>
      </c>
      <c r="F68" s="94">
        <v>1.0999999999999999E-2</v>
      </c>
      <c r="G68" s="319">
        <v>1.1399999999999999</v>
      </c>
      <c r="H68" s="319">
        <v>3.5</v>
      </c>
      <c r="I68" s="322">
        <v>3.5</v>
      </c>
      <c r="J68" s="26">
        <v>0.253</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2.1269999999999998</v>
      </c>
      <c r="E69" s="93">
        <v>7.8E-2</v>
      </c>
      <c r="F69" s="94">
        <v>1.0999999999999999E-2</v>
      </c>
      <c r="G69" s="319">
        <v>1.1399999999999999</v>
      </c>
      <c r="H69" s="319">
        <v>3.5</v>
      </c>
      <c r="I69" s="322">
        <v>3.5</v>
      </c>
      <c r="J69" s="26">
        <v>0.253</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2.0960000000000001</v>
      </c>
      <c r="E70" s="93">
        <v>7.8E-2</v>
      </c>
      <c r="F70" s="94">
        <v>1.0999999999999999E-2</v>
      </c>
      <c r="G70" s="319">
        <v>1.1399999999999999</v>
      </c>
      <c r="H70" s="319">
        <v>3.5</v>
      </c>
      <c r="I70" s="322">
        <v>3.5</v>
      </c>
      <c r="J70" s="26">
        <v>0.253</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2.0630000000000002</v>
      </c>
      <c r="E71" s="93">
        <v>7.8E-2</v>
      </c>
      <c r="F71" s="94">
        <v>1.0999999999999999E-2</v>
      </c>
      <c r="G71" s="319">
        <v>1.1399999999999999</v>
      </c>
      <c r="H71" s="319">
        <v>3.5</v>
      </c>
      <c r="I71" s="322">
        <v>3.5</v>
      </c>
      <c r="J71" s="26">
        <v>0.253</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3.226</v>
      </c>
      <c r="E72" s="93">
        <v>0.246</v>
      </c>
      <c r="F72" s="94">
        <v>8.0000000000000002E-3</v>
      </c>
      <c r="G72" s="319">
        <v>8.11</v>
      </c>
      <c r="H72" s="319">
        <v>6.09</v>
      </c>
      <c r="I72" s="322">
        <v>6.09</v>
      </c>
      <c r="J72" s="26">
        <v>0.22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1.204</v>
      </c>
      <c r="E73" s="93" t="s">
        <v>840</v>
      </c>
      <c r="F73" s="94" t="s">
        <v>840</v>
      </c>
      <c r="G73" s="319" t="s">
        <v>840</v>
      </c>
      <c r="H73" s="319">
        <v>6.09</v>
      </c>
      <c r="I73" s="322">
        <v>6.09</v>
      </c>
      <c r="J73" s="26">
        <v>0.22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1.165</v>
      </c>
      <c r="E74" s="93" t="s">
        <v>840</v>
      </c>
      <c r="F74" s="94" t="s">
        <v>840</v>
      </c>
      <c r="G74" s="319" t="s">
        <v>840</v>
      </c>
      <c r="H74" s="319">
        <v>6.09</v>
      </c>
      <c r="I74" s="322">
        <v>6.09</v>
      </c>
      <c r="J74" s="26">
        <v>0.22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1.123</v>
      </c>
      <c r="E75" s="93" t="s">
        <v>840</v>
      </c>
      <c r="F75" s="94" t="s">
        <v>840</v>
      </c>
      <c r="G75" s="319" t="s">
        <v>840</v>
      </c>
      <c r="H75" s="319">
        <v>6.09</v>
      </c>
      <c r="I75" s="322">
        <v>6.09</v>
      </c>
      <c r="J75" s="26">
        <v>0.22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1.0760000000000001</v>
      </c>
      <c r="E76" s="93" t="s">
        <v>840</v>
      </c>
      <c r="F76" s="94" t="s">
        <v>840</v>
      </c>
      <c r="G76" s="319" t="s">
        <v>840</v>
      </c>
      <c r="H76" s="319">
        <v>6.09</v>
      </c>
      <c r="I76" s="322">
        <v>6.09</v>
      </c>
      <c r="J76" s="26">
        <v>0.22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2.6030000000000002</v>
      </c>
      <c r="E77" s="93">
        <v>0.19800000000000001</v>
      </c>
      <c r="F77" s="94">
        <v>6.0000000000000001E-3</v>
      </c>
      <c r="G77" s="319">
        <v>91.23</v>
      </c>
      <c r="H77" s="319">
        <v>6.95</v>
      </c>
      <c r="I77" s="322">
        <v>6.95</v>
      </c>
      <c r="J77" s="26">
        <v>0.185</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0.17399999999999999</v>
      </c>
      <c r="E78" s="93" t="s">
        <v>840</v>
      </c>
      <c r="F78" s="94" t="s">
        <v>840</v>
      </c>
      <c r="G78" s="319" t="s">
        <v>840</v>
      </c>
      <c r="H78" s="319">
        <v>6.95</v>
      </c>
      <c r="I78" s="322">
        <v>6.95</v>
      </c>
      <c r="J78" s="26">
        <v>0.185</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7.0000000000000001E-3</v>
      </c>
      <c r="E79" s="93" t="s">
        <v>840</v>
      </c>
      <c r="F79" s="94" t="s">
        <v>840</v>
      </c>
      <c r="G79" s="319" t="s">
        <v>840</v>
      </c>
      <c r="H79" s="319">
        <v>6.95</v>
      </c>
      <c r="I79" s="322">
        <v>6.95</v>
      </c>
      <c r="J79" s="26">
        <v>0.185</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7.8E-2</v>
      </c>
      <c r="E80" s="93" t="s">
        <v>840</v>
      </c>
      <c r="F80" s="94" t="s">
        <v>840</v>
      </c>
      <c r="G80" s="319" t="s">
        <v>840</v>
      </c>
      <c r="H80" s="319">
        <v>6.95</v>
      </c>
      <c r="I80" s="322">
        <v>6.95</v>
      </c>
      <c r="J80" s="26">
        <v>0.185</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1.6E-2</v>
      </c>
      <c r="E81" s="93" t="s">
        <v>840</v>
      </c>
      <c r="F81" s="94" t="s">
        <v>840</v>
      </c>
      <c r="G81" s="319" t="s">
        <v>840</v>
      </c>
      <c r="H81" s="319">
        <v>6.95</v>
      </c>
      <c r="I81" s="322">
        <v>6.95</v>
      </c>
      <c r="J81" s="26">
        <v>0.185</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847</v>
      </c>
      <c r="D82" s="95">
        <v>20.312000000000001</v>
      </c>
      <c r="E82" s="96">
        <v>1.2969999999999999</v>
      </c>
      <c r="F82" s="94">
        <v>0.215</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848</v>
      </c>
      <c r="D83" s="92">
        <v>-5.1609999999999996</v>
      </c>
      <c r="E83" s="93">
        <v>-0.35199999999999998</v>
      </c>
      <c r="F83" s="94">
        <v>-0.03</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-4.74</v>
      </c>
      <c r="E84" s="93">
        <v>-0.33</v>
      </c>
      <c r="F84" s="94">
        <v>-2.4E-2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-5.1609999999999996</v>
      </c>
      <c r="E85" s="93">
        <v>-0.35199999999999998</v>
      </c>
      <c r="F85" s="94">
        <v>-0.03</v>
      </c>
      <c r="G85" s="319" t="s">
        <v>840</v>
      </c>
      <c r="H85" s="320" t="s">
        <v>840</v>
      </c>
      <c r="I85" s="321" t="s">
        <v>840</v>
      </c>
      <c r="J85" s="26">
        <v>0.32700000000000001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-4.74</v>
      </c>
      <c r="E86" s="93">
        <v>-0.33</v>
      </c>
      <c r="F86" s="94">
        <v>-2.4E-2</v>
      </c>
      <c r="G86" s="319" t="s">
        <v>840</v>
      </c>
      <c r="H86" s="320" t="s">
        <v>840</v>
      </c>
      <c r="I86" s="321" t="s">
        <v>840</v>
      </c>
      <c r="J86" s="26">
        <v>0.28899999999999998</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-4.0940000000000003</v>
      </c>
      <c r="E87" s="93">
        <v>-0.313</v>
      </c>
      <c r="F87" s="94">
        <v>-0.01</v>
      </c>
      <c r="G87" s="319">
        <v>8.5500000000000007</v>
      </c>
      <c r="H87" s="320" t="s">
        <v>840</v>
      </c>
      <c r="I87" s="321" t="s">
        <v>840</v>
      </c>
      <c r="J87" s="26">
        <v>0.33800000000000002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845</v>
      </c>
      <c r="D88" s="92">
        <v>4.016</v>
      </c>
      <c r="E88" s="93">
        <v>0.18</v>
      </c>
      <c r="F88" s="94" t="s">
        <v>840</v>
      </c>
      <c r="G88" s="319" t="s">
        <v>840</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4.1159999999999997</v>
      </c>
      <c r="E89" s="93">
        <v>0.28100000000000003</v>
      </c>
      <c r="F89" s="94">
        <v>2.4E-2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846</v>
      </c>
      <c r="D90" s="92">
        <v>3.6429999999999998</v>
      </c>
      <c r="E90" s="93">
        <v>0.248</v>
      </c>
      <c r="F90" s="94">
        <v>2.1000000000000001E-2</v>
      </c>
      <c r="G90" s="319">
        <v>2.16</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846</v>
      </c>
      <c r="D91" s="92">
        <v>3.5920000000000001</v>
      </c>
      <c r="E91" s="93">
        <v>0.19700000000000001</v>
      </c>
      <c r="F91" s="94" t="s">
        <v>840</v>
      </c>
      <c r="G91" s="319" t="s">
        <v>840</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846</v>
      </c>
      <c r="D92" s="92">
        <v>3.14</v>
      </c>
      <c r="E92" s="93" t="s">
        <v>840</v>
      </c>
      <c r="F92" s="94" t="s">
        <v>840</v>
      </c>
      <c r="G92" s="319" t="s">
        <v>840</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846</v>
      </c>
      <c r="D93" s="92">
        <v>2.9460000000000002</v>
      </c>
      <c r="E93" s="93" t="s">
        <v>840</v>
      </c>
      <c r="F93" s="94" t="s">
        <v>840</v>
      </c>
      <c r="G93" s="319" t="s">
        <v>840</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846</v>
      </c>
      <c r="D94" s="92">
        <v>2.8149999999999999</v>
      </c>
      <c r="E94" s="93" t="s">
        <v>840</v>
      </c>
      <c r="F94" s="94" t="s">
        <v>840</v>
      </c>
      <c r="G94" s="319" t="s">
        <v>840</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3.6429999999999998</v>
      </c>
      <c r="E95" s="93">
        <v>0.248</v>
      </c>
      <c r="F95" s="94">
        <v>2.1000000000000001E-2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2.7330000000000001</v>
      </c>
      <c r="E96" s="93">
        <v>0.193</v>
      </c>
      <c r="F96" s="94">
        <v>1.2999999999999999E-2</v>
      </c>
      <c r="G96" s="319">
        <v>5.26</v>
      </c>
      <c r="H96" s="319">
        <v>2.67</v>
      </c>
      <c r="I96" s="322">
        <v>2.67</v>
      </c>
      <c r="J96" s="26">
        <v>0.192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1.639</v>
      </c>
      <c r="E97" s="93">
        <v>0.06</v>
      </c>
      <c r="F97" s="94">
        <v>8.9999999999999993E-3</v>
      </c>
      <c r="G97" s="319">
        <v>0.87</v>
      </c>
      <c r="H97" s="319">
        <v>2.67</v>
      </c>
      <c r="I97" s="322">
        <v>2.67</v>
      </c>
      <c r="J97" s="26">
        <v>0.192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1.6180000000000001</v>
      </c>
      <c r="E98" s="93">
        <v>0.06</v>
      </c>
      <c r="F98" s="94">
        <v>8.9999999999999993E-3</v>
      </c>
      <c r="G98" s="319">
        <v>0.87</v>
      </c>
      <c r="H98" s="319">
        <v>2.67</v>
      </c>
      <c r="I98" s="322">
        <v>2.67</v>
      </c>
      <c r="J98" s="26">
        <v>0.192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1.595</v>
      </c>
      <c r="E99" s="93">
        <v>0.06</v>
      </c>
      <c r="F99" s="94">
        <v>8.9999999999999993E-3</v>
      </c>
      <c r="G99" s="319">
        <v>0.87</v>
      </c>
      <c r="H99" s="319">
        <v>2.67</v>
      </c>
      <c r="I99" s="322">
        <v>2.67</v>
      </c>
      <c r="J99" s="26">
        <v>0.192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1.57</v>
      </c>
      <c r="E100" s="93">
        <v>0.06</v>
      </c>
      <c r="F100" s="94">
        <v>8.9999999999999993E-3</v>
      </c>
      <c r="G100" s="319">
        <v>0.87</v>
      </c>
      <c r="H100" s="319">
        <v>2.67</v>
      </c>
      <c r="I100" s="322">
        <v>2.67</v>
      </c>
      <c r="J100" s="26">
        <v>0.192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2.4540000000000002</v>
      </c>
      <c r="E101" s="93">
        <v>0.187</v>
      </c>
      <c r="F101" s="94">
        <v>6.0000000000000001E-3</v>
      </c>
      <c r="G101" s="319">
        <v>6.17</v>
      </c>
      <c r="H101" s="319">
        <v>4.6399999999999997</v>
      </c>
      <c r="I101" s="322">
        <v>4.6399999999999997</v>
      </c>
      <c r="J101" s="26">
        <v>0.16800000000000001</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0.91600000000000004</v>
      </c>
      <c r="E102" s="93" t="s">
        <v>840</v>
      </c>
      <c r="F102" s="94" t="s">
        <v>840</v>
      </c>
      <c r="G102" s="319" t="s">
        <v>840</v>
      </c>
      <c r="H102" s="319">
        <v>4.6399999999999997</v>
      </c>
      <c r="I102" s="322">
        <v>4.6399999999999997</v>
      </c>
      <c r="J102" s="26">
        <v>0.16800000000000001</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0.88700000000000001</v>
      </c>
      <c r="E103" s="93" t="s">
        <v>840</v>
      </c>
      <c r="F103" s="94" t="s">
        <v>840</v>
      </c>
      <c r="G103" s="319" t="s">
        <v>840</v>
      </c>
      <c r="H103" s="319">
        <v>4.6399999999999997</v>
      </c>
      <c r="I103" s="322">
        <v>4.6399999999999997</v>
      </c>
      <c r="J103" s="26">
        <v>0.16800000000000001</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0.85399999999999998</v>
      </c>
      <c r="E104" s="93" t="s">
        <v>840</v>
      </c>
      <c r="F104" s="94" t="s">
        <v>840</v>
      </c>
      <c r="G104" s="319" t="s">
        <v>840</v>
      </c>
      <c r="H104" s="319">
        <v>4.6399999999999997</v>
      </c>
      <c r="I104" s="322">
        <v>4.6399999999999997</v>
      </c>
      <c r="J104" s="26">
        <v>0.16800000000000001</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0.81899999999999995</v>
      </c>
      <c r="E105" s="93" t="s">
        <v>840</v>
      </c>
      <c r="F105" s="94" t="s">
        <v>840</v>
      </c>
      <c r="G105" s="319" t="s">
        <v>840</v>
      </c>
      <c r="H105" s="319">
        <v>4.6399999999999997</v>
      </c>
      <c r="I105" s="322">
        <v>4.6399999999999997</v>
      </c>
      <c r="J105" s="26">
        <v>0.16800000000000001</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1.98</v>
      </c>
      <c r="E106" s="93">
        <v>0.151</v>
      </c>
      <c r="F106" s="94">
        <v>5.0000000000000001E-3</v>
      </c>
      <c r="G106" s="319">
        <v>69.41</v>
      </c>
      <c r="H106" s="319">
        <v>5.29</v>
      </c>
      <c r="I106" s="322">
        <v>5.29</v>
      </c>
      <c r="J106" s="26">
        <v>0.14099999999999999</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0.13200000000000001</v>
      </c>
      <c r="E107" s="93" t="s">
        <v>840</v>
      </c>
      <c r="F107" s="94" t="s">
        <v>840</v>
      </c>
      <c r="G107" s="319" t="s">
        <v>840</v>
      </c>
      <c r="H107" s="319">
        <v>5.29</v>
      </c>
      <c r="I107" s="322">
        <v>5.29</v>
      </c>
      <c r="J107" s="26">
        <v>0.14099999999999999</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5.0000000000000001E-3</v>
      </c>
      <c r="E108" s="93" t="s">
        <v>840</v>
      </c>
      <c r="F108" s="94" t="s">
        <v>840</v>
      </c>
      <c r="G108" s="319" t="s">
        <v>840</v>
      </c>
      <c r="H108" s="319">
        <v>5.29</v>
      </c>
      <c r="I108" s="322">
        <v>5.29</v>
      </c>
      <c r="J108" s="26">
        <v>0.14099999999999999</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0.06</v>
      </c>
      <c r="E109" s="93" t="s">
        <v>840</v>
      </c>
      <c r="F109" s="94" t="s">
        <v>840</v>
      </c>
      <c r="G109" s="319" t="s">
        <v>840</v>
      </c>
      <c r="H109" s="319">
        <v>5.29</v>
      </c>
      <c r="I109" s="322">
        <v>5.29</v>
      </c>
      <c r="J109" s="26">
        <v>0.14099999999999999</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1.2E-2</v>
      </c>
      <c r="E110" s="93" t="s">
        <v>840</v>
      </c>
      <c r="F110" s="94" t="s">
        <v>840</v>
      </c>
      <c r="G110" s="319" t="s">
        <v>840</v>
      </c>
      <c r="H110" s="319">
        <v>5.29</v>
      </c>
      <c r="I110" s="322">
        <v>5.29</v>
      </c>
      <c r="J110" s="26">
        <v>0.14099999999999999</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847</v>
      </c>
      <c r="D111" s="95">
        <v>15.454000000000001</v>
      </c>
      <c r="E111" s="96">
        <v>0.98699999999999999</v>
      </c>
      <c r="F111" s="94">
        <v>0.16400000000000001</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848</v>
      </c>
      <c r="D112" s="92">
        <v>-3.927</v>
      </c>
      <c r="E112" s="93">
        <v>-0.26800000000000002</v>
      </c>
      <c r="F112" s="94">
        <v>-2.1999999999999999E-2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-3.6059999999999999</v>
      </c>
      <c r="E113" s="93">
        <v>-0.251</v>
      </c>
      <c r="F113" s="94">
        <v>-1.7999999999999999E-2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-3.927</v>
      </c>
      <c r="E114" s="93">
        <v>-0.26800000000000002</v>
      </c>
      <c r="F114" s="94">
        <v>-2.1999999999999999E-2</v>
      </c>
      <c r="G114" s="319" t="s">
        <v>840</v>
      </c>
      <c r="H114" s="320" t="s">
        <v>840</v>
      </c>
      <c r="I114" s="321" t="s">
        <v>840</v>
      </c>
      <c r="J114" s="26">
        <v>0.249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-3.6059999999999999</v>
      </c>
      <c r="E115" s="93">
        <v>-0.251</v>
      </c>
      <c r="F115" s="94">
        <v>-1.7999999999999999E-2</v>
      </c>
      <c r="G115" s="319" t="s">
        <v>840</v>
      </c>
      <c r="H115" s="320" t="s">
        <v>840</v>
      </c>
      <c r="I115" s="321" t="s">
        <v>840</v>
      </c>
      <c r="J115" s="26">
        <v>0.22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-3.1150000000000002</v>
      </c>
      <c r="E116" s="93">
        <v>-0.23799999999999999</v>
      </c>
      <c r="F116" s="94">
        <v>-8.0000000000000002E-3</v>
      </c>
      <c r="G116" s="319">
        <v>6.5</v>
      </c>
      <c r="H116" s="320" t="s">
        <v>840</v>
      </c>
      <c r="I116" s="321" t="s">
        <v>840</v>
      </c>
      <c r="J116" s="26">
        <v>0.25700000000000001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845</v>
      </c>
      <c r="D117" s="92">
        <v>2.4319999999999999</v>
      </c>
      <c r="E117" s="93">
        <v>0.109</v>
      </c>
      <c r="F117" s="94" t="s">
        <v>840</v>
      </c>
      <c r="G117" s="319" t="s">
        <v>840</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2.4929999999999999</v>
      </c>
      <c r="E118" s="93">
        <v>0.17</v>
      </c>
      <c r="F118" s="94">
        <v>1.4E-2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846</v>
      </c>
      <c r="D119" s="92">
        <v>2.2069999999999999</v>
      </c>
      <c r="E119" s="93">
        <v>0.15</v>
      </c>
      <c r="F119" s="94">
        <v>1.2999999999999999E-2</v>
      </c>
      <c r="G119" s="319">
        <v>1.31</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846</v>
      </c>
      <c r="D120" s="92">
        <v>2.1760000000000002</v>
      </c>
      <c r="E120" s="93">
        <v>0.11899999999999999</v>
      </c>
      <c r="F120" s="94" t="s">
        <v>840</v>
      </c>
      <c r="G120" s="319" t="s">
        <v>840</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846</v>
      </c>
      <c r="D121" s="92">
        <v>1.9019999999999999</v>
      </c>
      <c r="E121" s="93" t="s">
        <v>840</v>
      </c>
      <c r="F121" s="94" t="s">
        <v>840</v>
      </c>
      <c r="G121" s="319" t="s">
        <v>840</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846</v>
      </c>
      <c r="D122" s="92">
        <v>1.7849999999999999</v>
      </c>
      <c r="E122" s="93" t="s">
        <v>840</v>
      </c>
      <c r="F122" s="94" t="s">
        <v>840</v>
      </c>
      <c r="G122" s="319" t="s">
        <v>840</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846</v>
      </c>
      <c r="D123" s="92">
        <v>1.7050000000000001</v>
      </c>
      <c r="E123" s="93" t="s">
        <v>840</v>
      </c>
      <c r="F123" s="94" t="s">
        <v>840</v>
      </c>
      <c r="G123" s="319" t="s">
        <v>840</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2.2069999999999999</v>
      </c>
      <c r="E124" s="93">
        <v>0.15</v>
      </c>
      <c r="F124" s="94">
        <v>1.2999999999999999E-2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1.6559999999999999</v>
      </c>
      <c r="E125" s="93">
        <v>0.11700000000000001</v>
      </c>
      <c r="F125" s="94">
        <v>8.0000000000000002E-3</v>
      </c>
      <c r="G125" s="319">
        <v>3.19</v>
      </c>
      <c r="H125" s="319">
        <v>1.62</v>
      </c>
      <c r="I125" s="322">
        <v>1.62</v>
      </c>
      <c r="J125" s="26">
        <v>0.11700000000000001</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0.99199999999999999</v>
      </c>
      <c r="E126" s="93">
        <v>3.5999999999999997E-2</v>
      </c>
      <c r="F126" s="94">
        <v>5.0000000000000001E-3</v>
      </c>
      <c r="G126" s="319">
        <v>0.53</v>
      </c>
      <c r="H126" s="319">
        <v>1.62</v>
      </c>
      <c r="I126" s="322">
        <v>1.62</v>
      </c>
      <c r="J126" s="26">
        <v>0.11700000000000001</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0.98</v>
      </c>
      <c r="E127" s="93">
        <v>3.5999999999999997E-2</v>
      </c>
      <c r="F127" s="94">
        <v>5.0000000000000001E-3</v>
      </c>
      <c r="G127" s="319">
        <v>0.53</v>
      </c>
      <c r="H127" s="319">
        <v>1.62</v>
      </c>
      <c r="I127" s="322">
        <v>1.62</v>
      </c>
      <c r="J127" s="26">
        <v>0.11700000000000001</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0.96599999999999997</v>
      </c>
      <c r="E128" s="93">
        <v>3.5999999999999997E-2</v>
      </c>
      <c r="F128" s="94">
        <v>5.0000000000000001E-3</v>
      </c>
      <c r="G128" s="319">
        <v>0.53</v>
      </c>
      <c r="H128" s="319">
        <v>1.62</v>
      </c>
      <c r="I128" s="322">
        <v>1.62</v>
      </c>
      <c r="J128" s="26">
        <v>0.11700000000000001</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0.95099999999999996</v>
      </c>
      <c r="E129" s="93">
        <v>3.5999999999999997E-2</v>
      </c>
      <c r="F129" s="94">
        <v>5.0000000000000001E-3</v>
      </c>
      <c r="G129" s="319">
        <v>0.53</v>
      </c>
      <c r="H129" s="319">
        <v>1.62</v>
      </c>
      <c r="I129" s="322">
        <v>1.62</v>
      </c>
      <c r="J129" s="26">
        <v>0.11700000000000001</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1.4870000000000001</v>
      </c>
      <c r="E130" s="93">
        <v>0.114</v>
      </c>
      <c r="F130" s="94">
        <v>4.0000000000000001E-3</v>
      </c>
      <c r="G130" s="319">
        <v>3.74</v>
      </c>
      <c r="H130" s="319">
        <v>2.81</v>
      </c>
      <c r="I130" s="322">
        <v>2.81</v>
      </c>
      <c r="J130" s="26">
        <v>0.10100000000000001</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0.55500000000000005</v>
      </c>
      <c r="E131" s="93" t="s">
        <v>840</v>
      </c>
      <c r="F131" s="94" t="s">
        <v>840</v>
      </c>
      <c r="G131" s="319" t="s">
        <v>840</v>
      </c>
      <c r="H131" s="319">
        <v>2.81</v>
      </c>
      <c r="I131" s="322">
        <v>2.81</v>
      </c>
      <c r="J131" s="26">
        <v>0.10100000000000001</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0.53700000000000003</v>
      </c>
      <c r="E132" s="93" t="s">
        <v>840</v>
      </c>
      <c r="F132" s="94" t="s">
        <v>840</v>
      </c>
      <c r="G132" s="319" t="s">
        <v>840</v>
      </c>
      <c r="H132" s="319">
        <v>2.81</v>
      </c>
      <c r="I132" s="322">
        <v>2.81</v>
      </c>
      <c r="J132" s="26">
        <v>0.10100000000000001</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0.51800000000000002</v>
      </c>
      <c r="E133" s="93" t="s">
        <v>840</v>
      </c>
      <c r="F133" s="94" t="s">
        <v>840</v>
      </c>
      <c r="G133" s="319" t="s">
        <v>840</v>
      </c>
      <c r="H133" s="319">
        <v>2.81</v>
      </c>
      <c r="I133" s="322">
        <v>2.81</v>
      </c>
      <c r="J133" s="26">
        <v>0.10100000000000001</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0.496</v>
      </c>
      <c r="E134" s="93" t="s">
        <v>840</v>
      </c>
      <c r="F134" s="94" t="s">
        <v>840</v>
      </c>
      <c r="G134" s="319" t="s">
        <v>840</v>
      </c>
      <c r="H134" s="319">
        <v>2.81</v>
      </c>
      <c r="I134" s="322">
        <v>2.81</v>
      </c>
      <c r="J134" s="26">
        <v>0.10100000000000001</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1.1990000000000001</v>
      </c>
      <c r="E135" s="93">
        <v>9.0999999999999998E-2</v>
      </c>
      <c r="F135" s="94">
        <v>3.0000000000000001E-3</v>
      </c>
      <c r="G135" s="319">
        <v>42.04</v>
      </c>
      <c r="H135" s="319">
        <v>3.2</v>
      </c>
      <c r="I135" s="322">
        <v>3.2</v>
      </c>
      <c r="J135" s="26">
        <v>8.5000000000000006E-2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0.08</v>
      </c>
      <c r="E136" s="93" t="s">
        <v>840</v>
      </c>
      <c r="F136" s="94" t="s">
        <v>840</v>
      </c>
      <c r="G136" s="319" t="s">
        <v>840</v>
      </c>
      <c r="H136" s="319">
        <v>3.2</v>
      </c>
      <c r="I136" s="322">
        <v>3.2</v>
      </c>
      <c r="J136" s="26">
        <v>8.5000000000000006E-2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3.0000000000000001E-3</v>
      </c>
      <c r="E137" s="93" t="s">
        <v>840</v>
      </c>
      <c r="F137" s="94" t="s">
        <v>840</v>
      </c>
      <c r="G137" s="319" t="s">
        <v>840</v>
      </c>
      <c r="H137" s="319">
        <v>3.2</v>
      </c>
      <c r="I137" s="322">
        <v>3.2</v>
      </c>
      <c r="J137" s="26">
        <v>8.5000000000000006E-2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3.5999999999999997E-2</v>
      </c>
      <c r="E138" s="93" t="s">
        <v>840</v>
      </c>
      <c r="F138" s="94" t="s">
        <v>840</v>
      </c>
      <c r="G138" s="319" t="s">
        <v>840</v>
      </c>
      <c r="H138" s="319">
        <v>3.2</v>
      </c>
      <c r="I138" s="322">
        <v>3.2</v>
      </c>
      <c r="J138" s="26">
        <v>8.5000000000000006E-2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7.0000000000000001E-3</v>
      </c>
      <c r="E139" s="93" t="s">
        <v>840</v>
      </c>
      <c r="F139" s="94" t="s">
        <v>840</v>
      </c>
      <c r="G139" s="319" t="s">
        <v>840</v>
      </c>
      <c r="H139" s="319">
        <v>3.2</v>
      </c>
      <c r="I139" s="322">
        <v>3.2</v>
      </c>
      <c r="J139" s="26">
        <v>8.5000000000000006E-2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847</v>
      </c>
      <c r="D140" s="95">
        <v>9.36</v>
      </c>
      <c r="E140" s="96">
        <v>0.59799999999999998</v>
      </c>
      <c r="F140" s="94">
        <v>9.9000000000000005E-2</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848</v>
      </c>
      <c r="D141" s="92">
        <v>-2.3780000000000001</v>
      </c>
      <c r="E141" s="93">
        <v>-0.16200000000000001</v>
      </c>
      <c r="F141" s="94">
        <v>-1.4E-2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-2.1840000000000002</v>
      </c>
      <c r="E142" s="93">
        <v>-0.152</v>
      </c>
      <c r="F142" s="94">
        <v>-1.0999999999999999E-2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-2.3780000000000001</v>
      </c>
      <c r="E143" s="93">
        <v>-0.16200000000000001</v>
      </c>
      <c r="F143" s="94">
        <v>-1.4E-2</v>
      </c>
      <c r="G143" s="319" t="s">
        <v>840</v>
      </c>
      <c r="H143" s="320" t="s">
        <v>840</v>
      </c>
      <c r="I143" s="321" t="s">
        <v>840</v>
      </c>
      <c r="J143" s="26">
        <v>0.151</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-2.1840000000000002</v>
      </c>
      <c r="E144" s="93">
        <v>-0.152</v>
      </c>
      <c r="F144" s="94">
        <v>-1.0999999999999999E-2</v>
      </c>
      <c r="G144" s="319" t="s">
        <v>840</v>
      </c>
      <c r="H144" s="320" t="s">
        <v>840</v>
      </c>
      <c r="I144" s="321" t="s">
        <v>840</v>
      </c>
      <c r="J144" s="26">
        <v>0.13300000000000001</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-1.887</v>
      </c>
      <c r="E145" s="93">
        <v>-0.14399999999999999</v>
      </c>
      <c r="F145" s="94">
        <v>-5.0000000000000001E-3</v>
      </c>
      <c r="G145" s="319">
        <v>3.94</v>
      </c>
      <c r="H145" s="320" t="s">
        <v>840</v>
      </c>
      <c r="I145" s="321" t="s">
        <v>840</v>
      </c>
      <c r="J145" s="26">
        <v>0.156</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1.667</v>
      </c>
      <c r="E146" s="93">
        <v>7.4999999999999997E-2</v>
      </c>
      <c r="F146" s="94" t="s">
        <v>840</v>
      </c>
      <c r="G146" s="319" t="s">
        <v>840</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1.7090000000000001</v>
      </c>
      <c r="E147" s="93">
        <v>0.11600000000000001</v>
      </c>
      <c r="F147" s="94">
        <v>0.01</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1.512</v>
      </c>
      <c r="E148" s="93">
        <v>0.10299999999999999</v>
      </c>
      <c r="F148" s="94">
        <v>8.9999999999999993E-3</v>
      </c>
      <c r="G148" s="319">
        <v>0.9</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1.4910000000000001</v>
      </c>
      <c r="E149" s="93">
        <v>8.2000000000000003E-2</v>
      </c>
      <c r="F149" s="94" t="s">
        <v>840</v>
      </c>
      <c r="G149" s="319" t="s">
        <v>840</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1.304</v>
      </c>
      <c r="E150" s="93" t="s">
        <v>840</v>
      </c>
      <c r="F150" s="94" t="s">
        <v>840</v>
      </c>
      <c r="G150" s="319" t="s">
        <v>840</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1.2230000000000001</v>
      </c>
      <c r="E151" s="93" t="s">
        <v>840</v>
      </c>
      <c r="F151" s="94" t="s">
        <v>840</v>
      </c>
      <c r="G151" s="319" t="s">
        <v>840</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1.169</v>
      </c>
      <c r="E152" s="93" t="s">
        <v>840</v>
      </c>
      <c r="F152" s="94" t="s">
        <v>840</v>
      </c>
      <c r="G152" s="319" t="s">
        <v>840</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1.512</v>
      </c>
      <c r="E153" s="93">
        <v>0.10299999999999999</v>
      </c>
      <c r="F153" s="94">
        <v>8.9999999999999993E-3</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1.135</v>
      </c>
      <c r="E154" s="93">
        <v>0.08</v>
      </c>
      <c r="F154" s="94">
        <v>5.0000000000000001E-3</v>
      </c>
      <c r="G154" s="319">
        <v>2.1800000000000002</v>
      </c>
      <c r="H154" s="319">
        <v>1.1100000000000001</v>
      </c>
      <c r="I154" s="322">
        <v>1.1100000000000001</v>
      </c>
      <c r="J154" s="26">
        <v>0.08</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0.68</v>
      </c>
      <c r="E155" s="93">
        <v>2.5000000000000001E-2</v>
      </c>
      <c r="F155" s="94">
        <v>4.0000000000000001E-3</v>
      </c>
      <c r="G155" s="319">
        <v>0.36</v>
      </c>
      <c r="H155" s="319">
        <v>1.1100000000000001</v>
      </c>
      <c r="I155" s="322">
        <v>1.1100000000000001</v>
      </c>
      <c r="J155" s="26">
        <v>0.08</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0.67200000000000004</v>
      </c>
      <c r="E156" s="93">
        <v>2.5000000000000001E-2</v>
      </c>
      <c r="F156" s="94">
        <v>4.0000000000000001E-3</v>
      </c>
      <c r="G156" s="319">
        <v>0.36</v>
      </c>
      <c r="H156" s="319">
        <v>1.1100000000000001</v>
      </c>
      <c r="I156" s="322">
        <v>1.1100000000000001</v>
      </c>
      <c r="J156" s="26">
        <v>0.08</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0.66200000000000003</v>
      </c>
      <c r="E157" s="93">
        <v>2.5000000000000001E-2</v>
      </c>
      <c r="F157" s="94">
        <v>4.0000000000000001E-3</v>
      </c>
      <c r="G157" s="319">
        <v>0.36</v>
      </c>
      <c r="H157" s="319">
        <v>1.1100000000000001</v>
      </c>
      <c r="I157" s="322">
        <v>1.1100000000000001</v>
      </c>
      <c r="J157" s="26">
        <v>0.08</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0.65200000000000002</v>
      </c>
      <c r="E158" s="93">
        <v>2.5000000000000001E-2</v>
      </c>
      <c r="F158" s="94">
        <v>4.0000000000000001E-3</v>
      </c>
      <c r="G158" s="319">
        <v>0.36</v>
      </c>
      <c r="H158" s="319">
        <v>1.1100000000000001</v>
      </c>
      <c r="I158" s="322">
        <v>1.1100000000000001</v>
      </c>
      <c r="J158" s="26">
        <v>0.08</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1.0189999999999999</v>
      </c>
      <c r="E159" s="93">
        <v>7.8E-2</v>
      </c>
      <c r="F159" s="94">
        <v>2E-3</v>
      </c>
      <c r="G159" s="319">
        <v>2.56</v>
      </c>
      <c r="H159" s="319">
        <v>1.92</v>
      </c>
      <c r="I159" s="322">
        <v>1.92</v>
      </c>
      <c r="J159" s="26">
        <v>7.0000000000000007E-2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0.38</v>
      </c>
      <c r="E160" s="93" t="s">
        <v>840</v>
      </c>
      <c r="F160" s="94" t="s">
        <v>840</v>
      </c>
      <c r="G160" s="319" t="s">
        <v>840</v>
      </c>
      <c r="H160" s="319">
        <v>1.92</v>
      </c>
      <c r="I160" s="322">
        <v>1.92</v>
      </c>
      <c r="J160" s="26">
        <v>7.0000000000000007E-2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0.36799999999999999</v>
      </c>
      <c r="E161" s="93" t="s">
        <v>840</v>
      </c>
      <c r="F161" s="94" t="s">
        <v>840</v>
      </c>
      <c r="G161" s="319" t="s">
        <v>840</v>
      </c>
      <c r="H161" s="319">
        <v>1.92</v>
      </c>
      <c r="I161" s="322">
        <v>1.92</v>
      </c>
      <c r="J161" s="26">
        <v>7.0000000000000007E-2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0.35499999999999998</v>
      </c>
      <c r="E162" s="93" t="s">
        <v>840</v>
      </c>
      <c r="F162" s="94" t="s">
        <v>840</v>
      </c>
      <c r="G162" s="319" t="s">
        <v>840</v>
      </c>
      <c r="H162" s="319">
        <v>1.92</v>
      </c>
      <c r="I162" s="322">
        <v>1.92</v>
      </c>
      <c r="J162" s="26">
        <v>7.0000000000000007E-2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0.34</v>
      </c>
      <c r="E163" s="93" t="s">
        <v>840</v>
      </c>
      <c r="F163" s="94" t="s">
        <v>840</v>
      </c>
      <c r="G163" s="319" t="s">
        <v>840</v>
      </c>
      <c r="H163" s="319">
        <v>1.92</v>
      </c>
      <c r="I163" s="322">
        <v>1.92</v>
      </c>
      <c r="J163" s="26">
        <v>7.0000000000000007E-2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0.82199999999999995</v>
      </c>
      <c r="E164" s="93">
        <v>6.3E-2</v>
      </c>
      <c r="F164" s="94">
        <v>2E-3</v>
      </c>
      <c r="G164" s="319">
        <v>28.81</v>
      </c>
      <c r="H164" s="319">
        <v>2.2000000000000002</v>
      </c>
      <c r="I164" s="322">
        <v>2.2000000000000002</v>
      </c>
      <c r="J164" s="26">
        <v>5.8000000000000003E-2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5.5E-2</v>
      </c>
      <c r="E165" s="93" t="s">
        <v>840</v>
      </c>
      <c r="F165" s="94" t="s">
        <v>840</v>
      </c>
      <c r="G165" s="319" t="s">
        <v>840</v>
      </c>
      <c r="H165" s="319">
        <v>2.2000000000000002</v>
      </c>
      <c r="I165" s="322">
        <v>2.2000000000000002</v>
      </c>
      <c r="J165" s="26">
        <v>5.8000000000000003E-2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2E-3</v>
      </c>
      <c r="E166" s="93" t="s">
        <v>840</v>
      </c>
      <c r="F166" s="94" t="s">
        <v>840</v>
      </c>
      <c r="G166" s="319" t="s">
        <v>840</v>
      </c>
      <c r="H166" s="319">
        <v>2.2000000000000002</v>
      </c>
      <c r="I166" s="322">
        <v>2.2000000000000002</v>
      </c>
      <c r="J166" s="26">
        <v>5.8000000000000003E-2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2.5000000000000001E-2</v>
      </c>
      <c r="E167" s="93" t="s">
        <v>840</v>
      </c>
      <c r="F167" s="94" t="s">
        <v>840</v>
      </c>
      <c r="G167" s="319" t="s">
        <v>840</v>
      </c>
      <c r="H167" s="319">
        <v>2.2000000000000002</v>
      </c>
      <c r="I167" s="322">
        <v>2.2000000000000002</v>
      </c>
      <c r="J167" s="26">
        <v>5.8000000000000003E-2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5.0000000000000001E-3</v>
      </c>
      <c r="E168" s="93" t="s">
        <v>840</v>
      </c>
      <c r="F168" s="94" t="s">
        <v>840</v>
      </c>
      <c r="G168" s="319" t="s">
        <v>840</v>
      </c>
      <c r="H168" s="319">
        <v>2.2000000000000002</v>
      </c>
      <c r="I168" s="322">
        <v>2.2000000000000002</v>
      </c>
      <c r="J168" s="26">
        <v>5.8000000000000003E-2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6.4160000000000004</v>
      </c>
      <c r="E169" s="96">
        <v>0.41</v>
      </c>
      <c r="F169" s="94">
        <v>6.8000000000000005E-2</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848</v>
      </c>
      <c r="D170" s="92">
        <v>-1.63</v>
      </c>
      <c r="E170" s="93">
        <v>-0.111</v>
      </c>
      <c r="F170" s="94">
        <v>-8.9999999999999993E-3</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-1.4970000000000001</v>
      </c>
      <c r="E171" s="93">
        <v>-0.104</v>
      </c>
      <c r="F171" s="94">
        <v>-8.0000000000000002E-3</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-1.63</v>
      </c>
      <c r="E172" s="93">
        <v>-0.111</v>
      </c>
      <c r="F172" s="94">
        <v>-8.9999999999999993E-3</v>
      </c>
      <c r="G172" s="319" t="s">
        <v>840</v>
      </c>
      <c r="H172" s="320" t="s">
        <v>840</v>
      </c>
      <c r="I172" s="321" t="s">
        <v>840</v>
      </c>
      <c r="J172" s="26">
        <v>0.10299999999999999</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-1.4970000000000001</v>
      </c>
      <c r="E173" s="93">
        <v>-0.104</v>
      </c>
      <c r="F173" s="94">
        <v>-8.0000000000000002E-3</v>
      </c>
      <c r="G173" s="319" t="s">
        <v>840</v>
      </c>
      <c r="H173" s="320" t="s">
        <v>840</v>
      </c>
      <c r="I173" s="321" t="s">
        <v>840</v>
      </c>
      <c r="J173" s="26">
        <v>9.0999999999999998E-2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-1.2929999999999999</v>
      </c>
      <c r="E174" s="93">
        <v>-9.9000000000000005E-2</v>
      </c>
      <c r="F174" s="94">
        <v>-3.0000000000000001E-3</v>
      </c>
      <c r="G174" s="319">
        <v>2.7</v>
      </c>
      <c r="H174" s="320" t="s">
        <v>840</v>
      </c>
      <c r="I174" s="321" t="s">
        <v>840</v>
      </c>
      <c r="J174" s="26">
        <v>0.107</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0.59899999999999998</v>
      </c>
      <c r="E175" s="93">
        <v>2.7E-2</v>
      </c>
      <c r="F175" s="94" t="s">
        <v>840</v>
      </c>
      <c r="G175" s="319" t="s">
        <v>840</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0.61399999999999999</v>
      </c>
      <c r="E176" s="93">
        <v>4.2000000000000003E-2</v>
      </c>
      <c r="F176" s="94">
        <v>4.0000000000000001E-3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0.54300000000000004</v>
      </c>
      <c r="E177" s="93">
        <v>3.6999999999999998E-2</v>
      </c>
      <c r="F177" s="94">
        <v>3.0000000000000001E-3</v>
      </c>
      <c r="G177" s="319">
        <v>0.32</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0.53500000000000003</v>
      </c>
      <c r="E178" s="93">
        <v>2.9000000000000001E-2</v>
      </c>
      <c r="F178" s="94" t="s">
        <v>840</v>
      </c>
      <c r="G178" s="319" t="s">
        <v>840</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0.46800000000000003</v>
      </c>
      <c r="E179" s="93" t="s">
        <v>840</v>
      </c>
      <c r="F179" s="94" t="s">
        <v>840</v>
      </c>
      <c r="G179" s="319" t="s">
        <v>840</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0.439</v>
      </c>
      <c r="E180" s="93" t="s">
        <v>840</v>
      </c>
      <c r="F180" s="94" t="s">
        <v>840</v>
      </c>
      <c r="G180" s="319" t="s">
        <v>840</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0.42</v>
      </c>
      <c r="E181" s="93" t="s">
        <v>840</v>
      </c>
      <c r="F181" s="94" t="s">
        <v>840</v>
      </c>
      <c r="G181" s="319" t="s">
        <v>840</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0.54300000000000004</v>
      </c>
      <c r="E182" s="93">
        <v>3.6999999999999998E-2</v>
      </c>
      <c r="F182" s="94">
        <v>3.0000000000000001E-3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0.40699999999999997</v>
      </c>
      <c r="E183" s="93">
        <v>2.9000000000000001E-2</v>
      </c>
      <c r="F183" s="94">
        <v>2E-3</v>
      </c>
      <c r="G183" s="319">
        <v>0.78</v>
      </c>
      <c r="H183" s="319">
        <v>0.4</v>
      </c>
      <c r="I183" s="322">
        <v>0.4</v>
      </c>
      <c r="J183" s="26">
        <v>2.9000000000000001E-2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0.24399999999999999</v>
      </c>
      <c r="E184" s="93">
        <v>8.9999999999999993E-3</v>
      </c>
      <c r="F184" s="94">
        <v>1E-3</v>
      </c>
      <c r="G184" s="319">
        <v>0.13</v>
      </c>
      <c r="H184" s="319">
        <v>0.4</v>
      </c>
      <c r="I184" s="322">
        <v>0.4</v>
      </c>
      <c r="J184" s="26">
        <v>2.9000000000000001E-2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0.24099999999999999</v>
      </c>
      <c r="E185" s="93">
        <v>8.9999999999999993E-3</v>
      </c>
      <c r="F185" s="94">
        <v>1E-3</v>
      </c>
      <c r="G185" s="319">
        <v>0.13</v>
      </c>
      <c r="H185" s="319">
        <v>0.4</v>
      </c>
      <c r="I185" s="322">
        <v>0.4</v>
      </c>
      <c r="J185" s="26">
        <v>2.9000000000000001E-2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0.23799999999999999</v>
      </c>
      <c r="E186" s="93">
        <v>8.9999999999999993E-3</v>
      </c>
      <c r="F186" s="94">
        <v>1E-3</v>
      </c>
      <c r="G186" s="319">
        <v>0.13</v>
      </c>
      <c r="H186" s="319">
        <v>0.4</v>
      </c>
      <c r="I186" s="322">
        <v>0.4</v>
      </c>
      <c r="J186" s="26">
        <v>2.9000000000000001E-2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0.23400000000000001</v>
      </c>
      <c r="E187" s="93">
        <v>8.9999999999999993E-3</v>
      </c>
      <c r="F187" s="94">
        <v>1E-3</v>
      </c>
      <c r="G187" s="319">
        <v>0.13</v>
      </c>
      <c r="H187" s="319">
        <v>0.4</v>
      </c>
      <c r="I187" s="322">
        <v>0.4</v>
      </c>
      <c r="J187" s="26">
        <v>2.9000000000000001E-2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0.36599999999999999</v>
      </c>
      <c r="E188" s="93">
        <v>2.8000000000000001E-2</v>
      </c>
      <c r="F188" s="94">
        <v>1E-3</v>
      </c>
      <c r="G188" s="319">
        <v>0.92</v>
      </c>
      <c r="H188" s="319">
        <v>0.69</v>
      </c>
      <c r="I188" s="322">
        <v>0.69</v>
      </c>
      <c r="J188" s="26">
        <v>2.5000000000000001E-2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0.13600000000000001</v>
      </c>
      <c r="E189" s="93" t="s">
        <v>840</v>
      </c>
      <c r="F189" s="94" t="s">
        <v>840</v>
      </c>
      <c r="G189" s="319" t="s">
        <v>840</v>
      </c>
      <c r="H189" s="319">
        <v>0.69</v>
      </c>
      <c r="I189" s="322">
        <v>0.69</v>
      </c>
      <c r="J189" s="26">
        <v>2.5000000000000001E-2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0.13200000000000001</v>
      </c>
      <c r="E190" s="93" t="s">
        <v>840</v>
      </c>
      <c r="F190" s="94" t="s">
        <v>840</v>
      </c>
      <c r="G190" s="319" t="s">
        <v>840</v>
      </c>
      <c r="H190" s="319">
        <v>0.69</v>
      </c>
      <c r="I190" s="322">
        <v>0.69</v>
      </c>
      <c r="J190" s="26">
        <v>2.5000000000000001E-2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0.127</v>
      </c>
      <c r="E191" s="93" t="s">
        <v>840</v>
      </c>
      <c r="F191" s="94" t="s">
        <v>840</v>
      </c>
      <c r="G191" s="319" t="s">
        <v>840</v>
      </c>
      <c r="H191" s="319">
        <v>0.69</v>
      </c>
      <c r="I191" s="322">
        <v>0.69</v>
      </c>
      <c r="J191" s="26">
        <v>2.5000000000000001E-2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0.122</v>
      </c>
      <c r="E192" s="93" t="s">
        <v>840</v>
      </c>
      <c r="F192" s="94" t="s">
        <v>840</v>
      </c>
      <c r="G192" s="319" t="s">
        <v>840</v>
      </c>
      <c r="H192" s="319">
        <v>0.69</v>
      </c>
      <c r="I192" s="322">
        <v>0.69</v>
      </c>
      <c r="J192" s="26">
        <v>2.5000000000000001E-2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0.29499999999999998</v>
      </c>
      <c r="E193" s="93">
        <v>2.1999999999999999E-2</v>
      </c>
      <c r="F193" s="94">
        <v>1E-3</v>
      </c>
      <c r="G193" s="319">
        <v>10.35</v>
      </c>
      <c r="H193" s="319">
        <v>0.79</v>
      </c>
      <c r="I193" s="322">
        <v>0.79</v>
      </c>
      <c r="J193" s="26">
        <v>2.1000000000000001E-2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0.02</v>
      </c>
      <c r="E194" s="93" t="s">
        <v>840</v>
      </c>
      <c r="F194" s="94" t="s">
        <v>840</v>
      </c>
      <c r="G194" s="319" t="s">
        <v>840</v>
      </c>
      <c r="H194" s="319">
        <v>0.79</v>
      </c>
      <c r="I194" s="322">
        <v>0.79</v>
      </c>
      <c r="J194" s="26">
        <v>2.1000000000000001E-2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1E-3</v>
      </c>
      <c r="E195" s="93" t="s">
        <v>840</v>
      </c>
      <c r="F195" s="94" t="s">
        <v>840</v>
      </c>
      <c r="G195" s="319" t="s">
        <v>840</v>
      </c>
      <c r="H195" s="319">
        <v>0.79</v>
      </c>
      <c r="I195" s="322">
        <v>0.79</v>
      </c>
      <c r="J195" s="26">
        <v>2.1000000000000001E-2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8.9999999999999993E-3</v>
      </c>
      <c r="E196" s="93" t="s">
        <v>840</v>
      </c>
      <c r="F196" s="94" t="s">
        <v>840</v>
      </c>
      <c r="G196" s="319" t="s">
        <v>840</v>
      </c>
      <c r="H196" s="319">
        <v>0.79</v>
      </c>
      <c r="I196" s="322">
        <v>0.79</v>
      </c>
      <c r="J196" s="26">
        <v>2.1000000000000001E-2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2E-3</v>
      </c>
      <c r="E197" s="93" t="s">
        <v>840</v>
      </c>
      <c r="F197" s="94" t="s">
        <v>840</v>
      </c>
      <c r="G197" s="319" t="s">
        <v>840</v>
      </c>
      <c r="H197" s="319">
        <v>0.79</v>
      </c>
      <c r="I197" s="322">
        <v>0.79</v>
      </c>
      <c r="J197" s="26">
        <v>2.1000000000000001E-2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2.3039999999999998</v>
      </c>
      <c r="E198" s="96">
        <v>0.14699999999999999</v>
      </c>
      <c r="F198" s="94">
        <v>2.4E-2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848</v>
      </c>
      <c r="D199" s="92">
        <v>-0.58499999999999996</v>
      </c>
      <c r="E199" s="93">
        <v>-0.04</v>
      </c>
      <c r="F199" s="94">
        <v>-3.0000000000000001E-3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-0.53800000000000003</v>
      </c>
      <c r="E200" s="93">
        <v>-3.6999999999999998E-2</v>
      </c>
      <c r="F200" s="94">
        <v>-3.0000000000000001E-3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-0.58499999999999996</v>
      </c>
      <c r="E201" s="93">
        <v>-0.04</v>
      </c>
      <c r="F201" s="94">
        <v>-3.0000000000000001E-3</v>
      </c>
      <c r="G201" s="319" t="s">
        <v>840</v>
      </c>
      <c r="H201" s="320" t="s">
        <v>840</v>
      </c>
      <c r="I201" s="321" t="s">
        <v>840</v>
      </c>
      <c r="J201" s="26">
        <v>3.6999999999999998E-2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-0.53800000000000003</v>
      </c>
      <c r="E202" s="93">
        <v>-3.6999999999999998E-2</v>
      </c>
      <c r="F202" s="94">
        <v>-3.0000000000000001E-3</v>
      </c>
      <c r="G202" s="319" t="s">
        <v>840</v>
      </c>
      <c r="H202" s="320" t="s">
        <v>840</v>
      </c>
      <c r="I202" s="321" t="s">
        <v>840</v>
      </c>
      <c r="J202" s="26">
        <v>3.3000000000000002E-2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-0.46400000000000002</v>
      </c>
      <c r="E203" s="93">
        <v>-3.5000000000000003E-2</v>
      </c>
      <c r="F203" s="94">
        <v>-1E-3</v>
      </c>
      <c r="G203" s="319">
        <v>0.97</v>
      </c>
      <c r="H203" s="320" t="s">
        <v>840</v>
      </c>
      <c r="I203" s="321" t="s">
        <v>840</v>
      </c>
      <c r="J203" s="26">
        <v>3.7999999999999999E-2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2">
    <mergeCell ref="L4:R5"/>
    <mergeCell ref="F5:G5"/>
    <mergeCell ref="A2:J2"/>
    <mergeCell ref="A4:D4"/>
    <mergeCell ref="F4:J4"/>
    <mergeCell ref="H10:J10"/>
    <mergeCell ref="F6:G6"/>
    <mergeCell ref="F7:G7"/>
    <mergeCell ref="B8:D8"/>
    <mergeCell ref="F8:G8"/>
    <mergeCell ref="F9:G9"/>
    <mergeCell ref="F10:G10"/>
  </mergeCells>
  <conditionalFormatting sqref="K14:Q203">
    <cfRule type="cellIs" dxfId="70" priority="2" operator="equal">
      <formula>0</formula>
    </cfRule>
    <cfRule type="cellIs" dxfId="69" priority="3" operator="lessThan">
      <formula>0</formula>
    </cfRule>
    <cfRule type="cellIs" dxfId="68" priority="4" operator="greaterThan">
      <formula>0</formula>
    </cfRule>
  </conditionalFormatting>
  <conditionalFormatting sqref="K14:R203">
    <cfRule type="expression" dxfId="67" priority="1">
      <formula>$K14&lt;&gt;""</formula>
    </cfRule>
  </conditionalFormatting>
  <hyperlinks>
    <hyperlink ref="A1" location="Overview!A1" display="Back to Overview" xr:uid="{0850C097-A900-4CFD-BFC2-ADED5F53A4C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21.7109375" style="1" customWidth="1"/>
    <col min="4" max="4" width="17.7109375" style="1" customWidth="1"/>
    <col min="5" max="7" width="17.7109375" style="2" customWidth="1"/>
    <col min="8" max="8" width="21.28515625" style="6" bestFit="1" customWidth="1"/>
    <col min="9" max="9" width="23.7109375" style="6" bestFit="1" customWidth="1"/>
    <col min="10" max="10" width="21"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31.5" customHeight="1" x14ac:dyDescent="0.2">
      <c r="A2" s="468" t="str">
        <f>Overview!B4&amp;" - Effective from "&amp;TEXT(Overview!$D$4,"d mmmm yyyy")&amp;" - Final LDNO tariffs in SP Manweb Area (GSP Group_D)"</f>
        <v>Leep Electricity Networks Limited - Effective from 1 April 2026 - Final LDNO tariffs in SP Manweb Area (GSP Group_D)</v>
      </c>
      <c r="B2" s="468"/>
      <c r="C2" s="468"/>
      <c r="D2" s="468"/>
      <c r="E2" s="468"/>
      <c r="F2" s="468"/>
      <c r="G2" s="468"/>
      <c r="H2" s="468"/>
      <c r="I2" s="468"/>
      <c r="J2" s="468"/>
    </row>
    <row r="3" spans="1:17" ht="8.25" customHeight="1" x14ac:dyDescent="0.2">
      <c r="A3" s="47"/>
      <c r="B3" s="47"/>
      <c r="C3" s="47"/>
      <c r="D3" s="47"/>
      <c r="E3" s="47"/>
      <c r="F3" s="47"/>
      <c r="G3" s="47"/>
      <c r="H3" s="47"/>
      <c r="I3" s="47"/>
      <c r="J3" s="47"/>
    </row>
    <row r="4" spans="1:17" ht="27" customHeight="1" x14ac:dyDescent="0.2">
      <c r="A4" s="382" t="s">
        <v>308</v>
      </c>
      <c r="B4" s="383"/>
      <c r="C4" s="383"/>
      <c r="D4" s="384"/>
      <c r="E4" s="51"/>
      <c r="F4" s="382" t="s">
        <v>307</v>
      </c>
      <c r="G4" s="383"/>
      <c r="H4" s="383"/>
      <c r="I4" s="383"/>
      <c r="J4" s="384"/>
      <c r="K4" s="3"/>
    </row>
    <row r="5" spans="1:17" ht="32.25" customHeight="1" x14ac:dyDescent="0.2">
      <c r="A5" s="40" t="s">
        <v>13</v>
      </c>
      <c r="B5" s="258" t="s">
        <v>299</v>
      </c>
      <c r="C5" s="271" t="s">
        <v>300</v>
      </c>
      <c r="D5" s="42" t="s">
        <v>301</v>
      </c>
      <c r="E5" s="46"/>
      <c r="F5" s="368"/>
      <c r="G5" s="369"/>
      <c r="H5" s="44" t="s">
        <v>305</v>
      </c>
      <c r="I5" s="45" t="s">
        <v>306</v>
      </c>
      <c r="J5" s="42" t="s">
        <v>301</v>
      </c>
      <c r="K5" s="3"/>
      <c r="L5" s="3"/>
    </row>
    <row r="6" spans="1:17" ht="56.25" customHeight="1" x14ac:dyDescent="0.2">
      <c r="A6" s="43" t="str">
        <f>'Annex 1 LV and HV charges_D'!A6</f>
        <v>Monday to Friday 
(Including Bank Holidays)
All Year</v>
      </c>
      <c r="B6" s="13" t="str">
        <f>'Annex 1 LV and HV charges_D'!B6</f>
        <v>16.30 - 19.30</v>
      </c>
      <c r="C6" s="253" t="str">
        <f>'Annex 1 LV and HV charges_D'!C6</f>
        <v>08.00 - 16.30
19.30 - 22.30</v>
      </c>
      <c r="D6" s="97" t="str">
        <f>'Annex 1 LV and HV charges_D'!E6</f>
        <v>00.00 - 08.00
22.30 - 00.00</v>
      </c>
      <c r="E6" s="46"/>
      <c r="F6" s="479" t="str">
        <f>'Annex 1 LV and HV charges_D'!G6</f>
        <v>Monday to Friday 
(Including Bank Holidays)
June to August Inclusive</v>
      </c>
      <c r="G6" s="480">
        <f>'Annex 1 LV and HV charges_D'!H6</f>
        <v>0</v>
      </c>
      <c r="H6" s="252" t="str">
        <f>'Annex 1 LV and HV charges_D'!I6</f>
        <v/>
      </c>
      <c r="I6" s="250" t="str">
        <f>'Annex 1 LV and HV charges_D'!J6</f>
        <v>08.00 - 22.30</v>
      </c>
      <c r="J6" s="97" t="str">
        <f>'Annex 1 LV and HV charges_D'!K6</f>
        <v>00.00 - 08.00
22.30 - 00.00</v>
      </c>
      <c r="K6" s="3"/>
      <c r="L6" s="3"/>
    </row>
    <row r="7" spans="1:17" ht="56.25" customHeight="1" x14ac:dyDescent="0.2">
      <c r="A7" s="43" t="str">
        <f>'Annex 1 LV and HV charges_D'!A7</f>
        <v>Saturday and Sunday
All Year</v>
      </c>
      <c r="B7" s="252" t="str">
        <f>'Annex 1 LV and HV charges_D'!B7</f>
        <v/>
      </c>
      <c r="C7" s="184" t="str">
        <f>'Annex 1 LV and HV charges_D'!C7</f>
        <v>16.00 - 20.00</v>
      </c>
      <c r="D7" s="250" t="str">
        <f>'Annex 1 LV and HV charges_D'!E7</f>
        <v>00.00 - 16.00
20.00 - 00.00</v>
      </c>
      <c r="E7" s="46"/>
      <c r="F7" s="479" t="str">
        <f>'Annex 1 LV and HV charges_D'!G7</f>
        <v>Monday to Friday 
(Including Bank Holidays)
November to February Inclusive</v>
      </c>
      <c r="G7" s="480">
        <f>'Annex 1 LV and HV charges_D'!H7</f>
        <v>0</v>
      </c>
      <c r="H7" s="13" t="str">
        <f>'Annex 1 LV and HV charges_D'!I7</f>
        <v>16.30 - 19.30</v>
      </c>
      <c r="I7" s="250" t="str">
        <f>'Annex 1 LV and HV charges_D'!J7</f>
        <v>08.00 - 16.30
19.30 - 22.30</v>
      </c>
      <c r="J7" s="97" t="str">
        <f>'Annex 1 LV and HV charges_D'!K7</f>
        <v>00.00 - 08.00
22.30 - 00.00</v>
      </c>
      <c r="K7" s="3"/>
      <c r="L7" s="3"/>
    </row>
    <row r="8" spans="1:17" ht="55.5" customHeight="1" x14ac:dyDescent="0.2">
      <c r="A8" s="259" t="str">
        <f>'Annex 1 LV and HV charges_D'!A8</f>
        <v>Notes</v>
      </c>
      <c r="B8" s="389" t="str">
        <f>'Annex 1 LV and HV charges_D'!B8</f>
        <v>All the above times are in UK Clock time</v>
      </c>
      <c r="C8" s="390">
        <f>'Annex 1 LV and HV charges_D'!C8</f>
        <v>0</v>
      </c>
      <c r="D8" s="391">
        <f>'Annex 1 LV and HV charges_D'!D8</f>
        <v>0</v>
      </c>
      <c r="E8" s="46"/>
      <c r="F8" s="479" t="str">
        <f>'Annex 1 LV and HV charges_D'!G8</f>
        <v>Monday to Friday 
(Including Bank Holidays)
March, April, May and September, October</v>
      </c>
      <c r="G8" s="480">
        <f>'Annex 1 LV and HV charges_D'!H8</f>
        <v>0</v>
      </c>
      <c r="H8" s="252" t="str">
        <f>'Annex 1 LV and HV charges_D'!I8</f>
        <v>`</v>
      </c>
      <c r="I8" s="250" t="str">
        <f>'Annex 1 LV and HV charges_D'!J8</f>
        <v>08.00 - 22.30</v>
      </c>
      <c r="J8" s="97" t="str">
        <f>'Annex 1 LV and HV charges_D'!K8</f>
        <v>00.00 - 08.00
22.30 - 00.00</v>
      </c>
      <c r="K8" s="3"/>
      <c r="L8" s="3"/>
    </row>
    <row r="9" spans="1:17" s="41" customFormat="1" ht="55.5" customHeight="1" x14ac:dyDescent="0.2">
      <c r="E9" s="48"/>
      <c r="F9" s="380" t="str">
        <f>'Annex 1 LV and HV charges_D'!G9</f>
        <v>Saturday and Sunday
All year</v>
      </c>
      <c r="G9" s="381">
        <f>'Annex 1 LV and HV charges_D'!H9</f>
        <v>0</v>
      </c>
      <c r="H9" s="252" t="str">
        <f>'Annex 1 LV and HV charges_D'!I9</f>
        <v/>
      </c>
      <c r="I9" s="97" t="str">
        <f>'Annex 1 LV and HV charges_D'!J9</f>
        <v>16.00 - 20.00</v>
      </c>
      <c r="J9" s="97" t="str">
        <f>'Annex 1 LV and HV charges_D'!K9</f>
        <v>00:00-16:00
20:00-00:00</v>
      </c>
      <c r="K9" s="31"/>
      <c r="L9" s="31"/>
    </row>
    <row r="10" spans="1:17" s="41" customFormat="1" ht="21" customHeight="1" x14ac:dyDescent="0.2">
      <c r="B10" s="46"/>
      <c r="C10" s="46"/>
      <c r="D10" s="46"/>
      <c r="E10" s="48"/>
      <c r="F10" s="400" t="str">
        <f>'Annex 1 LV and HV charges_D'!G10</f>
        <v>Notes</v>
      </c>
      <c r="G10" s="401">
        <f>'Annex 1 LV and HV charges_D'!H10</f>
        <v>0</v>
      </c>
      <c r="H10" s="402" t="str">
        <f>'Annex 1 LV and HV charges_D'!I10</f>
        <v>All the above times are in UK Clock time</v>
      </c>
      <c r="I10" s="403">
        <f>'Annex 1 LV and HV charges_D'!J10</f>
        <v>0</v>
      </c>
      <c r="J10" s="404">
        <f>'Annex 1 LV and HV charges_D'!K10</f>
        <v>0</v>
      </c>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v>0</v>
      </c>
      <c r="D14" s="92">
        <v>9.4190000000000005</v>
      </c>
      <c r="E14" s="93">
        <v>2.056</v>
      </c>
      <c r="F14" s="94">
        <v>0.29599999999999999</v>
      </c>
      <c r="G14" s="319">
        <v>14.38</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0</v>
      </c>
      <c r="D15" s="92">
        <v>9.4190000000000005</v>
      </c>
      <c r="E15" s="93">
        <v>2.056</v>
      </c>
      <c r="F15" s="94">
        <v>0.29599999999999999</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v>0</v>
      </c>
      <c r="D16" s="92">
        <v>10.071999999999999</v>
      </c>
      <c r="E16" s="93">
        <v>2.1989999999999998</v>
      </c>
      <c r="F16" s="94">
        <v>0.317</v>
      </c>
      <c r="G16" s="319">
        <v>4.47</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v>0</v>
      </c>
      <c r="D17" s="92">
        <v>10.071999999999999</v>
      </c>
      <c r="E17" s="93">
        <v>2.1989999999999998</v>
      </c>
      <c r="F17" s="94">
        <v>0.317</v>
      </c>
      <c r="G17" s="319">
        <v>16.37</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v>0</v>
      </c>
      <c r="D18" s="92">
        <v>10.071999999999999</v>
      </c>
      <c r="E18" s="93">
        <v>2.1989999999999998</v>
      </c>
      <c r="F18" s="94">
        <v>0.317</v>
      </c>
      <c r="G18" s="319">
        <v>30.46</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v>0</v>
      </c>
      <c r="D19" s="92">
        <v>10.071999999999999</v>
      </c>
      <c r="E19" s="93">
        <v>2.1989999999999998</v>
      </c>
      <c r="F19" s="94">
        <v>0.317</v>
      </c>
      <c r="G19" s="319">
        <v>59.92</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v>0</v>
      </c>
      <c r="D20" s="92">
        <v>10.071999999999999</v>
      </c>
      <c r="E20" s="93">
        <v>2.1989999999999998</v>
      </c>
      <c r="F20" s="94">
        <v>0.317</v>
      </c>
      <c r="G20" s="319">
        <v>165.41</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0</v>
      </c>
      <c r="D21" s="92">
        <v>10.071999999999999</v>
      </c>
      <c r="E21" s="93">
        <v>2.1989999999999998</v>
      </c>
      <c r="F21" s="94">
        <v>0.317</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7.2130000000000001</v>
      </c>
      <c r="E22" s="93">
        <v>1.4079999999999999</v>
      </c>
      <c r="F22" s="94">
        <v>0.193</v>
      </c>
      <c r="G22" s="319">
        <v>14.94</v>
      </c>
      <c r="H22" s="319">
        <v>4.2</v>
      </c>
      <c r="I22" s="322">
        <v>4.2</v>
      </c>
      <c r="J22" s="26">
        <v>0.38400000000000001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7.2130000000000001</v>
      </c>
      <c r="E23" s="93">
        <v>1.4079999999999999</v>
      </c>
      <c r="F23" s="94">
        <v>0.193</v>
      </c>
      <c r="G23" s="319">
        <v>335.11</v>
      </c>
      <c r="H23" s="319">
        <v>4.2</v>
      </c>
      <c r="I23" s="322">
        <v>4.2</v>
      </c>
      <c r="J23" s="26">
        <v>0.38400000000000001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7.2130000000000001</v>
      </c>
      <c r="E24" s="93">
        <v>1.4079999999999999</v>
      </c>
      <c r="F24" s="94">
        <v>0.193</v>
      </c>
      <c r="G24" s="319">
        <v>625.32000000000005</v>
      </c>
      <c r="H24" s="319">
        <v>4.2</v>
      </c>
      <c r="I24" s="322">
        <v>4.2</v>
      </c>
      <c r="J24" s="26">
        <v>0.38400000000000001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7.2130000000000001</v>
      </c>
      <c r="E25" s="93">
        <v>1.4079999999999999</v>
      </c>
      <c r="F25" s="94">
        <v>0.193</v>
      </c>
      <c r="G25" s="319">
        <v>962.6</v>
      </c>
      <c r="H25" s="319">
        <v>4.2</v>
      </c>
      <c r="I25" s="322">
        <v>4.2</v>
      </c>
      <c r="J25" s="26">
        <v>0.38400000000000001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7.2130000000000001</v>
      </c>
      <c r="E26" s="93">
        <v>1.4079999999999999</v>
      </c>
      <c r="F26" s="94">
        <v>0.193</v>
      </c>
      <c r="G26" s="319">
        <v>2198.6999999999998</v>
      </c>
      <c r="H26" s="319">
        <v>4.2</v>
      </c>
      <c r="I26" s="322">
        <v>4.2</v>
      </c>
      <c r="J26" s="26">
        <v>0.38400000000000001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v>0</v>
      </c>
      <c r="D27" s="95">
        <v>20.962</v>
      </c>
      <c r="E27" s="96">
        <v>3.1629999999999998</v>
      </c>
      <c r="F27" s="94">
        <v>1.7490000000000001</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v>0</v>
      </c>
      <c r="D28" s="92">
        <v>-10.986000000000001</v>
      </c>
      <c r="E28" s="93">
        <v>-2.3980000000000001</v>
      </c>
      <c r="F28" s="94">
        <v>-0.34599999999999997</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-10.986000000000001</v>
      </c>
      <c r="E29" s="93">
        <v>-2.3980000000000001</v>
      </c>
      <c r="F29" s="94">
        <v>-0.34599999999999997</v>
      </c>
      <c r="G29" s="319" t="s">
        <v>840</v>
      </c>
      <c r="H29" s="320" t="s">
        <v>840</v>
      </c>
      <c r="I29" s="321" t="s">
        <v>840</v>
      </c>
      <c r="J29" s="26">
        <v>0.622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v>0</v>
      </c>
      <c r="D30" s="92">
        <v>6.7770000000000001</v>
      </c>
      <c r="E30" s="93">
        <v>1.48</v>
      </c>
      <c r="F30" s="94">
        <v>0.21299999999999999</v>
      </c>
      <c r="G30" s="319">
        <v>10.35</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0</v>
      </c>
      <c r="D31" s="92">
        <v>6.7770000000000001</v>
      </c>
      <c r="E31" s="93">
        <v>1.48</v>
      </c>
      <c r="F31" s="94">
        <v>0.21299999999999999</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v>0</v>
      </c>
      <c r="D32" s="92">
        <v>7.2469999999999999</v>
      </c>
      <c r="E32" s="93">
        <v>1.5820000000000001</v>
      </c>
      <c r="F32" s="94">
        <v>0.22800000000000001</v>
      </c>
      <c r="G32" s="319">
        <v>3.21</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v>0</v>
      </c>
      <c r="D33" s="92">
        <v>7.2469999999999999</v>
      </c>
      <c r="E33" s="93">
        <v>1.5820000000000001</v>
      </c>
      <c r="F33" s="94">
        <v>0.22800000000000001</v>
      </c>
      <c r="G33" s="319">
        <v>11.78</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v>0</v>
      </c>
      <c r="D34" s="92">
        <v>7.2469999999999999</v>
      </c>
      <c r="E34" s="93">
        <v>1.5820000000000001</v>
      </c>
      <c r="F34" s="94">
        <v>0.22800000000000001</v>
      </c>
      <c r="G34" s="319">
        <v>21.91</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v>0</v>
      </c>
      <c r="D35" s="92">
        <v>7.2469999999999999</v>
      </c>
      <c r="E35" s="93">
        <v>1.5820000000000001</v>
      </c>
      <c r="F35" s="94">
        <v>0.22800000000000001</v>
      </c>
      <c r="G35" s="319">
        <v>43.11</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v>0</v>
      </c>
      <c r="D36" s="92">
        <v>7.2469999999999999</v>
      </c>
      <c r="E36" s="93">
        <v>1.5820000000000001</v>
      </c>
      <c r="F36" s="94">
        <v>0.22800000000000001</v>
      </c>
      <c r="G36" s="319">
        <v>119.02</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0</v>
      </c>
      <c r="D37" s="92">
        <v>7.2469999999999999</v>
      </c>
      <c r="E37" s="93">
        <v>1.5820000000000001</v>
      </c>
      <c r="F37" s="94">
        <v>0.22800000000000001</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5.19</v>
      </c>
      <c r="E38" s="93">
        <v>1.0129999999999999</v>
      </c>
      <c r="F38" s="94">
        <v>0.13900000000000001</v>
      </c>
      <c r="G38" s="319">
        <v>10.75</v>
      </c>
      <c r="H38" s="319">
        <v>3.03</v>
      </c>
      <c r="I38" s="322">
        <v>3.03</v>
      </c>
      <c r="J38" s="26">
        <v>0.27600000000000002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5.19</v>
      </c>
      <c r="E39" s="93">
        <v>1.0129999999999999</v>
      </c>
      <c r="F39" s="94">
        <v>0.13900000000000001</v>
      </c>
      <c r="G39" s="319">
        <v>241.12</v>
      </c>
      <c r="H39" s="319">
        <v>3.03</v>
      </c>
      <c r="I39" s="322">
        <v>3.03</v>
      </c>
      <c r="J39" s="26">
        <v>0.27600000000000002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5.19</v>
      </c>
      <c r="E40" s="93">
        <v>1.0129999999999999</v>
      </c>
      <c r="F40" s="94">
        <v>0.13900000000000001</v>
      </c>
      <c r="G40" s="319">
        <v>449.94</v>
      </c>
      <c r="H40" s="319">
        <v>3.03</v>
      </c>
      <c r="I40" s="322">
        <v>3.03</v>
      </c>
      <c r="J40" s="26">
        <v>0.27600000000000002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5.19</v>
      </c>
      <c r="E41" s="93">
        <v>1.0129999999999999</v>
      </c>
      <c r="F41" s="94">
        <v>0.13900000000000001</v>
      </c>
      <c r="G41" s="319">
        <v>692.62</v>
      </c>
      <c r="H41" s="319">
        <v>3.03</v>
      </c>
      <c r="I41" s="322">
        <v>3.03</v>
      </c>
      <c r="J41" s="26">
        <v>0.27600000000000002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5.19</v>
      </c>
      <c r="E42" s="93">
        <v>1.0129999999999999</v>
      </c>
      <c r="F42" s="94">
        <v>0.13900000000000001</v>
      </c>
      <c r="G42" s="319">
        <v>1582.03</v>
      </c>
      <c r="H42" s="319">
        <v>3.03</v>
      </c>
      <c r="I42" s="322">
        <v>3.03</v>
      </c>
      <c r="J42" s="26">
        <v>0.27600000000000002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6.5410000000000004</v>
      </c>
      <c r="E43" s="93">
        <v>0.99299999999999999</v>
      </c>
      <c r="F43" s="94">
        <v>0.11700000000000001</v>
      </c>
      <c r="G43" s="319">
        <v>6.21</v>
      </c>
      <c r="H43" s="319">
        <v>7.76</v>
      </c>
      <c r="I43" s="322">
        <v>7.76</v>
      </c>
      <c r="J43" s="26">
        <v>0.251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6.5410000000000004</v>
      </c>
      <c r="E44" s="93">
        <v>0.99299999999999999</v>
      </c>
      <c r="F44" s="94">
        <v>0.11700000000000001</v>
      </c>
      <c r="G44" s="319">
        <v>383.51</v>
      </c>
      <c r="H44" s="319">
        <v>7.76</v>
      </c>
      <c r="I44" s="322">
        <v>7.76</v>
      </c>
      <c r="J44" s="26">
        <v>0.251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6.5410000000000004</v>
      </c>
      <c r="E45" s="93">
        <v>0.99299999999999999</v>
      </c>
      <c r="F45" s="94">
        <v>0.11700000000000001</v>
      </c>
      <c r="G45" s="319">
        <v>725.49</v>
      </c>
      <c r="H45" s="319">
        <v>7.76</v>
      </c>
      <c r="I45" s="322">
        <v>7.76</v>
      </c>
      <c r="J45" s="26">
        <v>0.251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6.5410000000000004</v>
      </c>
      <c r="E46" s="93">
        <v>0.99299999999999999</v>
      </c>
      <c r="F46" s="94">
        <v>0.11700000000000001</v>
      </c>
      <c r="G46" s="319">
        <v>1122.93</v>
      </c>
      <c r="H46" s="319">
        <v>7.76</v>
      </c>
      <c r="I46" s="322">
        <v>7.76</v>
      </c>
      <c r="J46" s="26">
        <v>0.251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6.5410000000000004</v>
      </c>
      <c r="E47" s="93">
        <v>0.99299999999999999</v>
      </c>
      <c r="F47" s="94">
        <v>0.11700000000000001</v>
      </c>
      <c r="G47" s="319">
        <v>2579.5500000000002</v>
      </c>
      <c r="H47" s="319">
        <v>7.76</v>
      </c>
      <c r="I47" s="322">
        <v>7.76</v>
      </c>
      <c r="J47" s="26">
        <v>0.251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5.8330000000000002</v>
      </c>
      <c r="E48" s="93">
        <v>0.79500000000000004</v>
      </c>
      <c r="F48" s="94">
        <v>8.3000000000000004E-2</v>
      </c>
      <c r="G48" s="319">
        <v>106.38</v>
      </c>
      <c r="H48" s="319">
        <v>8.16</v>
      </c>
      <c r="I48" s="322">
        <v>8.16</v>
      </c>
      <c r="J48" s="26">
        <v>0.19700000000000001</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5.8330000000000002</v>
      </c>
      <c r="E49" s="93">
        <v>0.79500000000000004</v>
      </c>
      <c r="F49" s="94">
        <v>8.3000000000000004E-2</v>
      </c>
      <c r="G49" s="319">
        <v>2357.62</v>
      </c>
      <c r="H49" s="319">
        <v>8.16</v>
      </c>
      <c r="I49" s="322">
        <v>8.16</v>
      </c>
      <c r="J49" s="26">
        <v>0.19700000000000001</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5.8330000000000002</v>
      </c>
      <c r="E50" s="93">
        <v>0.79500000000000004</v>
      </c>
      <c r="F50" s="94">
        <v>8.3000000000000004E-2</v>
      </c>
      <c r="G50" s="319">
        <v>7002.72</v>
      </c>
      <c r="H50" s="319">
        <v>8.16</v>
      </c>
      <c r="I50" s="322">
        <v>8.16</v>
      </c>
      <c r="J50" s="26">
        <v>0.19700000000000001</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5.8330000000000002</v>
      </c>
      <c r="E51" s="93">
        <v>0.79500000000000004</v>
      </c>
      <c r="F51" s="94">
        <v>8.3000000000000004E-2</v>
      </c>
      <c r="G51" s="319">
        <v>15065.93</v>
      </c>
      <c r="H51" s="319">
        <v>8.16</v>
      </c>
      <c r="I51" s="322">
        <v>8.16</v>
      </c>
      <c r="J51" s="26">
        <v>0.19700000000000001</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5.8330000000000002</v>
      </c>
      <c r="E52" s="93">
        <v>0.79500000000000004</v>
      </c>
      <c r="F52" s="94">
        <v>8.3000000000000004E-2</v>
      </c>
      <c r="G52" s="319">
        <v>27589.95</v>
      </c>
      <c r="H52" s="319">
        <v>8.16</v>
      </c>
      <c r="I52" s="322">
        <v>8.16</v>
      </c>
      <c r="J52" s="26">
        <v>0.19700000000000001</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v>0</v>
      </c>
      <c r="D53" s="95">
        <v>15.083</v>
      </c>
      <c r="E53" s="96">
        <v>2.2759999999999998</v>
      </c>
      <c r="F53" s="94">
        <v>1.258</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v>0</v>
      </c>
      <c r="D54" s="92">
        <v>-10.986000000000001</v>
      </c>
      <c r="E54" s="93">
        <v>-2.3980000000000001</v>
      </c>
      <c r="F54" s="94">
        <v>-0.34599999999999997</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-9.5470000000000006</v>
      </c>
      <c r="E55" s="93">
        <v>-1.9450000000000001</v>
      </c>
      <c r="F55" s="94">
        <v>-0.27200000000000002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-10.986000000000001</v>
      </c>
      <c r="E56" s="93">
        <v>-2.3980000000000001</v>
      </c>
      <c r="F56" s="94">
        <v>-0.34599999999999997</v>
      </c>
      <c r="G56" s="319" t="s">
        <v>840</v>
      </c>
      <c r="H56" s="320" t="s">
        <v>840</v>
      </c>
      <c r="I56" s="321" t="s">
        <v>840</v>
      </c>
      <c r="J56" s="26">
        <v>0.622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-9.5470000000000006</v>
      </c>
      <c r="E57" s="93">
        <v>-1.9450000000000001</v>
      </c>
      <c r="F57" s="94">
        <v>-0.27200000000000002</v>
      </c>
      <c r="G57" s="319" t="s">
        <v>840</v>
      </c>
      <c r="H57" s="320" t="s">
        <v>840</v>
      </c>
      <c r="I57" s="321" t="s">
        <v>840</v>
      </c>
      <c r="J57" s="26">
        <v>0.53900000000000003</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-7.2830000000000004</v>
      </c>
      <c r="E58" s="93">
        <v>-1.105</v>
      </c>
      <c r="F58" s="94">
        <v>-0.13</v>
      </c>
      <c r="G58" s="319" t="s">
        <v>840</v>
      </c>
      <c r="H58" s="320" t="s">
        <v>840</v>
      </c>
      <c r="I58" s="321" t="s">
        <v>840</v>
      </c>
      <c r="J58" s="26">
        <v>0.45100000000000001</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v>0</v>
      </c>
      <c r="D59" s="92">
        <v>4.7469999999999999</v>
      </c>
      <c r="E59" s="93">
        <v>1.036</v>
      </c>
      <c r="F59" s="94">
        <v>0.14899999999999999</v>
      </c>
      <c r="G59" s="319">
        <v>7.25</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0</v>
      </c>
      <c r="D60" s="92">
        <v>4.7469999999999999</v>
      </c>
      <c r="E60" s="93">
        <v>1.036</v>
      </c>
      <c r="F60" s="94">
        <v>0.14899999999999999</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v>0</v>
      </c>
      <c r="D61" s="92">
        <v>5.0759999999999996</v>
      </c>
      <c r="E61" s="93">
        <v>1.1080000000000001</v>
      </c>
      <c r="F61" s="94">
        <v>0.16</v>
      </c>
      <c r="G61" s="319">
        <v>2.25</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v>0</v>
      </c>
      <c r="D62" s="92">
        <v>5.0759999999999996</v>
      </c>
      <c r="E62" s="93">
        <v>1.1080000000000001</v>
      </c>
      <c r="F62" s="94">
        <v>0.16</v>
      </c>
      <c r="G62" s="319">
        <v>8.25</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v>0</v>
      </c>
      <c r="D63" s="92">
        <v>5.0759999999999996</v>
      </c>
      <c r="E63" s="93">
        <v>1.1080000000000001</v>
      </c>
      <c r="F63" s="94">
        <v>0.16</v>
      </c>
      <c r="G63" s="319">
        <v>15.35</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v>0</v>
      </c>
      <c r="D64" s="92">
        <v>5.0759999999999996</v>
      </c>
      <c r="E64" s="93">
        <v>1.1080000000000001</v>
      </c>
      <c r="F64" s="94">
        <v>0.16</v>
      </c>
      <c r="G64" s="319">
        <v>30.2</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v>0</v>
      </c>
      <c r="D65" s="92">
        <v>5.0759999999999996</v>
      </c>
      <c r="E65" s="93">
        <v>1.1080000000000001</v>
      </c>
      <c r="F65" s="94">
        <v>0.16</v>
      </c>
      <c r="G65" s="319">
        <v>83.37</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0</v>
      </c>
      <c r="D66" s="92">
        <v>5.0759999999999996</v>
      </c>
      <c r="E66" s="93">
        <v>1.1080000000000001</v>
      </c>
      <c r="F66" s="94">
        <v>0.16</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3.6349999999999998</v>
      </c>
      <c r="E67" s="93">
        <v>0.71</v>
      </c>
      <c r="F67" s="94">
        <v>9.7000000000000003E-2</v>
      </c>
      <c r="G67" s="319">
        <v>7.53</v>
      </c>
      <c r="H67" s="319">
        <v>2.12</v>
      </c>
      <c r="I67" s="322">
        <v>2.12</v>
      </c>
      <c r="J67" s="26">
        <v>0.19400000000000001</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3.6349999999999998</v>
      </c>
      <c r="E68" s="93">
        <v>0.71</v>
      </c>
      <c r="F68" s="94">
        <v>9.7000000000000003E-2</v>
      </c>
      <c r="G68" s="319">
        <v>168.9</v>
      </c>
      <c r="H68" s="319">
        <v>2.12</v>
      </c>
      <c r="I68" s="322">
        <v>2.12</v>
      </c>
      <c r="J68" s="26">
        <v>0.19400000000000001</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3.6349999999999998</v>
      </c>
      <c r="E69" s="93">
        <v>0.71</v>
      </c>
      <c r="F69" s="94">
        <v>9.7000000000000003E-2</v>
      </c>
      <c r="G69" s="319">
        <v>315.16000000000003</v>
      </c>
      <c r="H69" s="319">
        <v>2.12</v>
      </c>
      <c r="I69" s="322">
        <v>2.12</v>
      </c>
      <c r="J69" s="26">
        <v>0.19400000000000001</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3.6349999999999998</v>
      </c>
      <c r="E70" s="93">
        <v>0.71</v>
      </c>
      <c r="F70" s="94">
        <v>9.7000000000000003E-2</v>
      </c>
      <c r="G70" s="319">
        <v>485.15</v>
      </c>
      <c r="H70" s="319">
        <v>2.12</v>
      </c>
      <c r="I70" s="322">
        <v>2.12</v>
      </c>
      <c r="J70" s="26">
        <v>0.19400000000000001</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3.6349999999999998</v>
      </c>
      <c r="E71" s="93">
        <v>0.71</v>
      </c>
      <c r="F71" s="94">
        <v>9.7000000000000003E-2</v>
      </c>
      <c r="G71" s="319">
        <v>1108.1400000000001</v>
      </c>
      <c r="H71" s="319">
        <v>2.12</v>
      </c>
      <c r="I71" s="322">
        <v>2.12</v>
      </c>
      <c r="J71" s="26">
        <v>0.19400000000000001</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4.4169999999999998</v>
      </c>
      <c r="E72" s="93">
        <v>0.67</v>
      </c>
      <c r="F72" s="94">
        <v>7.9000000000000001E-2</v>
      </c>
      <c r="G72" s="319">
        <v>4.2</v>
      </c>
      <c r="H72" s="319">
        <v>5.24</v>
      </c>
      <c r="I72" s="322">
        <v>5.24</v>
      </c>
      <c r="J72" s="26">
        <v>0.16900000000000001</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4.4169999999999998</v>
      </c>
      <c r="E73" s="93">
        <v>0.67</v>
      </c>
      <c r="F73" s="94">
        <v>7.9000000000000001E-2</v>
      </c>
      <c r="G73" s="319">
        <v>258.98</v>
      </c>
      <c r="H73" s="319">
        <v>5.24</v>
      </c>
      <c r="I73" s="322">
        <v>5.24</v>
      </c>
      <c r="J73" s="26">
        <v>0.16900000000000001</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4.4169999999999998</v>
      </c>
      <c r="E74" s="93">
        <v>0.67</v>
      </c>
      <c r="F74" s="94">
        <v>7.9000000000000001E-2</v>
      </c>
      <c r="G74" s="319">
        <v>489.92</v>
      </c>
      <c r="H74" s="319">
        <v>5.24</v>
      </c>
      <c r="I74" s="322">
        <v>5.24</v>
      </c>
      <c r="J74" s="26">
        <v>0.16900000000000001</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4.4169999999999998</v>
      </c>
      <c r="E75" s="93">
        <v>0.67</v>
      </c>
      <c r="F75" s="94">
        <v>7.9000000000000001E-2</v>
      </c>
      <c r="G75" s="319">
        <v>758.31</v>
      </c>
      <c r="H75" s="319">
        <v>5.24</v>
      </c>
      <c r="I75" s="322">
        <v>5.24</v>
      </c>
      <c r="J75" s="26">
        <v>0.16900000000000001</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4.4169999999999998</v>
      </c>
      <c r="E76" s="93">
        <v>0.67</v>
      </c>
      <c r="F76" s="94">
        <v>7.9000000000000001E-2</v>
      </c>
      <c r="G76" s="319">
        <v>1741.97</v>
      </c>
      <c r="H76" s="319">
        <v>5.24</v>
      </c>
      <c r="I76" s="322">
        <v>5.24</v>
      </c>
      <c r="J76" s="26">
        <v>0.16900000000000001</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3.8940000000000001</v>
      </c>
      <c r="E77" s="93">
        <v>0.53100000000000003</v>
      </c>
      <c r="F77" s="94">
        <v>5.5E-2</v>
      </c>
      <c r="G77" s="319">
        <v>71.010000000000005</v>
      </c>
      <c r="H77" s="319">
        <v>5.45</v>
      </c>
      <c r="I77" s="322">
        <v>5.45</v>
      </c>
      <c r="J77" s="26">
        <v>0.13100000000000001</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3.8940000000000001</v>
      </c>
      <c r="E78" s="93">
        <v>0.53100000000000003</v>
      </c>
      <c r="F78" s="94">
        <v>5.5E-2</v>
      </c>
      <c r="G78" s="319">
        <v>1573.67</v>
      </c>
      <c r="H78" s="319">
        <v>5.45</v>
      </c>
      <c r="I78" s="322">
        <v>5.45</v>
      </c>
      <c r="J78" s="26">
        <v>0.13100000000000001</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3.8940000000000001</v>
      </c>
      <c r="E79" s="93">
        <v>0.53100000000000003</v>
      </c>
      <c r="F79" s="94">
        <v>5.5E-2</v>
      </c>
      <c r="G79" s="319">
        <v>4674.2</v>
      </c>
      <c r="H79" s="319">
        <v>5.45</v>
      </c>
      <c r="I79" s="322">
        <v>5.45</v>
      </c>
      <c r="J79" s="26">
        <v>0.13100000000000001</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3.8940000000000001</v>
      </c>
      <c r="E80" s="93">
        <v>0.53100000000000003</v>
      </c>
      <c r="F80" s="94">
        <v>5.5E-2</v>
      </c>
      <c r="G80" s="319">
        <v>10056.26</v>
      </c>
      <c r="H80" s="319">
        <v>5.45</v>
      </c>
      <c r="I80" s="322">
        <v>5.45</v>
      </c>
      <c r="J80" s="26">
        <v>0.13100000000000001</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3.8940000000000001</v>
      </c>
      <c r="E81" s="93">
        <v>0.53100000000000003</v>
      </c>
      <c r="F81" s="94">
        <v>5.5E-2</v>
      </c>
      <c r="G81" s="319">
        <v>18415.84</v>
      </c>
      <c r="H81" s="319">
        <v>5.45</v>
      </c>
      <c r="I81" s="322">
        <v>5.45</v>
      </c>
      <c r="J81" s="26">
        <v>0.13100000000000001</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v>0</v>
      </c>
      <c r="D82" s="95">
        <v>10.565</v>
      </c>
      <c r="E82" s="96">
        <v>1.5940000000000001</v>
      </c>
      <c r="F82" s="94">
        <v>0.88100000000000001</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v>0</v>
      </c>
      <c r="D83" s="92">
        <v>-5.351</v>
      </c>
      <c r="E83" s="93">
        <v>-1.1679999999999999</v>
      </c>
      <c r="F83" s="94">
        <v>-0.16800000000000001</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-5.1980000000000004</v>
      </c>
      <c r="E84" s="93">
        <v>-1.0589999999999999</v>
      </c>
      <c r="F84" s="94">
        <v>-0.14799999999999999</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-5.351</v>
      </c>
      <c r="E85" s="93">
        <v>-1.1679999999999999</v>
      </c>
      <c r="F85" s="94">
        <v>-0.16800000000000001</v>
      </c>
      <c r="G85" s="319" t="s">
        <v>840</v>
      </c>
      <c r="H85" s="320" t="s">
        <v>840</v>
      </c>
      <c r="I85" s="321" t="s">
        <v>840</v>
      </c>
      <c r="J85" s="26">
        <v>0.30299999999999999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-5.1980000000000004</v>
      </c>
      <c r="E86" s="93">
        <v>-1.0589999999999999</v>
      </c>
      <c r="F86" s="94">
        <v>-0.14799999999999999</v>
      </c>
      <c r="G86" s="319" t="s">
        <v>840</v>
      </c>
      <c r="H86" s="320" t="s">
        <v>840</v>
      </c>
      <c r="I86" s="321" t="s">
        <v>840</v>
      </c>
      <c r="J86" s="26">
        <v>0.29299999999999998</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-7.2830000000000004</v>
      </c>
      <c r="E87" s="93">
        <v>-1.105</v>
      </c>
      <c r="F87" s="94">
        <v>-0.13</v>
      </c>
      <c r="G87" s="319">
        <v>95.24</v>
      </c>
      <c r="H87" s="320" t="s">
        <v>840</v>
      </c>
      <c r="I87" s="321" t="s">
        <v>840</v>
      </c>
      <c r="J87" s="26">
        <v>0.45100000000000001</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v>0</v>
      </c>
      <c r="D88" s="92">
        <v>3.3879999999999999</v>
      </c>
      <c r="E88" s="93">
        <v>0.74</v>
      </c>
      <c r="F88" s="94">
        <v>0.107</v>
      </c>
      <c r="G88" s="319">
        <v>5.17</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0</v>
      </c>
      <c r="D89" s="92">
        <v>3.3879999999999999</v>
      </c>
      <c r="E89" s="93">
        <v>0.74</v>
      </c>
      <c r="F89" s="94">
        <v>0.107</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v>0</v>
      </c>
      <c r="D90" s="92">
        <v>3.6230000000000002</v>
      </c>
      <c r="E90" s="93">
        <v>0.79100000000000004</v>
      </c>
      <c r="F90" s="94">
        <v>0.114</v>
      </c>
      <c r="G90" s="319">
        <v>1.61</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v>0</v>
      </c>
      <c r="D91" s="92">
        <v>3.6230000000000002</v>
      </c>
      <c r="E91" s="93">
        <v>0.79100000000000004</v>
      </c>
      <c r="F91" s="94">
        <v>0.114</v>
      </c>
      <c r="G91" s="319">
        <v>5.89</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v>0</v>
      </c>
      <c r="D92" s="92">
        <v>3.6230000000000002</v>
      </c>
      <c r="E92" s="93">
        <v>0.79100000000000004</v>
      </c>
      <c r="F92" s="94">
        <v>0.114</v>
      </c>
      <c r="G92" s="319">
        <v>10.96</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v>0</v>
      </c>
      <c r="D93" s="92">
        <v>3.6230000000000002</v>
      </c>
      <c r="E93" s="93">
        <v>0.79100000000000004</v>
      </c>
      <c r="F93" s="94">
        <v>0.114</v>
      </c>
      <c r="G93" s="319">
        <v>21.55</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v>0</v>
      </c>
      <c r="D94" s="92">
        <v>3.6230000000000002</v>
      </c>
      <c r="E94" s="93">
        <v>0.79100000000000004</v>
      </c>
      <c r="F94" s="94">
        <v>0.114</v>
      </c>
      <c r="G94" s="319">
        <v>59.5</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0</v>
      </c>
      <c r="D95" s="92">
        <v>3.6230000000000002</v>
      </c>
      <c r="E95" s="93">
        <v>0.79100000000000004</v>
      </c>
      <c r="F95" s="94">
        <v>0.114</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2.5950000000000002</v>
      </c>
      <c r="E96" s="93">
        <v>0.50700000000000001</v>
      </c>
      <c r="F96" s="94">
        <v>6.9000000000000006E-2</v>
      </c>
      <c r="G96" s="319">
        <v>5.37</v>
      </c>
      <c r="H96" s="319">
        <v>1.51</v>
      </c>
      <c r="I96" s="322">
        <v>1.51</v>
      </c>
      <c r="J96" s="26">
        <v>0.13800000000000001</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2.5950000000000002</v>
      </c>
      <c r="E97" s="93">
        <v>0.50700000000000001</v>
      </c>
      <c r="F97" s="94">
        <v>6.9000000000000006E-2</v>
      </c>
      <c r="G97" s="319">
        <v>120.54</v>
      </c>
      <c r="H97" s="319">
        <v>1.51</v>
      </c>
      <c r="I97" s="322">
        <v>1.51</v>
      </c>
      <c r="J97" s="26">
        <v>0.13800000000000001</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2.5950000000000002</v>
      </c>
      <c r="E98" s="93">
        <v>0.50700000000000001</v>
      </c>
      <c r="F98" s="94">
        <v>6.9000000000000006E-2</v>
      </c>
      <c r="G98" s="319">
        <v>224.92</v>
      </c>
      <c r="H98" s="319">
        <v>1.51</v>
      </c>
      <c r="I98" s="322">
        <v>1.51</v>
      </c>
      <c r="J98" s="26">
        <v>0.13800000000000001</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2.5950000000000002</v>
      </c>
      <c r="E99" s="93">
        <v>0.50700000000000001</v>
      </c>
      <c r="F99" s="94">
        <v>6.9000000000000006E-2</v>
      </c>
      <c r="G99" s="319">
        <v>346.24</v>
      </c>
      <c r="H99" s="319">
        <v>1.51</v>
      </c>
      <c r="I99" s="322">
        <v>1.51</v>
      </c>
      <c r="J99" s="26">
        <v>0.13800000000000001</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2.5950000000000002</v>
      </c>
      <c r="E100" s="93">
        <v>0.50700000000000001</v>
      </c>
      <c r="F100" s="94">
        <v>6.9000000000000006E-2</v>
      </c>
      <c r="G100" s="319">
        <v>790.86</v>
      </c>
      <c r="H100" s="319">
        <v>1.51</v>
      </c>
      <c r="I100" s="322">
        <v>1.51</v>
      </c>
      <c r="J100" s="26">
        <v>0.13800000000000001</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3.1520000000000001</v>
      </c>
      <c r="E101" s="93">
        <v>0.47799999999999998</v>
      </c>
      <c r="F101" s="94">
        <v>5.6000000000000001E-2</v>
      </c>
      <c r="G101" s="319">
        <v>2.99</v>
      </c>
      <c r="H101" s="319">
        <v>3.74</v>
      </c>
      <c r="I101" s="322">
        <v>3.74</v>
      </c>
      <c r="J101" s="26">
        <v>0.121</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3.1520000000000001</v>
      </c>
      <c r="E102" s="93">
        <v>0.47799999999999998</v>
      </c>
      <c r="F102" s="94">
        <v>5.6000000000000001E-2</v>
      </c>
      <c r="G102" s="319">
        <v>184.83</v>
      </c>
      <c r="H102" s="319">
        <v>3.74</v>
      </c>
      <c r="I102" s="322">
        <v>3.74</v>
      </c>
      <c r="J102" s="26">
        <v>0.121</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3.1520000000000001</v>
      </c>
      <c r="E103" s="93">
        <v>0.47799999999999998</v>
      </c>
      <c r="F103" s="94">
        <v>5.6000000000000001E-2</v>
      </c>
      <c r="G103" s="319">
        <v>349.65</v>
      </c>
      <c r="H103" s="319">
        <v>3.74</v>
      </c>
      <c r="I103" s="322">
        <v>3.74</v>
      </c>
      <c r="J103" s="26">
        <v>0.121</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3.1520000000000001</v>
      </c>
      <c r="E104" s="93">
        <v>0.47799999999999998</v>
      </c>
      <c r="F104" s="94">
        <v>5.6000000000000001E-2</v>
      </c>
      <c r="G104" s="319">
        <v>541.19000000000005</v>
      </c>
      <c r="H104" s="319">
        <v>3.74</v>
      </c>
      <c r="I104" s="322">
        <v>3.74</v>
      </c>
      <c r="J104" s="26">
        <v>0.121</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3.1520000000000001</v>
      </c>
      <c r="E105" s="93">
        <v>0.47799999999999998</v>
      </c>
      <c r="F105" s="94">
        <v>5.6000000000000001E-2</v>
      </c>
      <c r="G105" s="319">
        <v>1243.21</v>
      </c>
      <c r="H105" s="319">
        <v>3.74</v>
      </c>
      <c r="I105" s="322">
        <v>3.74</v>
      </c>
      <c r="J105" s="26">
        <v>0.121</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2.7789999999999999</v>
      </c>
      <c r="E106" s="93">
        <v>0.379</v>
      </c>
      <c r="F106" s="94">
        <v>0.04</v>
      </c>
      <c r="G106" s="319">
        <v>50.68</v>
      </c>
      <c r="H106" s="319">
        <v>3.89</v>
      </c>
      <c r="I106" s="322">
        <v>3.89</v>
      </c>
      <c r="J106" s="26">
        <v>9.4E-2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2.7789999999999999</v>
      </c>
      <c r="E107" s="93">
        <v>0.379</v>
      </c>
      <c r="F107" s="94">
        <v>0.04</v>
      </c>
      <c r="G107" s="319">
        <v>1123.0999999999999</v>
      </c>
      <c r="H107" s="319">
        <v>3.89</v>
      </c>
      <c r="I107" s="322">
        <v>3.89</v>
      </c>
      <c r="J107" s="26">
        <v>9.4E-2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2.7789999999999999</v>
      </c>
      <c r="E108" s="93">
        <v>0.379</v>
      </c>
      <c r="F108" s="94">
        <v>0.04</v>
      </c>
      <c r="G108" s="319">
        <v>3335.89</v>
      </c>
      <c r="H108" s="319">
        <v>3.89</v>
      </c>
      <c r="I108" s="322">
        <v>3.89</v>
      </c>
      <c r="J108" s="26">
        <v>9.4E-2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2.7789999999999999</v>
      </c>
      <c r="E109" s="93">
        <v>0.379</v>
      </c>
      <c r="F109" s="94">
        <v>0.04</v>
      </c>
      <c r="G109" s="319">
        <v>7176.95</v>
      </c>
      <c r="H109" s="319">
        <v>3.89</v>
      </c>
      <c r="I109" s="322">
        <v>3.89</v>
      </c>
      <c r="J109" s="26">
        <v>9.4E-2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2.7789999999999999</v>
      </c>
      <c r="E110" s="93">
        <v>0.379</v>
      </c>
      <c r="F110" s="94">
        <v>0.04</v>
      </c>
      <c r="G110" s="319">
        <v>13143.02</v>
      </c>
      <c r="H110" s="319">
        <v>3.89</v>
      </c>
      <c r="I110" s="322">
        <v>3.89</v>
      </c>
      <c r="J110" s="26">
        <v>9.4E-2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v>0</v>
      </c>
      <c r="D111" s="95">
        <v>7.54</v>
      </c>
      <c r="E111" s="96">
        <v>1.1379999999999999</v>
      </c>
      <c r="F111" s="94">
        <v>0.629</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v>0</v>
      </c>
      <c r="D112" s="92">
        <v>-3.819</v>
      </c>
      <c r="E112" s="93">
        <v>-0.83399999999999996</v>
      </c>
      <c r="F112" s="94">
        <v>-0.12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-3.7090000000000001</v>
      </c>
      <c r="E113" s="93">
        <v>-0.75600000000000001</v>
      </c>
      <c r="F113" s="94">
        <v>-0.106</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-3.819</v>
      </c>
      <c r="E114" s="93">
        <v>-0.83399999999999996</v>
      </c>
      <c r="F114" s="94">
        <v>-0.12</v>
      </c>
      <c r="G114" s="319" t="s">
        <v>840</v>
      </c>
      <c r="H114" s="320" t="s">
        <v>840</v>
      </c>
      <c r="I114" s="321" t="s">
        <v>840</v>
      </c>
      <c r="J114" s="26">
        <v>0.216</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-3.7090000000000001</v>
      </c>
      <c r="E115" s="93">
        <v>-0.75600000000000001</v>
      </c>
      <c r="F115" s="94">
        <v>-0.106</v>
      </c>
      <c r="G115" s="319" t="s">
        <v>840</v>
      </c>
      <c r="H115" s="320" t="s">
        <v>840</v>
      </c>
      <c r="I115" s="321" t="s">
        <v>840</v>
      </c>
      <c r="J115" s="26">
        <v>0.20899999999999999</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-5.1980000000000004</v>
      </c>
      <c r="E116" s="93">
        <v>-0.78900000000000003</v>
      </c>
      <c r="F116" s="94">
        <v>-9.2999999999999999E-2</v>
      </c>
      <c r="G116" s="319">
        <v>67.97</v>
      </c>
      <c r="H116" s="320" t="s">
        <v>840</v>
      </c>
      <c r="I116" s="321" t="s">
        <v>840</v>
      </c>
      <c r="J116" s="26">
        <v>0.32200000000000001</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v>0</v>
      </c>
      <c r="D117" s="92">
        <v>2.5249999999999999</v>
      </c>
      <c r="E117" s="93">
        <v>0.55100000000000005</v>
      </c>
      <c r="F117" s="94">
        <v>7.9000000000000001E-2</v>
      </c>
      <c r="G117" s="319">
        <v>3.86</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0</v>
      </c>
      <c r="D118" s="92">
        <v>2.5249999999999999</v>
      </c>
      <c r="E118" s="93">
        <v>0.55100000000000005</v>
      </c>
      <c r="F118" s="94">
        <v>7.9000000000000001E-2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v>0</v>
      </c>
      <c r="D119" s="92">
        <v>2.7</v>
      </c>
      <c r="E119" s="93">
        <v>0.58899999999999997</v>
      </c>
      <c r="F119" s="94">
        <v>8.5000000000000006E-2</v>
      </c>
      <c r="G119" s="319">
        <v>1.2</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v>0</v>
      </c>
      <c r="D120" s="92">
        <v>2.7</v>
      </c>
      <c r="E120" s="93">
        <v>0.58899999999999997</v>
      </c>
      <c r="F120" s="94">
        <v>8.5000000000000006E-2</v>
      </c>
      <c r="G120" s="319">
        <v>4.3899999999999997</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v>0</v>
      </c>
      <c r="D121" s="92">
        <v>2.7</v>
      </c>
      <c r="E121" s="93">
        <v>0.58899999999999997</v>
      </c>
      <c r="F121" s="94">
        <v>8.5000000000000006E-2</v>
      </c>
      <c r="G121" s="319">
        <v>8.17</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v>0</v>
      </c>
      <c r="D122" s="92">
        <v>2.7</v>
      </c>
      <c r="E122" s="93">
        <v>0.58899999999999997</v>
      </c>
      <c r="F122" s="94">
        <v>8.5000000000000006E-2</v>
      </c>
      <c r="G122" s="319">
        <v>16.059999999999999</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v>0</v>
      </c>
      <c r="D123" s="92">
        <v>2.7</v>
      </c>
      <c r="E123" s="93">
        <v>0.58899999999999997</v>
      </c>
      <c r="F123" s="94">
        <v>8.5000000000000006E-2</v>
      </c>
      <c r="G123" s="319">
        <v>44.34</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0</v>
      </c>
      <c r="D124" s="92">
        <v>2.7</v>
      </c>
      <c r="E124" s="93">
        <v>0.58899999999999997</v>
      </c>
      <c r="F124" s="94">
        <v>8.5000000000000006E-2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1.9339999999999999</v>
      </c>
      <c r="E125" s="93">
        <v>0.378</v>
      </c>
      <c r="F125" s="94">
        <v>5.1999999999999998E-2</v>
      </c>
      <c r="G125" s="319">
        <v>4.01</v>
      </c>
      <c r="H125" s="319">
        <v>1.1299999999999999</v>
      </c>
      <c r="I125" s="322">
        <v>1.1299999999999999</v>
      </c>
      <c r="J125" s="26">
        <v>0.10299999999999999</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1.9339999999999999</v>
      </c>
      <c r="E126" s="93">
        <v>0.378</v>
      </c>
      <c r="F126" s="94">
        <v>5.1999999999999998E-2</v>
      </c>
      <c r="G126" s="319">
        <v>89.84</v>
      </c>
      <c r="H126" s="319">
        <v>1.1299999999999999</v>
      </c>
      <c r="I126" s="322">
        <v>1.1299999999999999</v>
      </c>
      <c r="J126" s="26">
        <v>0.10299999999999999</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1.9339999999999999</v>
      </c>
      <c r="E127" s="93">
        <v>0.378</v>
      </c>
      <c r="F127" s="94">
        <v>5.1999999999999998E-2</v>
      </c>
      <c r="G127" s="319">
        <v>167.64</v>
      </c>
      <c r="H127" s="319">
        <v>1.1299999999999999</v>
      </c>
      <c r="I127" s="322">
        <v>1.1299999999999999</v>
      </c>
      <c r="J127" s="26">
        <v>0.10299999999999999</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1.9339999999999999</v>
      </c>
      <c r="E128" s="93">
        <v>0.378</v>
      </c>
      <c r="F128" s="94">
        <v>5.1999999999999998E-2</v>
      </c>
      <c r="G128" s="319">
        <v>258.06</v>
      </c>
      <c r="H128" s="319">
        <v>1.1299999999999999</v>
      </c>
      <c r="I128" s="322">
        <v>1.1299999999999999</v>
      </c>
      <c r="J128" s="26">
        <v>0.10299999999999999</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1.9339999999999999</v>
      </c>
      <c r="E129" s="93">
        <v>0.378</v>
      </c>
      <c r="F129" s="94">
        <v>5.1999999999999998E-2</v>
      </c>
      <c r="G129" s="319">
        <v>589.44000000000005</v>
      </c>
      <c r="H129" s="319">
        <v>1.1299999999999999</v>
      </c>
      <c r="I129" s="322">
        <v>1.1299999999999999</v>
      </c>
      <c r="J129" s="26">
        <v>0.10299999999999999</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2.3490000000000002</v>
      </c>
      <c r="E130" s="93">
        <v>0.35699999999999998</v>
      </c>
      <c r="F130" s="94">
        <v>4.2000000000000003E-2</v>
      </c>
      <c r="G130" s="319">
        <v>2.23</v>
      </c>
      <c r="H130" s="319">
        <v>2.79</v>
      </c>
      <c r="I130" s="322">
        <v>2.79</v>
      </c>
      <c r="J130" s="26">
        <v>0.09</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2.3490000000000002</v>
      </c>
      <c r="E131" s="93">
        <v>0.35699999999999998</v>
      </c>
      <c r="F131" s="94">
        <v>4.2000000000000003E-2</v>
      </c>
      <c r="G131" s="319">
        <v>137.76</v>
      </c>
      <c r="H131" s="319">
        <v>2.79</v>
      </c>
      <c r="I131" s="322">
        <v>2.79</v>
      </c>
      <c r="J131" s="26">
        <v>0.09</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2.3490000000000002</v>
      </c>
      <c r="E132" s="93">
        <v>0.35699999999999998</v>
      </c>
      <c r="F132" s="94">
        <v>4.2000000000000003E-2</v>
      </c>
      <c r="G132" s="319">
        <v>260.60000000000002</v>
      </c>
      <c r="H132" s="319">
        <v>2.79</v>
      </c>
      <c r="I132" s="322">
        <v>2.79</v>
      </c>
      <c r="J132" s="26">
        <v>0.09</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2.3490000000000002</v>
      </c>
      <c r="E133" s="93">
        <v>0.35699999999999998</v>
      </c>
      <c r="F133" s="94">
        <v>4.2000000000000003E-2</v>
      </c>
      <c r="G133" s="319">
        <v>403.36</v>
      </c>
      <c r="H133" s="319">
        <v>2.79</v>
      </c>
      <c r="I133" s="322">
        <v>2.79</v>
      </c>
      <c r="J133" s="26">
        <v>0.09</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2.3490000000000002</v>
      </c>
      <c r="E134" s="93">
        <v>0.35699999999999998</v>
      </c>
      <c r="F134" s="94">
        <v>4.2000000000000003E-2</v>
      </c>
      <c r="G134" s="319">
        <v>926.59</v>
      </c>
      <c r="H134" s="319">
        <v>2.79</v>
      </c>
      <c r="I134" s="322">
        <v>2.79</v>
      </c>
      <c r="J134" s="26">
        <v>0.09</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2.0710000000000002</v>
      </c>
      <c r="E135" s="93">
        <v>0.28199999999999997</v>
      </c>
      <c r="F135" s="94">
        <v>2.9000000000000001E-2</v>
      </c>
      <c r="G135" s="319">
        <v>37.770000000000003</v>
      </c>
      <c r="H135" s="319">
        <v>2.9</v>
      </c>
      <c r="I135" s="322">
        <v>2.9</v>
      </c>
      <c r="J135" s="26">
        <v>7.0000000000000007E-2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2.0710000000000002</v>
      </c>
      <c r="E136" s="93">
        <v>0.28199999999999997</v>
      </c>
      <c r="F136" s="94">
        <v>2.9000000000000001E-2</v>
      </c>
      <c r="G136" s="319">
        <v>837.07</v>
      </c>
      <c r="H136" s="319">
        <v>2.9</v>
      </c>
      <c r="I136" s="322">
        <v>2.9</v>
      </c>
      <c r="J136" s="26">
        <v>7.0000000000000007E-2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2.0710000000000002</v>
      </c>
      <c r="E137" s="93">
        <v>0.28199999999999997</v>
      </c>
      <c r="F137" s="94">
        <v>2.9000000000000001E-2</v>
      </c>
      <c r="G137" s="319">
        <v>2486.31</v>
      </c>
      <c r="H137" s="319">
        <v>2.9</v>
      </c>
      <c r="I137" s="322">
        <v>2.9</v>
      </c>
      <c r="J137" s="26">
        <v>7.0000000000000007E-2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2.0710000000000002</v>
      </c>
      <c r="E138" s="93">
        <v>0.28199999999999997</v>
      </c>
      <c r="F138" s="94">
        <v>2.9000000000000001E-2</v>
      </c>
      <c r="G138" s="319">
        <v>5349.15</v>
      </c>
      <c r="H138" s="319">
        <v>2.9</v>
      </c>
      <c r="I138" s="322">
        <v>2.9</v>
      </c>
      <c r="J138" s="26">
        <v>7.0000000000000007E-2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2.0710000000000002</v>
      </c>
      <c r="E139" s="93">
        <v>0.28199999999999997</v>
      </c>
      <c r="F139" s="94">
        <v>2.9000000000000001E-2</v>
      </c>
      <c r="G139" s="319">
        <v>9795.7999999999993</v>
      </c>
      <c r="H139" s="319">
        <v>2.9</v>
      </c>
      <c r="I139" s="322">
        <v>2.9</v>
      </c>
      <c r="J139" s="26">
        <v>7.0000000000000007E-2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v>0</v>
      </c>
      <c r="D140" s="95">
        <v>5.62</v>
      </c>
      <c r="E140" s="96">
        <v>0.84799999999999998</v>
      </c>
      <c r="F140" s="94">
        <v>0.46899999999999997</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-2.8460000000000001</v>
      </c>
      <c r="E141" s="93">
        <v>-0.621</v>
      </c>
      <c r="F141" s="94">
        <v>-0.09</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-2.7650000000000001</v>
      </c>
      <c r="E142" s="93">
        <v>-0.56299999999999994</v>
      </c>
      <c r="F142" s="94">
        <v>-7.9000000000000001E-2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-2.8460000000000001</v>
      </c>
      <c r="E143" s="93">
        <v>-0.621</v>
      </c>
      <c r="F143" s="94">
        <v>-0.09</v>
      </c>
      <c r="G143" s="319" t="s">
        <v>840</v>
      </c>
      <c r="H143" s="320" t="s">
        <v>840</v>
      </c>
      <c r="I143" s="321" t="s">
        <v>840</v>
      </c>
      <c r="J143" s="26">
        <v>0.161</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-2.7650000000000001</v>
      </c>
      <c r="E144" s="93">
        <v>-0.56299999999999994</v>
      </c>
      <c r="F144" s="94">
        <v>-7.9000000000000001E-2</v>
      </c>
      <c r="G144" s="319" t="s">
        <v>840</v>
      </c>
      <c r="H144" s="320" t="s">
        <v>840</v>
      </c>
      <c r="I144" s="321" t="s">
        <v>840</v>
      </c>
      <c r="J144" s="26">
        <v>0.156</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-3.8740000000000001</v>
      </c>
      <c r="E145" s="93">
        <v>-0.58799999999999997</v>
      </c>
      <c r="F145" s="94">
        <v>-6.9000000000000006E-2</v>
      </c>
      <c r="G145" s="319">
        <v>50.66</v>
      </c>
      <c r="H145" s="320" t="s">
        <v>840</v>
      </c>
      <c r="I145" s="321" t="s">
        <v>840</v>
      </c>
      <c r="J145" s="26">
        <v>0.24</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v>1.099</v>
      </c>
      <c r="E146" s="93">
        <v>0.24</v>
      </c>
      <c r="F146" s="94">
        <v>3.5000000000000003E-2</v>
      </c>
      <c r="G146" s="319">
        <v>1.68</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v>1.099</v>
      </c>
      <c r="E147" s="93">
        <v>0.24</v>
      </c>
      <c r="F147" s="94">
        <v>3.5000000000000003E-2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v>1.175</v>
      </c>
      <c r="E148" s="93">
        <v>0.25700000000000001</v>
      </c>
      <c r="F148" s="94">
        <v>3.6999999999999998E-2</v>
      </c>
      <c r="G148" s="319">
        <v>0.52</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v>1.175</v>
      </c>
      <c r="E149" s="93">
        <v>0.25700000000000001</v>
      </c>
      <c r="F149" s="94">
        <v>3.6999999999999998E-2</v>
      </c>
      <c r="G149" s="319">
        <v>1.91</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v>1.175</v>
      </c>
      <c r="E150" s="93">
        <v>0.25700000000000001</v>
      </c>
      <c r="F150" s="94">
        <v>3.6999999999999998E-2</v>
      </c>
      <c r="G150" s="319">
        <v>3.55</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v>1.175</v>
      </c>
      <c r="E151" s="93">
        <v>0.25700000000000001</v>
      </c>
      <c r="F151" s="94">
        <v>3.6999999999999998E-2</v>
      </c>
      <c r="G151" s="319">
        <v>6.99</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v>1.175</v>
      </c>
      <c r="E152" s="93">
        <v>0.25700000000000001</v>
      </c>
      <c r="F152" s="94">
        <v>3.6999999999999998E-2</v>
      </c>
      <c r="G152" s="319">
        <v>19.3</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v>1.175</v>
      </c>
      <c r="E153" s="93">
        <v>0.25700000000000001</v>
      </c>
      <c r="F153" s="94">
        <v>3.6999999999999998E-2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0.84099999999999997</v>
      </c>
      <c r="E154" s="93">
        <v>0.16400000000000001</v>
      </c>
      <c r="F154" s="94">
        <v>2.3E-2</v>
      </c>
      <c r="G154" s="319">
        <v>1.74</v>
      </c>
      <c r="H154" s="319">
        <v>0.49</v>
      </c>
      <c r="I154" s="322">
        <v>0.49</v>
      </c>
      <c r="J154" s="26">
        <v>4.4999999999999998E-2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0.84099999999999997</v>
      </c>
      <c r="E155" s="93">
        <v>0.16400000000000001</v>
      </c>
      <c r="F155" s="94">
        <v>2.3E-2</v>
      </c>
      <c r="G155" s="319">
        <v>39.090000000000003</v>
      </c>
      <c r="H155" s="319">
        <v>0.49</v>
      </c>
      <c r="I155" s="322">
        <v>0.49</v>
      </c>
      <c r="J155" s="26">
        <v>4.4999999999999998E-2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0.84099999999999997</v>
      </c>
      <c r="E156" s="93">
        <v>0.16400000000000001</v>
      </c>
      <c r="F156" s="94">
        <v>2.3E-2</v>
      </c>
      <c r="G156" s="319">
        <v>72.95</v>
      </c>
      <c r="H156" s="319">
        <v>0.49</v>
      </c>
      <c r="I156" s="322">
        <v>0.49</v>
      </c>
      <c r="J156" s="26">
        <v>4.4999999999999998E-2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0.84099999999999997</v>
      </c>
      <c r="E157" s="93">
        <v>0.16400000000000001</v>
      </c>
      <c r="F157" s="94">
        <v>2.3E-2</v>
      </c>
      <c r="G157" s="319">
        <v>112.3</v>
      </c>
      <c r="H157" s="319">
        <v>0.49</v>
      </c>
      <c r="I157" s="322">
        <v>0.49</v>
      </c>
      <c r="J157" s="26">
        <v>4.4999999999999998E-2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0.84099999999999997</v>
      </c>
      <c r="E158" s="93">
        <v>0.16400000000000001</v>
      </c>
      <c r="F158" s="94">
        <v>2.3E-2</v>
      </c>
      <c r="G158" s="319">
        <v>256.5</v>
      </c>
      <c r="H158" s="319">
        <v>0.49</v>
      </c>
      <c r="I158" s="322">
        <v>0.49</v>
      </c>
      <c r="J158" s="26">
        <v>4.4999999999999998E-2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1.022</v>
      </c>
      <c r="E159" s="93">
        <v>0.155</v>
      </c>
      <c r="F159" s="94">
        <v>1.7999999999999999E-2</v>
      </c>
      <c r="G159" s="319">
        <v>0.97</v>
      </c>
      <c r="H159" s="319">
        <v>1.21</v>
      </c>
      <c r="I159" s="322">
        <v>1.21</v>
      </c>
      <c r="J159" s="26">
        <v>3.9E-2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1.022</v>
      </c>
      <c r="E160" s="93">
        <v>0.155</v>
      </c>
      <c r="F160" s="94">
        <v>1.7999999999999999E-2</v>
      </c>
      <c r="G160" s="319">
        <v>59.95</v>
      </c>
      <c r="H160" s="319">
        <v>1.21</v>
      </c>
      <c r="I160" s="322">
        <v>1.21</v>
      </c>
      <c r="J160" s="26">
        <v>3.9E-2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1.022</v>
      </c>
      <c r="E161" s="93">
        <v>0.155</v>
      </c>
      <c r="F161" s="94">
        <v>1.7999999999999999E-2</v>
      </c>
      <c r="G161" s="319">
        <v>113.4</v>
      </c>
      <c r="H161" s="319">
        <v>1.21</v>
      </c>
      <c r="I161" s="322">
        <v>1.21</v>
      </c>
      <c r="J161" s="26">
        <v>3.9E-2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1.022</v>
      </c>
      <c r="E162" s="93">
        <v>0.155</v>
      </c>
      <c r="F162" s="94">
        <v>1.7999999999999999E-2</v>
      </c>
      <c r="G162" s="319">
        <v>175.53</v>
      </c>
      <c r="H162" s="319">
        <v>1.21</v>
      </c>
      <c r="I162" s="322">
        <v>1.21</v>
      </c>
      <c r="J162" s="26">
        <v>3.9E-2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1.022</v>
      </c>
      <c r="E163" s="93">
        <v>0.155</v>
      </c>
      <c r="F163" s="94">
        <v>1.7999999999999999E-2</v>
      </c>
      <c r="G163" s="319">
        <v>403.21</v>
      </c>
      <c r="H163" s="319">
        <v>1.21</v>
      </c>
      <c r="I163" s="322">
        <v>1.21</v>
      </c>
      <c r="J163" s="26">
        <v>3.9E-2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0.90100000000000002</v>
      </c>
      <c r="E164" s="93">
        <v>0.123</v>
      </c>
      <c r="F164" s="94">
        <v>1.2999999999999999E-2</v>
      </c>
      <c r="G164" s="319">
        <v>16.440000000000001</v>
      </c>
      <c r="H164" s="319">
        <v>1.26</v>
      </c>
      <c r="I164" s="322">
        <v>1.26</v>
      </c>
      <c r="J164" s="26">
        <v>0.03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0.90100000000000002</v>
      </c>
      <c r="E165" s="93">
        <v>0.123</v>
      </c>
      <c r="F165" s="94">
        <v>1.2999999999999999E-2</v>
      </c>
      <c r="G165" s="319">
        <v>364.26</v>
      </c>
      <c r="H165" s="319">
        <v>1.26</v>
      </c>
      <c r="I165" s="322">
        <v>1.26</v>
      </c>
      <c r="J165" s="26">
        <v>0.03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0.90100000000000002</v>
      </c>
      <c r="E166" s="93">
        <v>0.123</v>
      </c>
      <c r="F166" s="94">
        <v>1.2999999999999999E-2</v>
      </c>
      <c r="G166" s="319">
        <v>1081.93</v>
      </c>
      <c r="H166" s="319">
        <v>1.26</v>
      </c>
      <c r="I166" s="322">
        <v>1.26</v>
      </c>
      <c r="J166" s="26">
        <v>0.03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0.90100000000000002</v>
      </c>
      <c r="E167" s="93">
        <v>0.123</v>
      </c>
      <c r="F167" s="94">
        <v>1.2999999999999999E-2</v>
      </c>
      <c r="G167" s="319">
        <v>2327.71</v>
      </c>
      <c r="H167" s="319">
        <v>1.26</v>
      </c>
      <c r="I167" s="322">
        <v>1.26</v>
      </c>
      <c r="J167" s="26">
        <v>0.03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0.90100000000000002</v>
      </c>
      <c r="E168" s="93">
        <v>0.123</v>
      </c>
      <c r="F168" s="94">
        <v>1.2999999999999999E-2</v>
      </c>
      <c r="G168" s="319">
        <v>4262.6899999999996</v>
      </c>
      <c r="H168" s="319">
        <v>1.26</v>
      </c>
      <c r="I168" s="322">
        <v>1.26</v>
      </c>
      <c r="J168" s="26">
        <v>0.03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v>2.4449999999999998</v>
      </c>
      <c r="E169" s="96">
        <v>0.36899999999999999</v>
      </c>
      <c r="F169" s="94">
        <v>0.20399999999999999</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-1.2390000000000001</v>
      </c>
      <c r="E170" s="93">
        <v>-0.27</v>
      </c>
      <c r="F170" s="94">
        <v>-3.9E-2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-1.2030000000000001</v>
      </c>
      <c r="E171" s="93">
        <v>-0.245</v>
      </c>
      <c r="F171" s="94">
        <v>-3.4000000000000002E-2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-1.2390000000000001</v>
      </c>
      <c r="E172" s="93">
        <v>-0.27</v>
      </c>
      <c r="F172" s="94">
        <v>-3.9E-2</v>
      </c>
      <c r="G172" s="319" t="s">
        <v>840</v>
      </c>
      <c r="H172" s="320" t="s">
        <v>840</v>
      </c>
      <c r="I172" s="321" t="s">
        <v>840</v>
      </c>
      <c r="J172" s="26">
        <v>7.0000000000000007E-2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-1.2030000000000001</v>
      </c>
      <c r="E173" s="93">
        <v>-0.245</v>
      </c>
      <c r="F173" s="94">
        <v>-3.4000000000000002E-2</v>
      </c>
      <c r="G173" s="319" t="s">
        <v>840</v>
      </c>
      <c r="H173" s="320" t="s">
        <v>840</v>
      </c>
      <c r="I173" s="321" t="s">
        <v>840</v>
      </c>
      <c r="J173" s="26">
        <v>6.8000000000000005E-2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-1.6859999999999999</v>
      </c>
      <c r="E174" s="93">
        <v>-0.25600000000000001</v>
      </c>
      <c r="F174" s="94">
        <v>-0.03</v>
      </c>
      <c r="G174" s="319">
        <v>22.05</v>
      </c>
      <c r="H174" s="320" t="s">
        <v>840</v>
      </c>
      <c r="I174" s="321" t="s">
        <v>840</v>
      </c>
      <c r="J174" s="26">
        <v>0.104</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840</v>
      </c>
      <c r="E175" s="93" t="s">
        <v>840</v>
      </c>
      <c r="F175" s="94" t="s">
        <v>840</v>
      </c>
      <c r="G175" s="319" t="s">
        <v>840</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840</v>
      </c>
      <c r="E176" s="93" t="s">
        <v>840</v>
      </c>
      <c r="F176" s="94" t="s">
        <v>840</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840</v>
      </c>
      <c r="E177" s="93" t="s">
        <v>840</v>
      </c>
      <c r="F177" s="94" t="s">
        <v>840</v>
      </c>
      <c r="G177" s="319" t="s">
        <v>840</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840</v>
      </c>
      <c r="E178" s="93" t="s">
        <v>840</v>
      </c>
      <c r="F178" s="94" t="s">
        <v>840</v>
      </c>
      <c r="G178" s="319" t="s">
        <v>840</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840</v>
      </c>
      <c r="E179" s="93" t="s">
        <v>840</v>
      </c>
      <c r="F179" s="94" t="s">
        <v>840</v>
      </c>
      <c r="G179" s="319" t="s">
        <v>840</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840</v>
      </c>
      <c r="E180" s="93" t="s">
        <v>840</v>
      </c>
      <c r="F180" s="94" t="s">
        <v>840</v>
      </c>
      <c r="G180" s="319" t="s">
        <v>840</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840</v>
      </c>
      <c r="E181" s="93" t="s">
        <v>840</v>
      </c>
      <c r="F181" s="94" t="s">
        <v>840</v>
      </c>
      <c r="G181" s="319" t="s">
        <v>840</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840</v>
      </c>
      <c r="E182" s="93" t="s">
        <v>840</v>
      </c>
      <c r="F182" s="94" t="s">
        <v>840</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840</v>
      </c>
      <c r="E183" s="93" t="s">
        <v>840</v>
      </c>
      <c r="F183" s="94" t="s">
        <v>840</v>
      </c>
      <c r="G183" s="319" t="s">
        <v>840</v>
      </c>
      <c r="H183" s="319" t="s">
        <v>840</v>
      </c>
      <c r="I183" s="322" t="s">
        <v>840</v>
      </c>
      <c r="J183" s="26" t="s">
        <v>840</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840</v>
      </c>
      <c r="E184" s="93" t="s">
        <v>840</v>
      </c>
      <c r="F184" s="94" t="s">
        <v>840</v>
      </c>
      <c r="G184" s="319" t="s">
        <v>840</v>
      </c>
      <c r="H184" s="319" t="s">
        <v>840</v>
      </c>
      <c r="I184" s="322" t="s">
        <v>840</v>
      </c>
      <c r="J184" s="26" t="s">
        <v>840</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840</v>
      </c>
      <c r="E185" s="93" t="s">
        <v>840</v>
      </c>
      <c r="F185" s="94" t="s">
        <v>840</v>
      </c>
      <c r="G185" s="319" t="s">
        <v>840</v>
      </c>
      <c r="H185" s="319" t="s">
        <v>840</v>
      </c>
      <c r="I185" s="322" t="s">
        <v>840</v>
      </c>
      <c r="J185" s="26" t="s">
        <v>840</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840</v>
      </c>
      <c r="E186" s="93" t="s">
        <v>840</v>
      </c>
      <c r="F186" s="94" t="s">
        <v>840</v>
      </c>
      <c r="G186" s="319" t="s">
        <v>840</v>
      </c>
      <c r="H186" s="319" t="s">
        <v>840</v>
      </c>
      <c r="I186" s="322" t="s">
        <v>840</v>
      </c>
      <c r="J186" s="26" t="s">
        <v>840</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840</v>
      </c>
      <c r="E187" s="93" t="s">
        <v>840</v>
      </c>
      <c r="F187" s="94" t="s">
        <v>840</v>
      </c>
      <c r="G187" s="319" t="s">
        <v>840</v>
      </c>
      <c r="H187" s="319" t="s">
        <v>840</v>
      </c>
      <c r="I187" s="322" t="s">
        <v>840</v>
      </c>
      <c r="J187" s="26" t="s">
        <v>840</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840</v>
      </c>
      <c r="E188" s="93" t="s">
        <v>840</v>
      </c>
      <c r="F188" s="94" t="s">
        <v>840</v>
      </c>
      <c r="G188" s="319" t="s">
        <v>840</v>
      </c>
      <c r="H188" s="319" t="s">
        <v>840</v>
      </c>
      <c r="I188" s="322" t="s">
        <v>840</v>
      </c>
      <c r="J188" s="26" t="s">
        <v>840</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840</v>
      </c>
      <c r="E189" s="93" t="s">
        <v>840</v>
      </c>
      <c r="F189" s="94" t="s">
        <v>840</v>
      </c>
      <c r="G189" s="319" t="s">
        <v>840</v>
      </c>
      <c r="H189" s="319" t="s">
        <v>840</v>
      </c>
      <c r="I189" s="322" t="s">
        <v>840</v>
      </c>
      <c r="J189" s="26" t="s">
        <v>840</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840</v>
      </c>
      <c r="E190" s="93" t="s">
        <v>840</v>
      </c>
      <c r="F190" s="94" t="s">
        <v>840</v>
      </c>
      <c r="G190" s="319" t="s">
        <v>840</v>
      </c>
      <c r="H190" s="319" t="s">
        <v>840</v>
      </c>
      <c r="I190" s="322" t="s">
        <v>840</v>
      </c>
      <c r="J190" s="26" t="s">
        <v>840</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840</v>
      </c>
      <c r="E191" s="93" t="s">
        <v>840</v>
      </c>
      <c r="F191" s="94" t="s">
        <v>840</v>
      </c>
      <c r="G191" s="319" t="s">
        <v>840</v>
      </c>
      <c r="H191" s="319" t="s">
        <v>840</v>
      </c>
      <c r="I191" s="322" t="s">
        <v>840</v>
      </c>
      <c r="J191" s="26" t="s">
        <v>840</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840</v>
      </c>
      <c r="E192" s="93" t="s">
        <v>840</v>
      </c>
      <c r="F192" s="94" t="s">
        <v>840</v>
      </c>
      <c r="G192" s="319" t="s">
        <v>840</v>
      </c>
      <c r="H192" s="319" t="s">
        <v>840</v>
      </c>
      <c r="I192" s="322" t="s">
        <v>840</v>
      </c>
      <c r="J192" s="26" t="s">
        <v>840</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840</v>
      </c>
      <c r="E193" s="93" t="s">
        <v>840</v>
      </c>
      <c r="F193" s="94" t="s">
        <v>840</v>
      </c>
      <c r="G193" s="319" t="s">
        <v>840</v>
      </c>
      <c r="H193" s="319" t="s">
        <v>840</v>
      </c>
      <c r="I193" s="322" t="s">
        <v>840</v>
      </c>
      <c r="J193" s="26" t="s">
        <v>840</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840</v>
      </c>
      <c r="E194" s="93" t="s">
        <v>840</v>
      </c>
      <c r="F194" s="94" t="s">
        <v>840</v>
      </c>
      <c r="G194" s="319" t="s">
        <v>840</v>
      </c>
      <c r="H194" s="319" t="s">
        <v>840</v>
      </c>
      <c r="I194" s="322" t="s">
        <v>840</v>
      </c>
      <c r="J194" s="26" t="s">
        <v>840</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840</v>
      </c>
      <c r="E195" s="93" t="s">
        <v>840</v>
      </c>
      <c r="F195" s="94" t="s">
        <v>840</v>
      </c>
      <c r="G195" s="319" t="s">
        <v>840</v>
      </c>
      <c r="H195" s="319" t="s">
        <v>840</v>
      </c>
      <c r="I195" s="322" t="s">
        <v>840</v>
      </c>
      <c r="J195" s="26" t="s">
        <v>840</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840</v>
      </c>
      <c r="E196" s="93" t="s">
        <v>840</v>
      </c>
      <c r="F196" s="94" t="s">
        <v>840</v>
      </c>
      <c r="G196" s="319" t="s">
        <v>840</v>
      </c>
      <c r="H196" s="319" t="s">
        <v>840</v>
      </c>
      <c r="I196" s="322" t="s">
        <v>840</v>
      </c>
      <c r="J196" s="26" t="s">
        <v>840</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840</v>
      </c>
      <c r="E197" s="93" t="s">
        <v>840</v>
      </c>
      <c r="F197" s="94" t="s">
        <v>840</v>
      </c>
      <c r="G197" s="319" t="s">
        <v>840</v>
      </c>
      <c r="H197" s="319" t="s">
        <v>840</v>
      </c>
      <c r="I197" s="322" t="s">
        <v>840</v>
      </c>
      <c r="J197" s="26" t="s">
        <v>840</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840</v>
      </c>
      <c r="E198" s="96" t="s">
        <v>840</v>
      </c>
      <c r="F198" s="94" t="s">
        <v>840</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840</v>
      </c>
      <c r="E199" s="93" t="s">
        <v>840</v>
      </c>
      <c r="F199" s="94" t="s">
        <v>840</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840</v>
      </c>
      <c r="E200" s="93" t="s">
        <v>840</v>
      </c>
      <c r="F200" s="94" t="s">
        <v>840</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840</v>
      </c>
      <c r="E201" s="93" t="s">
        <v>840</v>
      </c>
      <c r="F201" s="94" t="s">
        <v>840</v>
      </c>
      <c r="G201" s="319" t="s">
        <v>840</v>
      </c>
      <c r="H201" s="320" t="s">
        <v>840</v>
      </c>
      <c r="I201" s="321" t="s">
        <v>840</v>
      </c>
      <c r="J201" s="26" t="s">
        <v>840</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840</v>
      </c>
      <c r="E202" s="93" t="s">
        <v>840</v>
      </c>
      <c r="F202" s="94" t="s">
        <v>840</v>
      </c>
      <c r="G202" s="319" t="s">
        <v>840</v>
      </c>
      <c r="H202" s="320" t="s">
        <v>840</v>
      </c>
      <c r="I202" s="321" t="s">
        <v>840</v>
      </c>
      <c r="J202" s="26" t="s">
        <v>840</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840</v>
      </c>
      <c r="E203" s="93" t="s">
        <v>840</v>
      </c>
      <c r="F203" s="94" t="s">
        <v>840</v>
      </c>
      <c r="G203" s="319" t="s">
        <v>840</v>
      </c>
      <c r="H203" s="320" t="s">
        <v>840</v>
      </c>
      <c r="I203" s="321" t="s">
        <v>840</v>
      </c>
      <c r="J203" s="26" t="s">
        <v>840</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F7:G7"/>
    <mergeCell ref="F5:G5"/>
    <mergeCell ref="A2:J2"/>
    <mergeCell ref="A4:D4"/>
    <mergeCell ref="F4:J4"/>
    <mergeCell ref="F6:G6"/>
    <mergeCell ref="F10:G10"/>
    <mergeCell ref="H10:J10"/>
    <mergeCell ref="B8:D8"/>
    <mergeCell ref="F8:G8"/>
    <mergeCell ref="F9:G9"/>
  </mergeCells>
  <conditionalFormatting sqref="K14:Q203">
    <cfRule type="cellIs" dxfId="66" priority="2" operator="equal">
      <formula>0</formula>
    </cfRule>
    <cfRule type="cellIs" dxfId="65" priority="3" operator="lessThan">
      <formula>0</formula>
    </cfRule>
    <cfRule type="cellIs" dxfId="64" priority="4" operator="greaterThan">
      <formula>0</formula>
    </cfRule>
  </conditionalFormatting>
  <conditionalFormatting sqref="K14:R203">
    <cfRule type="expression" dxfId="63" priority="1">
      <formula>$K14&lt;&gt;""</formula>
    </cfRule>
  </conditionalFormatting>
  <hyperlinks>
    <hyperlink ref="A1" location="Overview!A1" display="Back to Overview" xr:uid="{572B62F4-FFA6-4CF1-B3DC-BBE0D2700B8C}"/>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6" width="15.5703125" style="1" customWidth="1"/>
    <col min="17" max="16384" width="9.140625" style="1"/>
  </cols>
  <sheetData>
    <row r="1" spans="1:17" ht="27.75" customHeight="1" x14ac:dyDescent="0.2">
      <c r="A1" s="32" t="s">
        <v>19</v>
      </c>
      <c r="B1" s="3"/>
      <c r="C1" s="3"/>
      <c r="D1" s="3"/>
      <c r="F1" s="3"/>
      <c r="G1" s="3"/>
      <c r="H1" s="3"/>
      <c r="I1" s="3"/>
      <c r="J1" s="1"/>
    </row>
    <row r="2" spans="1:17" ht="42" customHeight="1" x14ac:dyDescent="0.2">
      <c r="A2" s="468" t="str">
        <f>Overview!B4&amp;" - Effective from "&amp;TEXT(Overview!$D$4,"d mmmm yyyy")&amp;" - Final LDNO tariffs in WPD West Midlands Area (GSP Group_E)"</f>
        <v>Leep Electricity Networks Limited - Effective from 1 April 2026 - Final LDNO tariffs in WPD West Midlands Area (GSP Group_E)</v>
      </c>
      <c r="B2" s="468"/>
      <c r="C2" s="468"/>
      <c r="D2" s="468"/>
      <c r="E2" s="468"/>
      <c r="F2" s="468"/>
      <c r="G2" s="468"/>
      <c r="H2" s="468"/>
      <c r="I2" s="468"/>
      <c r="J2" s="468"/>
    </row>
    <row r="3" spans="1:17" s="41" customFormat="1" ht="15" customHeight="1" x14ac:dyDescent="0.2">
      <c r="A3" s="46"/>
      <c r="B3" s="46"/>
      <c r="C3" s="46"/>
      <c r="D3" s="46"/>
      <c r="E3" s="46"/>
      <c r="F3" s="46"/>
      <c r="G3" s="46"/>
      <c r="H3" s="46"/>
      <c r="I3" s="46"/>
      <c r="J3" s="46"/>
      <c r="K3" s="31"/>
      <c r="L3" s="31"/>
    </row>
    <row r="4" spans="1:17" ht="36.75" customHeight="1" x14ac:dyDescent="0.2">
      <c r="A4" s="382" t="s">
        <v>308</v>
      </c>
      <c r="B4" s="383"/>
      <c r="C4" s="383"/>
      <c r="D4" s="384"/>
      <c r="F4" s="382" t="s">
        <v>307</v>
      </c>
      <c r="G4" s="383"/>
      <c r="H4" s="383"/>
      <c r="I4" s="383"/>
      <c r="J4" s="384"/>
      <c r="K4" s="3"/>
      <c r="L4" s="3"/>
    </row>
    <row r="5" spans="1:17" ht="33.75" customHeight="1" x14ac:dyDescent="0.2">
      <c r="A5" s="40" t="s">
        <v>13</v>
      </c>
      <c r="B5" s="185" t="s">
        <v>299</v>
      </c>
      <c r="C5" s="271" t="s">
        <v>300</v>
      </c>
      <c r="D5" s="42" t="s">
        <v>301</v>
      </c>
      <c r="F5" s="248"/>
      <c r="G5" s="249"/>
      <c r="H5" s="44" t="s">
        <v>305</v>
      </c>
      <c r="I5" s="45" t="s">
        <v>306</v>
      </c>
      <c r="J5" s="42" t="s">
        <v>301</v>
      </c>
      <c r="K5" s="46"/>
      <c r="L5" s="3"/>
      <c r="M5" s="3"/>
    </row>
    <row r="6" spans="1:17" ht="42.75" customHeight="1" x14ac:dyDescent="0.2">
      <c r="A6" s="269" t="str">
        <f>'Annex 1 LV and HV charges_E'!A6</f>
        <v>Monday to Friday 
(Including Bank Holidays)
All Year</v>
      </c>
      <c r="B6" s="13" t="str">
        <f>'Annex 1 LV and HV charges_E'!B6</f>
        <v>16:00 - 19:00</v>
      </c>
      <c r="C6" s="250" t="str">
        <f>'Annex 1 LV and HV charges_E'!C6</f>
        <v>07:30 to 16:00
19:00 to 21:00</v>
      </c>
      <c r="D6" s="97" t="str">
        <f>'Annex 1 LV and HV charges_E'!E6</f>
        <v>00:00 to 07:30
21:00 to 24:00</v>
      </c>
      <c r="F6" s="255" t="str">
        <f>'Annex 1 LV and HV charges_E'!G6</f>
        <v>Monday to Friday 
(Including Bank Holidays)
Nov to Feb Inclusive</v>
      </c>
      <c r="G6" s="255">
        <f>'Annex 1 LV and HV charges_E'!H6</f>
        <v>0</v>
      </c>
      <c r="H6" s="13" t="str">
        <f>'Annex 1 LV and HV charges_E'!I6</f>
        <v>16:00 to 19:00</v>
      </c>
      <c r="I6" s="250" t="str">
        <f>'Annex 1 LV and HV charges_E'!J6</f>
        <v>07:30 to 16:00
19:00 to 21:00</v>
      </c>
      <c r="J6" s="250" t="str">
        <f>'Annex 1 LV and HV charges_E'!K6</f>
        <v>00:00 to 07:30
21:00 to 24:00</v>
      </c>
      <c r="K6" s="46"/>
      <c r="L6" s="3"/>
      <c r="M6" s="3"/>
    </row>
    <row r="7" spans="1:17" ht="51" customHeight="1" x14ac:dyDescent="0.2">
      <c r="A7" s="269" t="str">
        <f>'Annex 1 LV and HV charges_E'!A7</f>
        <v>Saturday and Sunday
All Year</v>
      </c>
      <c r="B7" s="252" t="str">
        <f>'Annex 1 LV and HV charges_E'!B7</f>
        <v/>
      </c>
      <c r="C7" s="254" t="str">
        <f>'Annex 1 LV and HV charges_E'!C7</f>
        <v/>
      </c>
      <c r="D7" s="250" t="str">
        <f>'Annex 1 LV and HV charges_E'!E7</f>
        <v>00:00 to 24:00</v>
      </c>
      <c r="F7" s="255" t="str">
        <f>'Annex 1 LV and HV charges_E'!G7</f>
        <v>Monday to Friday 
(Including Bank Holidays)
Mar to Oct Inclusive</v>
      </c>
      <c r="G7" s="255">
        <f>'Annex 1 LV and HV charges_E'!H7</f>
        <v>0</v>
      </c>
      <c r="H7" s="252" t="str">
        <f>'Annex 1 LV and HV charges_E'!I7</f>
        <v/>
      </c>
      <c r="I7" s="250" t="str">
        <f>'Annex 1 LV and HV charges_E'!J7</f>
        <v>07:30 to 21:00</v>
      </c>
      <c r="J7" s="250" t="str">
        <f>'Annex 1 LV and HV charges_E'!K7</f>
        <v>00:00 to 07:30
21:00 to 24:00</v>
      </c>
      <c r="K7" s="46"/>
      <c r="L7" s="3"/>
      <c r="M7" s="3"/>
    </row>
    <row r="8" spans="1:17" ht="28.5" customHeight="1" x14ac:dyDescent="0.2">
      <c r="A8" s="255" t="str">
        <f>'Annex 1 LV and HV charges_E'!A8</f>
        <v>Notes</v>
      </c>
      <c r="B8" s="389" t="str">
        <f>'Annex 1 LV and HV charges_E'!B8</f>
        <v>All the above times are in UK Clock time</v>
      </c>
      <c r="C8" s="390">
        <f>'Annex 1 LV and HV charges_E'!C8</f>
        <v>0</v>
      </c>
      <c r="D8" s="391">
        <f>'Annex 1 LV and HV charges_E'!D8</f>
        <v>0</v>
      </c>
      <c r="F8" s="255" t="str">
        <f>'Annex 1 LV and HV charges_E'!G8</f>
        <v>Saturday and Sunday
All year</v>
      </c>
      <c r="G8" s="255">
        <f>'Annex 1 LV and HV charges_E'!H8</f>
        <v>0</v>
      </c>
      <c r="H8" s="252" t="str">
        <f>'Annex 1 LV and HV charges_E'!I8</f>
        <v/>
      </c>
      <c r="I8" s="252" t="str">
        <f>'Annex 1 LV and HV charges_E'!J8</f>
        <v/>
      </c>
      <c r="J8" s="250" t="str">
        <f>'Annex 1 LV and HV charges_E'!K8</f>
        <v>00:00 to 24:00</v>
      </c>
      <c r="K8" s="46"/>
      <c r="L8" s="3"/>
      <c r="M8" s="3"/>
    </row>
    <row r="9" spans="1:17" s="41" customFormat="1" ht="36" customHeight="1" x14ac:dyDescent="0.2">
      <c r="A9" s="256"/>
      <c r="B9" s="256"/>
      <c r="C9" s="385"/>
      <c r="D9" s="386"/>
      <c r="E9" s="46"/>
      <c r="F9" s="255" t="str">
        <f>'Annex 1 LV and HV charges_E'!G9</f>
        <v>Notes</v>
      </c>
      <c r="G9" s="255">
        <f>'Annex 1 LV and HV charges_E'!H9</f>
        <v>0</v>
      </c>
      <c r="H9" s="389" t="str">
        <f>'Annex 1 LV and HV charges_E'!I9</f>
        <v>All the above times are in UK Clock time</v>
      </c>
      <c r="I9" s="390">
        <f>'Annex 1 LV and HV charges_E'!J9</f>
        <v>0</v>
      </c>
      <c r="J9" s="391">
        <f>'Annex 1 LV and HV charges_E'!K9</f>
        <v>0</v>
      </c>
      <c r="K9" s="46"/>
      <c r="L9" s="31"/>
      <c r="M9" s="31"/>
    </row>
    <row r="10" spans="1:17" s="41" customFormat="1" ht="18" x14ac:dyDescent="0.2">
      <c r="A10" s="120"/>
      <c r="B10" s="476"/>
      <c r="C10" s="477"/>
      <c r="D10" s="477"/>
      <c r="E10" s="478"/>
      <c r="F10" s="46"/>
      <c r="G10" s="410"/>
      <c r="H10" s="410"/>
      <c r="I10" s="257"/>
      <c r="J10" s="257"/>
      <c r="K10" s="46"/>
      <c r="L10" s="31"/>
      <c r="M10" s="31"/>
    </row>
    <row r="11" spans="1:17" s="41" customFormat="1" ht="18" x14ac:dyDescent="0.2">
      <c r="A11" s="46"/>
      <c r="B11" s="46"/>
      <c r="C11" s="46"/>
      <c r="D11" s="46"/>
      <c r="E11" s="46"/>
      <c r="F11" s="46"/>
      <c r="G11" s="405"/>
      <c r="H11" s="405"/>
      <c r="I11" s="265"/>
      <c r="J11" s="266"/>
      <c r="K11" s="31"/>
      <c r="L11" s="31"/>
    </row>
    <row r="12" spans="1:17" s="41" customFormat="1" ht="18" x14ac:dyDescent="0.2">
      <c r="A12" s="46"/>
      <c r="B12" s="46"/>
      <c r="C12" s="46"/>
      <c r="D12" s="46"/>
      <c r="E12" s="46"/>
      <c r="F12" s="46"/>
      <c r="G12" s="46"/>
      <c r="H12" s="46"/>
      <c r="I12" s="46"/>
      <c r="J12" s="4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45" customHeight="1" x14ac:dyDescent="0.2">
      <c r="A14" s="324" t="s">
        <v>779</v>
      </c>
      <c r="B14" s="25"/>
      <c r="C14" s="326" t="s">
        <v>845</v>
      </c>
      <c r="D14" s="92">
        <v>7.3070000000000004</v>
      </c>
      <c r="E14" s="93">
        <v>0.93700000000000006</v>
      </c>
      <c r="F14" s="94">
        <v>0.128</v>
      </c>
      <c r="G14" s="319">
        <v>9.14</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45" customHeight="1" x14ac:dyDescent="0.2">
      <c r="A15" s="324" t="s">
        <v>642</v>
      </c>
      <c r="B15" s="25"/>
      <c r="C15" s="326" t="s">
        <v>2075</v>
      </c>
      <c r="D15" s="92">
        <v>7.3070000000000004</v>
      </c>
      <c r="E15" s="93">
        <v>0.93700000000000006</v>
      </c>
      <c r="F15" s="94">
        <v>0.128</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45" customHeight="1" x14ac:dyDescent="0.2">
      <c r="A16" s="324" t="s">
        <v>786</v>
      </c>
      <c r="B16" s="25"/>
      <c r="C16" s="326" t="s">
        <v>846</v>
      </c>
      <c r="D16" s="92">
        <v>6.82</v>
      </c>
      <c r="E16" s="93">
        <v>0.874</v>
      </c>
      <c r="F16" s="94">
        <v>0.12</v>
      </c>
      <c r="G16" s="319">
        <v>9.4600000000000009</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45" customHeight="1" x14ac:dyDescent="0.2">
      <c r="A17" s="324" t="s">
        <v>793</v>
      </c>
      <c r="B17" s="25"/>
      <c r="C17" s="326" t="s">
        <v>846</v>
      </c>
      <c r="D17" s="92">
        <v>6.82</v>
      </c>
      <c r="E17" s="93">
        <v>0.874</v>
      </c>
      <c r="F17" s="94">
        <v>0.12</v>
      </c>
      <c r="G17" s="319">
        <v>11.47</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45" customHeight="1" x14ac:dyDescent="0.2">
      <c r="A18" s="324" t="s">
        <v>800</v>
      </c>
      <c r="B18" s="25"/>
      <c r="C18" s="326" t="s">
        <v>846</v>
      </c>
      <c r="D18" s="92">
        <v>6.82</v>
      </c>
      <c r="E18" s="93">
        <v>0.874</v>
      </c>
      <c r="F18" s="94">
        <v>0.12</v>
      </c>
      <c r="G18" s="319">
        <v>17.260000000000002</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45" customHeight="1" x14ac:dyDescent="0.2">
      <c r="A19" s="324" t="s">
        <v>807</v>
      </c>
      <c r="B19" s="25"/>
      <c r="C19" s="326" t="s">
        <v>846</v>
      </c>
      <c r="D19" s="92">
        <v>6.82</v>
      </c>
      <c r="E19" s="93">
        <v>0.874</v>
      </c>
      <c r="F19" s="94">
        <v>0.12</v>
      </c>
      <c r="G19" s="319">
        <v>26.25</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45" customHeight="1" x14ac:dyDescent="0.2">
      <c r="A20" s="324" t="s">
        <v>814</v>
      </c>
      <c r="B20" s="25"/>
      <c r="C20" s="326" t="s">
        <v>846</v>
      </c>
      <c r="D20" s="92">
        <v>6.82</v>
      </c>
      <c r="E20" s="93">
        <v>0.874</v>
      </c>
      <c r="F20" s="94">
        <v>0.12</v>
      </c>
      <c r="G20" s="319">
        <v>53.14</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45" customHeight="1" x14ac:dyDescent="0.2">
      <c r="A21" s="324" t="s">
        <v>580</v>
      </c>
      <c r="B21" s="25"/>
      <c r="C21" s="326" t="s">
        <v>2076</v>
      </c>
      <c r="D21" s="92">
        <v>6.82</v>
      </c>
      <c r="E21" s="93">
        <v>0.874</v>
      </c>
      <c r="F21" s="94">
        <v>0.12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45" customHeight="1" x14ac:dyDescent="0.2">
      <c r="A22" s="324" t="s">
        <v>643</v>
      </c>
      <c r="B22" s="18"/>
      <c r="C22" s="326">
        <v>0</v>
      </c>
      <c r="D22" s="92">
        <v>4.3029999999999999</v>
      </c>
      <c r="E22" s="93">
        <v>0.54600000000000004</v>
      </c>
      <c r="F22" s="94">
        <v>6.6000000000000003E-2</v>
      </c>
      <c r="G22" s="319">
        <v>9.6999999999999993</v>
      </c>
      <c r="H22" s="319">
        <v>7.04</v>
      </c>
      <c r="I22" s="322">
        <v>7.04</v>
      </c>
      <c r="J22" s="26">
        <v>7.5999999999999998E-2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45" customHeight="1" x14ac:dyDescent="0.2">
      <c r="A23" s="324" t="s">
        <v>644</v>
      </c>
      <c r="B23" s="25"/>
      <c r="C23" s="326">
        <v>0</v>
      </c>
      <c r="D23" s="92">
        <v>4.3029999999999999</v>
      </c>
      <c r="E23" s="93">
        <v>0.54600000000000004</v>
      </c>
      <c r="F23" s="94">
        <v>6.6000000000000003E-2</v>
      </c>
      <c r="G23" s="319">
        <v>85.6</v>
      </c>
      <c r="H23" s="319">
        <v>7.04</v>
      </c>
      <c r="I23" s="322">
        <v>7.04</v>
      </c>
      <c r="J23" s="26">
        <v>7.5999999999999998E-2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45" customHeight="1" x14ac:dyDescent="0.2">
      <c r="A24" s="324" t="s">
        <v>645</v>
      </c>
      <c r="B24" s="18"/>
      <c r="C24" s="326">
        <v>0</v>
      </c>
      <c r="D24" s="92">
        <v>4.3029999999999999</v>
      </c>
      <c r="E24" s="93">
        <v>0.54600000000000004</v>
      </c>
      <c r="F24" s="94">
        <v>6.6000000000000003E-2</v>
      </c>
      <c r="G24" s="319">
        <v>145.16</v>
      </c>
      <c r="H24" s="319">
        <v>7.04</v>
      </c>
      <c r="I24" s="322">
        <v>7.04</v>
      </c>
      <c r="J24" s="26">
        <v>7.5999999999999998E-2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45" customHeight="1" x14ac:dyDescent="0.2">
      <c r="A25" s="324" t="s">
        <v>646</v>
      </c>
      <c r="B25" s="18"/>
      <c r="C25" s="326">
        <v>0</v>
      </c>
      <c r="D25" s="92">
        <v>4.3029999999999999</v>
      </c>
      <c r="E25" s="93">
        <v>0.54600000000000004</v>
      </c>
      <c r="F25" s="94">
        <v>6.6000000000000003E-2</v>
      </c>
      <c r="G25" s="319">
        <v>223.85</v>
      </c>
      <c r="H25" s="319">
        <v>7.04</v>
      </c>
      <c r="I25" s="322">
        <v>7.04</v>
      </c>
      <c r="J25" s="26">
        <v>7.5999999999999998E-2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45" customHeight="1" x14ac:dyDescent="0.2">
      <c r="A26" s="324" t="s">
        <v>647</v>
      </c>
      <c r="B26" s="18"/>
      <c r="C26" s="326">
        <v>0</v>
      </c>
      <c r="D26" s="92">
        <v>4.3029999999999999</v>
      </c>
      <c r="E26" s="93">
        <v>0.54600000000000004</v>
      </c>
      <c r="F26" s="94">
        <v>6.6000000000000003E-2</v>
      </c>
      <c r="G26" s="319">
        <v>385.21</v>
      </c>
      <c r="H26" s="319">
        <v>7.04</v>
      </c>
      <c r="I26" s="322">
        <v>7.04</v>
      </c>
      <c r="J26" s="26">
        <v>7.5999999999999998E-2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45" customHeight="1" x14ac:dyDescent="0.2">
      <c r="A27" s="324" t="s">
        <v>581</v>
      </c>
      <c r="B27" s="25"/>
      <c r="C27" s="327" t="s">
        <v>847</v>
      </c>
      <c r="D27" s="95">
        <v>26.510999999999999</v>
      </c>
      <c r="E27" s="96">
        <v>2.028</v>
      </c>
      <c r="F27" s="94">
        <v>1.165</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45" customHeight="1" x14ac:dyDescent="0.2">
      <c r="A28" s="324" t="s">
        <v>610</v>
      </c>
      <c r="B28" s="25"/>
      <c r="C28" s="327">
        <v>0</v>
      </c>
      <c r="D28" s="92">
        <v>-7.093</v>
      </c>
      <c r="E28" s="93">
        <v>-0.90900000000000003</v>
      </c>
      <c r="F28" s="94">
        <v>-0.124</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45" customHeight="1" x14ac:dyDescent="0.2">
      <c r="A29" s="324" t="s">
        <v>611</v>
      </c>
      <c r="B29" s="25"/>
      <c r="C29" s="327">
        <v>0</v>
      </c>
      <c r="D29" s="92">
        <v>-7.093</v>
      </c>
      <c r="E29" s="93">
        <v>-0.90900000000000003</v>
      </c>
      <c r="F29" s="94">
        <v>-0.124</v>
      </c>
      <c r="G29" s="319" t="s">
        <v>840</v>
      </c>
      <c r="H29" s="320" t="s">
        <v>840</v>
      </c>
      <c r="I29" s="321" t="s">
        <v>840</v>
      </c>
      <c r="J29" s="26">
        <v>0.158</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45" customHeight="1" x14ac:dyDescent="0.2">
      <c r="A30" s="325" t="s">
        <v>780</v>
      </c>
      <c r="B30" s="25"/>
      <c r="C30" s="327" t="s">
        <v>845</v>
      </c>
      <c r="D30" s="92">
        <v>5.6319999999999997</v>
      </c>
      <c r="E30" s="93">
        <v>0.72199999999999998</v>
      </c>
      <c r="F30" s="94">
        <v>9.9000000000000005E-2</v>
      </c>
      <c r="G30" s="319">
        <v>7.05</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45" customHeight="1" x14ac:dyDescent="0.2">
      <c r="A31" s="325" t="s">
        <v>648</v>
      </c>
      <c r="B31" s="25"/>
      <c r="C31" s="327" t="s">
        <v>2075</v>
      </c>
      <c r="D31" s="92">
        <v>5.6319999999999997</v>
      </c>
      <c r="E31" s="93">
        <v>0.72199999999999998</v>
      </c>
      <c r="F31" s="94">
        <v>9.9000000000000005E-2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45" customHeight="1" x14ac:dyDescent="0.2">
      <c r="A32" s="325" t="s">
        <v>787</v>
      </c>
      <c r="B32" s="18"/>
      <c r="C32" s="327" t="s">
        <v>846</v>
      </c>
      <c r="D32" s="92">
        <v>5.2560000000000002</v>
      </c>
      <c r="E32" s="93">
        <v>0.67400000000000004</v>
      </c>
      <c r="F32" s="94">
        <v>9.1999999999999998E-2</v>
      </c>
      <c r="G32" s="319">
        <v>7.29</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45" customHeight="1" x14ac:dyDescent="0.2">
      <c r="A33" s="325" t="s">
        <v>794</v>
      </c>
      <c r="B33" s="25"/>
      <c r="C33" s="327" t="s">
        <v>846</v>
      </c>
      <c r="D33" s="92">
        <v>5.2560000000000002</v>
      </c>
      <c r="E33" s="93">
        <v>0.67400000000000004</v>
      </c>
      <c r="F33" s="94">
        <v>9.1999999999999998E-2</v>
      </c>
      <c r="G33" s="319">
        <v>8.84</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45" customHeight="1" x14ac:dyDescent="0.2">
      <c r="A34" s="325" t="s">
        <v>801</v>
      </c>
      <c r="B34" s="18"/>
      <c r="C34" s="327" t="s">
        <v>846</v>
      </c>
      <c r="D34" s="92">
        <v>5.2560000000000002</v>
      </c>
      <c r="E34" s="93">
        <v>0.67400000000000004</v>
      </c>
      <c r="F34" s="94">
        <v>9.1999999999999998E-2</v>
      </c>
      <c r="G34" s="319">
        <v>13.3</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45" customHeight="1" x14ac:dyDescent="0.2">
      <c r="A35" s="325" t="s">
        <v>808</v>
      </c>
      <c r="B35" s="18"/>
      <c r="C35" s="327" t="s">
        <v>846</v>
      </c>
      <c r="D35" s="92">
        <v>5.2560000000000002</v>
      </c>
      <c r="E35" s="93">
        <v>0.67400000000000004</v>
      </c>
      <c r="F35" s="94">
        <v>9.1999999999999998E-2</v>
      </c>
      <c r="G35" s="319">
        <v>20.23</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45" customHeight="1" x14ac:dyDescent="0.2">
      <c r="A36" s="325" t="s">
        <v>815</v>
      </c>
      <c r="B36" s="18"/>
      <c r="C36" s="327" t="s">
        <v>846</v>
      </c>
      <c r="D36" s="92">
        <v>5.2560000000000002</v>
      </c>
      <c r="E36" s="93">
        <v>0.67400000000000004</v>
      </c>
      <c r="F36" s="94">
        <v>9.1999999999999998E-2</v>
      </c>
      <c r="G36" s="319">
        <v>40.96</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45" customHeight="1" x14ac:dyDescent="0.2">
      <c r="A37" s="325" t="s">
        <v>582</v>
      </c>
      <c r="B37" s="25"/>
      <c r="C37" s="327" t="s">
        <v>2076</v>
      </c>
      <c r="D37" s="92">
        <v>5.2560000000000002</v>
      </c>
      <c r="E37" s="93">
        <v>0.67400000000000004</v>
      </c>
      <c r="F37" s="94">
        <v>9.1999999999999998E-2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45" customHeight="1" x14ac:dyDescent="0.2">
      <c r="A38" s="325" t="s">
        <v>649</v>
      </c>
      <c r="B38" s="18"/>
      <c r="C38" s="327">
        <v>0</v>
      </c>
      <c r="D38" s="92">
        <v>3.3159999999999998</v>
      </c>
      <c r="E38" s="93">
        <v>0.42099999999999999</v>
      </c>
      <c r="F38" s="94">
        <v>5.0999999999999997E-2</v>
      </c>
      <c r="G38" s="319">
        <v>7.48</v>
      </c>
      <c r="H38" s="319">
        <v>5.43</v>
      </c>
      <c r="I38" s="322">
        <v>5.43</v>
      </c>
      <c r="J38" s="26">
        <v>5.8000000000000003E-2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45" customHeight="1" x14ac:dyDescent="0.2">
      <c r="A39" s="325" t="s">
        <v>650</v>
      </c>
      <c r="B39" s="25"/>
      <c r="C39" s="327">
        <v>0</v>
      </c>
      <c r="D39" s="92">
        <v>3.3159999999999998</v>
      </c>
      <c r="E39" s="93">
        <v>0.42099999999999999</v>
      </c>
      <c r="F39" s="94">
        <v>5.0999999999999997E-2</v>
      </c>
      <c r="G39" s="319">
        <v>65.97</v>
      </c>
      <c r="H39" s="319">
        <v>5.43</v>
      </c>
      <c r="I39" s="322">
        <v>5.43</v>
      </c>
      <c r="J39" s="26">
        <v>5.8000000000000003E-2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45" customHeight="1" x14ac:dyDescent="0.2">
      <c r="A40" s="325" t="s">
        <v>651</v>
      </c>
      <c r="B40" s="18"/>
      <c r="C40" s="327">
        <v>0</v>
      </c>
      <c r="D40" s="92">
        <v>3.3159999999999998</v>
      </c>
      <c r="E40" s="93">
        <v>0.42099999999999999</v>
      </c>
      <c r="F40" s="94">
        <v>5.0999999999999997E-2</v>
      </c>
      <c r="G40" s="319">
        <v>111.87</v>
      </c>
      <c r="H40" s="319">
        <v>5.43</v>
      </c>
      <c r="I40" s="322">
        <v>5.43</v>
      </c>
      <c r="J40" s="26">
        <v>5.8000000000000003E-2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45" customHeight="1" x14ac:dyDescent="0.2">
      <c r="A41" s="325" t="s">
        <v>652</v>
      </c>
      <c r="B41" s="18"/>
      <c r="C41" s="327">
        <v>0</v>
      </c>
      <c r="D41" s="92">
        <v>3.3159999999999998</v>
      </c>
      <c r="E41" s="93">
        <v>0.42099999999999999</v>
      </c>
      <c r="F41" s="94">
        <v>5.0999999999999997E-2</v>
      </c>
      <c r="G41" s="319">
        <v>172.52</v>
      </c>
      <c r="H41" s="319">
        <v>5.43</v>
      </c>
      <c r="I41" s="322">
        <v>5.43</v>
      </c>
      <c r="J41" s="26">
        <v>5.8000000000000003E-2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45" customHeight="1" x14ac:dyDescent="0.2">
      <c r="A42" s="325" t="s">
        <v>653</v>
      </c>
      <c r="B42" s="18"/>
      <c r="C42" s="327">
        <v>0</v>
      </c>
      <c r="D42" s="92">
        <v>3.3159999999999998</v>
      </c>
      <c r="E42" s="93">
        <v>0.42099999999999999</v>
      </c>
      <c r="F42" s="94">
        <v>5.0999999999999997E-2</v>
      </c>
      <c r="G42" s="319">
        <v>296.88</v>
      </c>
      <c r="H42" s="319">
        <v>5.43</v>
      </c>
      <c r="I42" s="322">
        <v>5.43</v>
      </c>
      <c r="J42" s="26">
        <v>5.8000000000000003E-2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45" customHeight="1" x14ac:dyDescent="0.2">
      <c r="A43" s="325" t="s">
        <v>654</v>
      </c>
      <c r="B43" s="18"/>
      <c r="C43" s="327">
        <v>0</v>
      </c>
      <c r="D43" s="92">
        <v>2.8730000000000002</v>
      </c>
      <c r="E43" s="93">
        <v>0.35399999999999998</v>
      </c>
      <c r="F43" s="94">
        <v>2.5000000000000001E-2</v>
      </c>
      <c r="G43" s="319">
        <v>9.15</v>
      </c>
      <c r="H43" s="319">
        <v>7.33</v>
      </c>
      <c r="I43" s="322">
        <v>7.33</v>
      </c>
      <c r="J43" s="26">
        <v>4.9000000000000002E-2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45" customHeight="1" x14ac:dyDescent="0.2">
      <c r="A44" s="325" t="s">
        <v>655</v>
      </c>
      <c r="B44" s="25"/>
      <c r="C44" s="327">
        <v>0</v>
      </c>
      <c r="D44" s="92">
        <v>2.8730000000000002</v>
      </c>
      <c r="E44" s="93">
        <v>0.35399999999999998</v>
      </c>
      <c r="F44" s="94">
        <v>2.5000000000000001E-2</v>
      </c>
      <c r="G44" s="319">
        <v>100.9</v>
      </c>
      <c r="H44" s="319">
        <v>7.33</v>
      </c>
      <c r="I44" s="322">
        <v>7.33</v>
      </c>
      <c r="J44" s="26">
        <v>4.9000000000000002E-2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45" customHeight="1" x14ac:dyDescent="0.2">
      <c r="A45" s="325" t="s">
        <v>656</v>
      </c>
      <c r="B45" s="18"/>
      <c r="C45" s="327">
        <v>0</v>
      </c>
      <c r="D45" s="92">
        <v>2.8730000000000002</v>
      </c>
      <c r="E45" s="93">
        <v>0.35399999999999998</v>
      </c>
      <c r="F45" s="94">
        <v>2.5000000000000001E-2</v>
      </c>
      <c r="G45" s="319">
        <v>172.91</v>
      </c>
      <c r="H45" s="319">
        <v>7.33</v>
      </c>
      <c r="I45" s="322">
        <v>7.33</v>
      </c>
      <c r="J45" s="26">
        <v>4.9000000000000002E-2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45" customHeight="1" x14ac:dyDescent="0.2">
      <c r="A46" s="325" t="s">
        <v>657</v>
      </c>
      <c r="B46" s="18"/>
      <c r="C46" s="327">
        <v>0</v>
      </c>
      <c r="D46" s="92">
        <v>2.8730000000000002</v>
      </c>
      <c r="E46" s="93">
        <v>0.35399999999999998</v>
      </c>
      <c r="F46" s="94">
        <v>2.5000000000000001E-2</v>
      </c>
      <c r="G46" s="319">
        <v>268.04000000000002</v>
      </c>
      <c r="H46" s="319">
        <v>7.33</v>
      </c>
      <c r="I46" s="322">
        <v>7.33</v>
      </c>
      <c r="J46" s="26">
        <v>4.9000000000000002E-2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45" customHeight="1" x14ac:dyDescent="0.2">
      <c r="A47" s="325" t="s">
        <v>658</v>
      </c>
      <c r="B47" s="18"/>
      <c r="C47" s="327">
        <v>0</v>
      </c>
      <c r="D47" s="92">
        <v>2.8730000000000002</v>
      </c>
      <c r="E47" s="93">
        <v>0.35399999999999998</v>
      </c>
      <c r="F47" s="94">
        <v>2.5000000000000001E-2</v>
      </c>
      <c r="G47" s="319">
        <v>463.1</v>
      </c>
      <c r="H47" s="319">
        <v>7.33</v>
      </c>
      <c r="I47" s="322">
        <v>7.33</v>
      </c>
      <c r="J47" s="26">
        <v>4.9000000000000002E-2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45" customHeight="1" x14ac:dyDescent="0.2">
      <c r="A48" s="325" t="s">
        <v>659</v>
      </c>
      <c r="B48" s="18"/>
      <c r="C48" s="327">
        <v>0</v>
      </c>
      <c r="D48" s="92">
        <v>1.6180000000000001</v>
      </c>
      <c r="E48" s="93">
        <v>0.189</v>
      </c>
      <c r="F48" s="94">
        <v>0.01</v>
      </c>
      <c r="G48" s="319">
        <v>97.11</v>
      </c>
      <c r="H48" s="319">
        <v>8.5</v>
      </c>
      <c r="I48" s="322">
        <v>8.5</v>
      </c>
      <c r="J48" s="26">
        <v>2.5000000000000001E-2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45" customHeight="1" x14ac:dyDescent="0.2">
      <c r="A49" s="325" t="s">
        <v>660</v>
      </c>
      <c r="B49" s="18"/>
      <c r="C49" s="327">
        <v>0</v>
      </c>
      <c r="D49" s="92">
        <v>1.6180000000000001</v>
      </c>
      <c r="E49" s="93">
        <v>0.189</v>
      </c>
      <c r="F49" s="94">
        <v>0.01</v>
      </c>
      <c r="G49" s="319">
        <v>756.85</v>
      </c>
      <c r="H49" s="319">
        <v>8.5</v>
      </c>
      <c r="I49" s="322">
        <v>8.5</v>
      </c>
      <c r="J49" s="26">
        <v>2.5000000000000001E-2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45" customHeight="1" x14ac:dyDescent="0.2">
      <c r="A50" s="325" t="s">
        <v>661</v>
      </c>
      <c r="B50" s="25"/>
      <c r="C50" s="327">
        <v>0</v>
      </c>
      <c r="D50" s="92">
        <v>1.6180000000000001</v>
      </c>
      <c r="E50" s="93">
        <v>0.189</v>
      </c>
      <c r="F50" s="94">
        <v>0.01</v>
      </c>
      <c r="G50" s="319">
        <v>2087.6999999999998</v>
      </c>
      <c r="H50" s="319">
        <v>8.5</v>
      </c>
      <c r="I50" s="322">
        <v>8.5</v>
      </c>
      <c r="J50" s="26">
        <v>2.5000000000000001E-2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45" customHeight="1" x14ac:dyDescent="0.2">
      <c r="A51" s="325" t="s">
        <v>662</v>
      </c>
      <c r="B51" s="18"/>
      <c r="C51" s="327">
        <v>0</v>
      </c>
      <c r="D51" s="92">
        <v>1.6180000000000001</v>
      </c>
      <c r="E51" s="93">
        <v>0.189</v>
      </c>
      <c r="F51" s="94">
        <v>0.01</v>
      </c>
      <c r="G51" s="319">
        <v>4061.97</v>
      </c>
      <c r="H51" s="319">
        <v>8.5</v>
      </c>
      <c r="I51" s="322">
        <v>8.5</v>
      </c>
      <c r="J51" s="26">
        <v>2.5000000000000001E-2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45" customHeight="1" x14ac:dyDescent="0.2">
      <c r="A52" s="325" t="s">
        <v>663</v>
      </c>
      <c r="B52" s="18"/>
      <c r="C52" s="327">
        <v>0</v>
      </c>
      <c r="D52" s="92">
        <v>1.6180000000000001</v>
      </c>
      <c r="E52" s="93">
        <v>0.189</v>
      </c>
      <c r="F52" s="94">
        <v>0.01</v>
      </c>
      <c r="G52" s="319">
        <v>9012.9699999999993</v>
      </c>
      <c r="H52" s="319">
        <v>8.5</v>
      </c>
      <c r="I52" s="322">
        <v>8.5</v>
      </c>
      <c r="J52" s="26">
        <v>2.5000000000000001E-2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45" customHeight="1" x14ac:dyDescent="0.2">
      <c r="A53" s="325" t="s">
        <v>583</v>
      </c>
      <c r="B53" s="25"/>
      <c r="C53" s="327" t="s">
        <v>847</v>
      </c>
      <c r="D53" s="95">
        <v>20.431999999999999</v>
      </c>
      <c r="E53" s="96">
        <v>1.5629999999999999</v>
      </c>
      <c r="F53" s="94">
        <v>0.89800000000000002</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45" customHeight="1" x14ac:dyDescent="0.2">
      <c r="A54" s="325" t="s">
        <v>612</v>
      </c>
      <c r="B54" s="25"/>
      <c r="C54" s="327">
        <v>0</v>
      </c>
      <c r="D54" s="92">
        <v>-7.093</v>
      </c>
      <c r="E54" s="93">
        <v>-0.90900000000000003</v>
      </c>
      <c r="F54" s="94">
        <v>-0.124</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45" customHeight="1" x14ac:dyDescent="0.2">
      <c r="A55" s="325" t="s">
        <v>613</v>
      </c>
      <c r="B55" s="323"/>
      <c r="C55" s="327">
        <v>0</v>
      </c>
      <c r="D55" s="92">
        <v>-5.59</v>
      </c>
      <c r="E55" s="93">
        <v>-0.71199999999999997</v>
      </c>
      <c r="F55" s="94">
        <v>-0.09</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45" customHeight="1" x14ac:dyDescent="0.2">
      <c r="A56" s="325" t="s">
        <v>614</v>
      </c>
      <c r="B56" s="25"/>
      <c r="C56" s="327">
        <v>0</v>
      </c>
      <c r="D56" s="92">
        <v>-7.093</v>
      </c>
      <c r="E56" s="93">
        <v>-0.90900000000000003</v>
      </c>
      <c r="F56" s="94">
        <v>-0.124</v>
      </c>
      <c r="G56" s="319" t="s">
        <v>840</v>
      </c>
      <c r="H56" s="320" t="s">
        <v>840</v>
      </c>
      <c r="I56" s="321" t="s">
        <v>840</v>
      </c>
      <c r="J56" s="26">
        <v>0.158</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45" customHeight="1" x14ac:dyDescent="0.2">
      <c r="A57" s="325" t="s">
        <v>615</v>
      </c>
      <c r="B57" s="25"/>
      <c r="C57" s="327">
        <v>0</v>
      </c>
      <c r="D57" s="92">
        <v>-5.59</v>
      </c>
      <c r="E57" s="93">
        <v>-0.71199999999999997</v>
      </c>
      <c r="F57" s="94">
        <v>-0.09</v>
      </c>
      <c r="G57" s="319" t="s">
        <v>840</v>
      </c>
      <c r="H57" s="320" t="s">
        <v>840</v>
      </c>
      <c r="I57" s="321" t="s">
        <v>840</v>
      </c>
      <c r="J57" s="26">
        <v>0.106</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45" customHeight="1" x14ac:dyDescent="0.2">
      <c r="A58" s="325" t="s">
        <v>616</v>
      </c>
      <c r="B58" s="25"/>
      <c r="C58" s="327">
        <v>0</v>
      </c>
      <c r="D58" s="92">
        <v>-2.7519999999999998</v>
      </c>
      <c r="E58" s="93">
        <v>-0.33900000000000002</v>
      </c>
      <c r="F58" s="94">
        <v>-2.4E-2</v>
      </c>
      <c r="G58" s="319" t="s">
        <v>840</v>
      </c>
      <c r="H58" s="320" t="s">
        <v>840</v>
      </c>
      <c r="I58" s="321" t="s">
        <v>840</v>
      </c>
      <c r="J58" s="26">
        <v>8.3000000000000004E-2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45" customHeight="1" x14ac:dyDescent="0.2">
      <c r="A59" s="324" t="s">
        <v>781</v>
      </c>
      <c r="B59" s="25"/>
      <c r="C59" s="327" t="s">
        <v>845</v>
      </c>
      <c r="D59" s="92">
        <v>4.5090000000000003</v>
      </c>
      <c r="E59" s="93">
        <v>0.57799999999999996</v>
      </c>
      <c r="F59" s="94">
        <v>7.9000000000000001E-2</v>
      </c>
      <c r="G59" s="319">
        <v>5.64</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45" customHeight="1" x14ac:dyDescent="0.2">
      <c r="A60" s="324" t="s">
        <v>664</v>
      </c>
      <c r="B60" s="25"/>
      <c r="C60" s="327" t="s">
        <v>2075</v>
      </c>
      <c r="D60" s="92">
        <v>4.5090000000000003</v>
      </c>
      <c r="E60" s="93">
        <v>0.57799999999999996</v>
      </c>
      <c r="F60" s="94">
        <v>7.9000000000000001E-2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45" customHeight="1" x14ac:dyDescent="0.2">
      <c r="A61" s="324" t="s">
        <v>788</v>
      </c>
      <c r="B61" s="18"/>
      <c r="C61" s="327" t="s">
        <v>846</v>
      </c>
      <c r="D61" s="92">
        <v>4.2080000000000002</v>
      </c>
      <c r="E61" s="93">
        <v>0.53900000000000003</v>
      </c>
      <c r="F61" s="94">
        <v>7.3999999999999996E-2</v>
      </c>
      <c r="G61" s="319">
        <v>5.84</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45" customHeight="1" x14ac:dyDescent="0.2">
      <c r="A62" s="324" t="s">
        <v>795</v>
      </c>
      <c r="B62" s="25"/>
      <c r="C62" s="327" t="s">
        <v>846</v>
      </c>
      <c r="D62" s="92">
        <v>4.2080000000000002</v>
      </c>
      <c r="E62" s="93">
        <v>0.53900000000000003</v>
      </c>
      <c r="F62" s="94">
        <v>7.3999999999999996E-2</v>
      </c>
      <c r="G62" s="319">
        <v>7.08</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45" customHeight="1" x14ac:dyDescent="0.2">
      <c r="A63" s="324" t="s">
        <v>802</v>
      </c>
      <c r="B63" s="18"/>
      <c r="C63" s="327" t="s">
        <v>846</v>
      </c>
      <c r="D63" s="92">
        <v>4.2080000000000002</v>
      </c>
      <c r="E63" s="93">
        <v>0.53900000000000003</v>
      </c>
      <c r="F63" s="94">
        <v>7.3999999999999996E-2</v>
      </c>
      <c r="G63" s="319">
        <v>10.65</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45" customHeight="1" x14ac:dyDescent="0.2">
      <c r="A64" s="324" t="s">
        <v>809</v>
      </c>
      <c r="B64" s="18"/>
      <c r="C64" s="327" t="s">
        <v>846</v>
      </c>
      <c r="D64" s="92">
        <v>4.2080000000000002</v>
      </c>
      <c r="E64" s="93">
        <v>0.53900000000000003</v>
      </c>
      <c r="F64" s="94">
        <v>7.3999999999999996E-2</v>
      </c>
      <c r="G64" s="319">
        <v>16.2</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45" customHeight="1" x14ac:dyDescent="0.2">
      <c r="A65" s="324" t="s">
        <v>816</v>
      </c>
      <c r="B65" s="18"/>
      <c r="C65" s="327" t="s">
        <v>846</v>
      </c>
      <c r="D65" s="92">
        <v>4.2080000000000002</v>
      </c>
      <c r="E65" s="93">
        <v>0.53900000000000003</v>
      </c>
      <c r="F65" s="94">
        <v>7.3999999999999996E-2</v>
      </c>
      <c r="G65" s="319">
        <v>32.79</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45" customHeight="1" x14ac:dyDescent="0.2">
      <c r="A66" s="324" t="s">
        <v>584</v>
      </c>
      <c r="B66" s="25"/>
      <c r="C66" s="327" t="s">
        <v>2076</v>
      </c>
      <c r="D66" s="92">
        <v>4.2080000000000002</v>
      </c>
      <c r="E66" s="93">
        <v>0.53900000000000003</v>
      </c>
      <c r="F66" s="94">
        <v>7.3999999999999996E-2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45" customHeight="1" x14ac:dyDescent="0.2">
      <c r="A67" s="324" t="s">
        <v>665</v>
      </c>
      <c r="B67" s="18"/>
      <c r="C67" s="327">
        <v>0</v>
      </c>
      <c r="D67" s="92">
        <v>2.6549999999999998</v>
      </c>
      <c r="E67" s="93">
        <v>0.33700000000000002</v>
      </c>
      <c r="F67" s="94">
        <v>4.1000000000000002E-2</v>
      </c>
      <c r="G67" s="319">
        <v>5.99</v>
      </c>
      <c r="H67" s="319">
        <v>4.34</v>
      </c>
      <c r="I67" s="322">
        <v>4.34</v>
      </c>
      <c r="J67" s="26">
        <v>4.7E-2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45" customHeight="1" x14ac:dyDescent="0.2">
      <c r="A68" s="324" t="s">
        <v>666</v>
      </c>
      <c r="B68" s="25"/>
      <c r="C68" s="327">
        <v>0</v>
      </c>
      <c r="D68" s="92">
        <v>2.6549999999999998</v>
      </c>
      <c r="E68" s="93">
        <v>0.33700000000000002</v>
      </c>
      <c r="F68" s="94">
        <v>4.1000000000000002E-2</v>
      </c>
      <c r="G68" s="319">
        <v>52.81</v>
      </c>
      <c r="H68" s="319">
        <v>4.34</v>
      </c>
      <c r="I68" s="322">
        <v>4.34</v>
      </c>
      <c r="J68" s="26">
        <v>4.7E-2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45" customHeight="1" x14ac:dyDescent="0.2">
      <c r="A69" s="324" t="s">
        <v>667</v>
      </c>
      <c r="B69" s="18"/>
      <c r="C69" s="327">
        <v>0</v>
      </c>
      <c r="D69" s="92">
        <v>2.6549999999999998</v>
      </c>
      <c r="E69" s="93">
        <v>0.33700000000000002</v>
      </c>
      <c r="F69" s="94">
        <v>4.1000000000000002E-2</v>
      </c>
      <c r="G69" s="319">
        <v>89.57</v>
      </c>
      <c r="H69" s="319">
        <v>4.34</v>
      </c>
      <c r="I69" s="322">
        <v>4.34</v>
      </c>
      <c r="J69" s="26">
        <v>4.7E-2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45" customHeight="1" x14ac:dyDescent="0.2">
      <c r="A70" s="324" t="s">
        <v>668</v>
      </c>
      <c r="B70" s="18"/>
      <c r="C70" s="327">
        <v>0</v>
      </c>
      <c r="D70" s="92">
        <v>2.6549999999999998</v>
      </c>
      <c r="E70" s="93">
        <v>0.33700000000000002</v>
      </c>
      <c r="F70" s="94">
        <v>4.1000000000000002E-2</v>
      </c>
      <c r="G70" s="319">
        <v>138.12</v>
      </c>
      <c r="H70" s="319">
        <v>4.34</v>
      </c>
      <c r="I70" s="322">
        <v>4.34</v>
      </c>
      <c r="J70" s="26">
        <v>4.7E-2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45" customHeight="1" x14ac:dyDescent="0.2">
      <c r="A71" s="324" t="s">
        <v>669</v>
      </c>
      <c r="B71" s="18"/>
      <c r="C71" s="327">
        <v>0</v>
      </c>
      <c r="D71" s="92">
        <v>2.6549999999999998</v>
      </c>
      <c r="E71" s="93">
        <v>0.33700000000000002</v>
      </c>
      <c r="F71" s="94">
        <v>4.1000000000000002E-2</v>
      </c>
      <c r="G71" s="319">
        <v>237.68</v>
      </c>
      <c r="H71" s="319">
        <v>4.34</v>
      </c>
      <c r="I71" s="322">
        <v>4.34</v>
      </c>
      <c r="J71" s="26">
        <v>4.7E-2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45" customHeight="1" x14ac:dyDescent="0.2">
      <c r="A72" s="324" t="s">
        <v>670</v>
      </c>
      <c r="B72" s="18"/>
      <c r="C72" s="327">
        <v>0</v>
      </c>
      <c r="D72" s="92">
        <v>2.2519999999999998</v>
      </c>
      <c r="E72" s="93">
        <v>0.27700000000000002</v>
      </c>
      <c r="F72" s="94">
        <v>0.02</v>
      </c>
      <c r="G72" s="319">
        <v>7.18</v>
      </c>
      <c r="H72" s="319">
        <v>5.75</v>
      </c>
      <c r="I72" s="322">
        <v>5.75</v>
      </c>
      <c r="J72" s="26">
        <v>3.7999999999999999E-2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45" customHeight="1" x14ac:dyDescent="0.2">
      <c r="A73" s="324" t="s">
        <v>671</v>
      </c>
      <c r="B73" s="25"/>
      <c r="C73" s="327">
        <v>0</v>
      </c>
      <c r="D73" s="92">
        <v>2.2519999999999998</v>
      </c>
      <c r="E73" s="93">
        <v>0.27700000000000002</v>
      </c>
      <c r="F73" s="94">
        <v>0.02</v>
      </c>
      <c r="G73" s="319">
        <v>79.099999999999994</v>
      </c>
      <c r="H73" s="319">
        <v>5.75</v>
      </c>
      <c r="I73" s="322">
        <v>5.75</v>
      </c>
      <c r="J73" s="26">
        <v>3.7999999999999999E-2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45" customHeight="1" x14ac:dyDescent="0.2">
      <c r="A74" s="324" t="s">
        <v>672</v>
      </c>
      <c r="B74" s="18"/>
      <c r="C74" s="327">
        <v>0</v>
      </c>
      <c r="D74" s="92">
        <v>2.2519999999999998</v>
      </c>
      <c r="E74" s="93">
        <v>0.27700000000000002</v>
      </c>
      <c r="F74" s="94">
        <v>0.02</v>
      </c>
      <c r="G74" s="319">
        <v>135.55000000000001</v>
      </c>
      <c r="H74" s="319">
        <v>5.75</v>
      </c>
      <c r="I74" s="322">
        <v>5.75</v>
      </c>
      <c r="J74" s="26">
        <v>3.7999999999999999E-2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45" customHeight="1" x14ac:dyDescent="0.2">
      <c r="A75" s="324" t="s">
        <v>673</v>
      </c>
      <c r="B75" s="18"/>
      <c r="C75" s="327">
        <v>0</v>
      </c>
      <c r="D75" s="92">
        <v>2.2519999999999998</v>
      </c>
      <c r="E75" s="93">
        <v>0.27700000000000002</v>
      </c>
      <c r="F75" s="94">
        <v>0.02</v>
      </c>
      <c r="G75" s="319">
        <v>210.13</v>
      </c>
      <c r="H75" s="319">
        <v>5.75</v>
      </c>
      <c r="I75" s="322">
        <v>5.75</v>
      </c>
      <c r="J75" s="26">
        <v>3.7999999999999999E-2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45" customHeight="1" x14ac:dyDescent="0.2">
      <c r="A76" s="324" t="s">
        <v>674</v>
      </c>
      <c r="B76" s="18"/>
      <c r="C76" s="327">
        <v>0</v>
      </c>
      <c r="D76" s="92">
        <v>2.2519999999999998</v>
      </c>
      <c r="E76" s="93">
        <v>0.27700000000000002</v>
      </c>
      <c r="F76" s="94">
        <v>0.02</v>
      </c>
      <c r="G76" s="319">
        <v>363.04</v>
      </c>
      <c r="H76" s="319">
        <v>5.75</v>
      </c>
      <c r="I76" s="322">
        <v>5.75</v>
      </c>
      <c r="J76" s="26">
        <v>3.7999999999999999E-2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45" customHeight="1" x14ac:dyDescent="0.2">
      <c r="A77" s="324" t="s">
        <v>675</v>
      </c>
      <c r="B77" s="18"/>
      <c r="C77" s="327">
        <v>0</v>
      </c>
      <c r="D77" s="92">
        <v>1.258</v>
      </c>
      <c r="E77" s="93">
        <v>0.14699999999999999</v>
      </c>
      <c r="F77" s="94">
        <v>8.0000000000000002E-3</v>
      </c>
      <c r="G77" s="319">
        <v>75.459999999999994</v>
      </c>
      <c r="H77" s="319">
        <v>6.6</v>
      </c>
      <c r="I77" s="322">
        <v>6.6</v>
      </c>
      <c r="J77" s="26">
        <v>1.9E-2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45" customHeight="1" x14ac:dyDescent="0.2">
      <c r="A78" s="324" t="s">
        <v>676</v>
      </c>
      <c r="B78" s="25"/>
      <c r="C78" s="327">
        <v>0</v>
      </c>
      <c r="D78" s="92">
        <v>1.258</v>
      </c>
      <c r="E78" s="93">
        <v>0.14699999999999999</v>
      </c>
      <c r="F78" s="94">
        <v>8.0000000000000002E-3</v>
      </c>
      <c r="G78" s="319">
        <v>588.1</v>
      </c>
      <c r="H78" s="319">
        <v>6.6</v>
      </c>
      <c r="I78" s="322">
        <v>6.6</v>
      </c>
      <c r="J78" s="26">
        <v>1.9E-2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45" customHeight="1" x14ac:dyDescent="0.2">
      <c r="A79" s="324" t="s">
        <v>677</v>
      </c>
      <c r="B79" s="18"/>
      <c r="C79" s="327">
        <v>0</v>
      </c>
      <c r="D79" s="92">
        <v>1.258</v>
      </c>
      <c r="E79" s="93">
        <v>0.14699999999999999</v>
      </c>
      <c r="F79" s="94">
        <v>8.0000000000000002E-3</v>
      </c>
      <c r="G79" s="319">
        <v>1622.2</v>
      </c>
      <c r="H79" s="319">
        <v>6.6</v>
      </c>
      <c r="I79" s="322">
        <v>6.6</v>
      </c>
      <c r="J79" s="26">
        <v>1.9E-2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45" customHeight="1" x14ac:dyDescent="0.2">
      <c r="A80" s="324" t="s">
        <v>678</v>
      </c>
      <c r="B80" s="18"/>
      <c r="C80" s="327">
        <v>0</v>
      </c>
      <c r="D80" s="92">
        <v>1.258</v>
      </c>
      <c r="E80" s="93">
        <v>0.14699999999999999</v>
      </c>
      <c r="F80" s="94">
        <v>8.0000000000000002E-3</v>
      </c>
      <c r="G80" s="319">
        <v>3156.27</v>
      </c>
      <c r="H80" s="319">
        <v>6.6</v>
      </c>
      <c r="I80" s="322">
        <v>6.6</v>
      </c>
      <c r="J80" s="26">
        <v>1.9E-2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45" customHeight="1" x14ac:dyDescent="0.2">
      <c r="A81" s="324" t="s">
        <v>679</v>
      </c>
      <c r="B81" s="18"/>
      <c r="C81" s="327">
        <v>0</v>
      </c>
      <c r="D81" s="92">
        <v>1.258</v>
      </c>
      <c r="E81" s="93">
        <v>0.14699999999999999</v>
      </c>
      <c r="F81" s="94">
        <v>8.0000000000000002E-3</v>
      </c>
      <c r="G81" s="319">
        <v>7003.35</v>
      </c>
      <c r="H81" s="319">
        <v>6.6</v>
      </c>
      <c r="I81" s="322">
        <v>6.6</v>
      </c>
      <c r="J81" s="26">
        <v>1.9E-2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45" customHeight="1" x14ac:dyDescent="0.2">
      <c r="A82" s="324" t="s">
        <v>585</v>
      </c>
      <c r="B82" s="25"/>
      <c r="C82" s="327" t="s">
        <v>847</v>
      </c>
      <c r="D82" s="95">
        <v>16.358000000000001</v>
      </c>
      <c r="E82" s="96">
        <v>1.252</v>
      </c>
      <c r="F82" s="94">
        <v>0.71899999999999997</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45" customHeight="1" x14ac:dyDescent="0.2">
      <c r="A83" s="324" t="s">
        <v>617</v>
      </c>
      <c r="B83" s="25"/>
      <c r="C83" s="327">
        <v>0</v>
      </c>
      <c r="D83" s="92">
        <v>-4.4400000000000004</v>
      </c>
      <c r="E83" s="93">
        <v>-0.56899999999999995</v>
      </c>
      <c r="F83" s="94">
        <v>-7.8E-2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45" customHeight="1" x14ac:dyDescent="0.2">
      <c r="A84" s="324" t="s">
        <v>618</v>
      </c>
      <c r="B84" s="323"/>
      <c r="C84" s="327">
        <v>0</v>
      </c>
      <c r="D84" s="92">
        <v>-3.9860000000000002</v>
      </c>
      <c r="E84" s="93">
        <v>-0.50800000000000001</v>
      </c>
      <c r="F84" s="94">
        <v>-6.4000000000000001E-2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45" customHeight="1" x14ac:dyDescent="0.2">
      <c r="A85" s="324" t="s">
        <v>619</v>
      </c>
      <c r="B85" s="25"/>
      <c r="C85" s="327">
        <v>0</v>
      </c>
      <c r="D85" s="92">
        <v>-4.4400000000000004</v>
      </c>
      <c r="E85" s="93">
        <v>-0.56899999999999995</v>
      </c>
      <c r="F85" s="94">
        <v>-7.8E-2</v>
      </c>
      <c r="G85" s="319" t="s">
        <v>840</v>
      </c>
      <c r="H85" s="320" t="s">
        <v>840</v>
      </c>
      <c r="I85" s="321" t="s">
        <v>840</v>
      </c>
      <c r="J85" s="26">
        <v>9.9000000000000005E-2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45" customHeight="1" x14ac:dyDescent="0.2">
      <c r="A86" s="324" t="s">
        <v>620</v>
      </c>
      <c r="B86" s="25"/>
      <c r="C86" s="327">
        <v>0</v>
      </c>
      <c r="D86" s="92">
        <v>-3.9860000000000002</v>
      </c>
      <c r="E86" s="93">
        <v>-0.50800000000000001</v>
      </c>
      <c r="F86" s="94">
        <v>-6.4000000000000001E-2</v>
      </c>
      <c r="G86" s="319" t="s">
        <v>840</v>
      </c>
      <c r="H86" s="320" t="s">
        <v>840</v>
      </c>
      <c r="I86" s="321" t="s">
        <v>840</v>
      </c>
      <c r="J86" s="26">
        <v>7.5999999999999998E-2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45" customHeight="1" x14ac:dyDescent="0.2">
      <c r="A87" s="324" t="s">
        <v>621</v>
      </c>
      <c r="B87" s="25"/>
      <c r="C87" s="327">
        <v>0</v>
      </c>
      <c r="D87" s="92">
        <v>-2.7519999999999998</v>
      </c>
      <c r="E87" s="93">
        <v>-0.33900000000000002</v>
      </c>
      <c r="F87" s="94">
        <v>-2.4E-2</v>
      </c>
      <c r="G87" s="319">
        <v>66.239999999999995</v>
      </c>
      <c r="H87" s="320" t="s">
        <v>840</v>
      </c>
      <c r="I87" s="321" t="s">
        <v>840</v>
      </c>
      <c r="J87" s="26">
        <v>8.3000000000000004E-2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45" customHeight="1" x14ac:dyDescent="0.2">
      <c r="A88" s="324" t="s">
        <v>782</v>
      </c>
      <c r="B88" s="25"/>
      <c r="C88" s="327" t="s">
        <v>845</v>
      </c>
      <c r="D88" s="92">
        <v>3.6429999999999998</v>
      </c>
      <c r="E88" s="93">
        <v>0.46700000000000003</v>
      </c>
      <c r="F88" s="94">
        <v>6.4000000000000001E-2</v>
      </c>
      <c r="G88" s="319">
        <v>4.5599999999999996</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45" customHeight="1" x14ac:dyDescent="0.2">
      <c r="A89" s="324" t="s">
        <v>680</v>
      </c>
      <c r="B89" s="25"/>
      <c r="C89" s="327" t="s">
        <v>2075</v>
      </c>
      <c r="D89" s="92">
        <v>3.6429999999999998</v>
      </c>
      <c r="E89" s="93">
        <v>0.46700000000000003</v>
      </c>
      <c r="F89" s="94">
        <v>6.4000000000000001E-2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45" customHeight="1" x14ac:dyDescent="0.2">
      <c r="A90" s="324" t="s">
        <v>789</v>
      </c>
      <c r="B90" s="18"/>
      <c r="C90" s="327" t="s">
        <v>846</v>
      </c>
      <c r="D90" s="92">
        <v>3.4</v>
      </c>
      <c r="E90" s="93">
        <v>0.436</v>
      </c>
      <c r="F90" s="94">
        <v>0.06</v>
      </c>
      <c r="G90" s="319">
        <v>4.72</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45" customHeight="1" x14ac:dyDescent="0.2">
      <c r="A91" s="324" t="s">
        <v>796</v>
      </c>
      <c r="B91" s="25"/>
      <c r="C91" s="327" t="s">
        <v>846</v>
      </c>
      <c r="D91" s="92">
        <v>3.4</v>
      </c>
      <c r="E91" s="93">
        <v>0.436</v>
      </c>
      <c r="F91" s="94">
        <v>0.06</v>
      </c>
      <c r="G91" s="319">
        <v>5.72</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45" customHeight="1" x14ac:dyDescent="0.2">
      <c r="A92" s="324" t="s">
        <v>803</v>
      </c>
      <c r="B92" s="18"/>
      <c r="C92" s="327" t="s">
        <v>846</v>
      </c>
      <c r="D92" s="92">
        <v>3.4</v>
      </c>
      <c r="E92" s="93">
        <v>0.436</v>
      </c>
      <c r="F92" s="94">
        <v>0.06</v>
      </c>
      <c r="G92" s="319">
        <v>8.6</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45" customHeight="1" x14ac:dyDescent="0.2">
      <c r="A93" s="324" t="s">
        <v>810</v>
      </c>
      <c r="B93" s="18"/>
      <c r="C93" s="327" t="s">
        <v>846</v>
      </c>
      <c r="D93" s="92">
        <v>3.4</v>
      </c>
      <c r="E93" s="93">
        <v>0.436</v>
      </c>
      <c r="F93" s="94">
        <v>0.06</v>
      </c>
      <c r="G93" s="319">
        <v>13.09</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45" customHeight="1" x14ac:dyDescent="0.2">
      <c r="A94" s="324" t="s">
        <v>817</v>
      </c>
      <c r="B94" s="18"/>
      <c r="C94" s="327" t="s">
        <v>846</v>
      </c>
      <c r="D94" s="92">
        <v>3.4</v>
      </c>
      <c r="E94" s="93">
        <v>0.436</v>
      </c>
      <c r="F94" s="94">
        <v>0.06</v>
      </c>
      <c r="G94" s="319">
        <v>26.49</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45" customHeight="1" x14ac:dyDescent="0.2">
      <c r="A95" s="324" t="s">
        <v>586</v>
      </c>
      <c r="B95" s="25"/>
      <c r="C95" s="327" t="s">
        <v>2076</v>
      </c>
      <c r="D95" s="92">
        <v>3.4</v>
      </c>
      <c r="E95" s="93">
        <v>0.436</v>
      </c>
      <c r="F95" s="94">
        <v>0.06</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45" customHeight="1" x14ac:dyDescent="0.2">
      <c r="A96" s="324" t="s">
        <v>681</v>
      </c>
      <c r="B96" s="18"/>
      <c r="C96" s="327">
        <v>0</v>
      </c>
      <c r="D96" s="92">
        <v>2.145</v>
      </c>
      <c r="E96" s="93">
        <v>0.27200000000000002</v>
      </c>
      <c r="F96" s="94">
        <v>3.3000000000000002E-2</v>
      </c>
      <c r="G96" s="319">
        <v>4.84</v>
      </c>
      <c r="H96" s="319">
        <v>3.51</v>
      </c>
      <c r="I96" s="322">
        <v>3.51</v>
      </c>
      <c r="J96" s="26">
        <v>3.7999999999999999E-2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45" customHeight="1" x14ac:dyDescent="0.2">
      <c r="A97" s="324" t="s">
        <v>682</v>
      </c>
      <c r="B97" s="25"/>
      <c r="C97" s="327">
        <v>0</v>
      </c>
      <c r="D97" s="92">
        <v>2.145</v>
      </c>
      <c r="E97" s="93">
        <v>0.27200000000000002</v>
      </c>
      <c r="F97" s="94">
        <v>3.3000000000000002E-2</v>
      </c>
      <c r="G97" s="319">
        <v>42.67</v>
      </c>
      <c r="H97" s="319">
        <v>3.51</v>
      </c>
      <c r="I97" s="322">
        <v>3.51</v>
      </c>
      <c r="J97" s="26">
        <v>3.7999999999999999E-2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45" customHeight="1" x14ac:dyDescent="0.2">
      <c r="A98" s="324" t="s">
        <v>683</v>
      </c>
      <c r="B98" s="18"/>
      <c r="C98" s="327">
        <v>0</v>
      </c>
      <c r="D98" s="92">
        <v>2.145</v>
      </c>
      <c r="E98" s="93">
        <v>0.27200000000000002</v>
      </c>
      <c r="F98" s="94">
        <v>3.3000000000000002E-2</v>
      </c>
      <c r="G98" s="319">
        <v>72.36</v>
      </c>
      <c r="H98" s="319">
        <v>3.51</v>
      </c>
      <c r="I98" s="322">
        <v>3.51</v>
      </c>
      <c r="J98" s="26">
        <v>3.7999999999999999E-2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45" customHeight="1" x14ac:dyDescent="0.2">
      <c r="A99" s="324" t="s">
        <v>684</v>
      </c>
      <c r="B99" s="18"/>
      <c r="C99" s="327">
        <v>0</v>
      </c>
      <c r="D99" s="92">
        <v>2.145</v>
      </c>
      <c r="E99" s="93">
        <v>0.27200000000000002</v>
      </c>
      <c r="F99" s="94">
        <v>3.3000000000000002E-2</v>
      </c>
      <c r="G99" s="319">
        <v>111.59</v>
      </c>
      <c r="H99" s="319">
        <v>3.51</v>
      </c>
      <c r="I99" s="322">
        <v>3.51</v>
      </c>
      <c r="J99" s="26">
        <v>3.7999999999999999E-2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45" customHeight="1" x14ac:dyDescent="0.2">
      <c r="A100" s="324" t="s">
        <v>685</v>
      </c>
      <c r="B100" s="18"/>
      <c r="C100" s="327">
        <v>0</v>
      </c>
      <c r="D100" s="92">
        <v>2.145</v>
      </c>
      <c r="E100" s="93">
        <v>0.27200000000000002</v>
      </c>
      <c r="F100" s="94">
        <v>3.3000000000000002E-2</v>
      </c>
      <c r="G100" s="319">
        <v>192.02</v>
      </c>
      <c r="H100" s="319">
        <v>3.51</v>
      </c>
      <c r="I100" s="322">
        <v>3.51</v>
      </c>
      <c r="J100" s="26">
        <v>3.7999999999999999E-2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45" customHeight="1" x14ac:dyDescent="0.2">
      <c r="A101" s="324" t="s">
        <v>686</v>
      </c>
      <c r="B101" s="18"/>
      <c r="C101" s="327">
        <v>0</v>
      </c>
      <c r="D101" s="92">
        <v>1.82</v>
      </c>
      <c r="E101" s="93">
        <v>0.224</v>
      </c>
      <c r="F101" s="94">
        <v>1.6E-2</v>
      </c>
      <c r="G101" s="319">
        <v>5.8</v>
      </c>
      <c r="H101" s="319">
        <v>4.6399999999999997</v>
      </c>
      <c r="I101" s="322">
        <v>4.6399999999999997</v>
      </c>
      <c r="J101" s="26">
        <v>3.1E-2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45" customHeight="1" x14ac:dyDescent="0.2">
      <c r="A102" s="324" t="s">
        <v>687</v>
      </c>
      <c r="B102" s="25"/>
      <c r="C102" s="327">
        <v>0</v>
      </c>
      <c r="D102" s="92">
        <v>1.82</v>
      </c>
      <c r="E102" s="93">
        <v>0.224</v>
      </c>
      <c r="F102" s="94">
        <v>1.6E-2</v>
      </c>
      <c r="G102" s="319">
        <v>63.91</v>
      </c>
      <c r="H102" s="319">
        <v>4.6399999999999997</v>
      </c>
      <c r="I102" s="322">
        <v>4.6399999999999997</v>
      </c>
      <c r="J102" s="26">
        <v>3.1E-2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45" customHeight="1" x14ac:dyDescent="0.2">
      <c r="A103" s="324" t="s">
        <v>688</v>
      </c>
      <c r="B103" s="18"/>
      <c r="C103" s="327">
        <v>0</v>
      </c>
      <c r="D103" s="92">
        <v>1.82</v>
      </c>
      <c r="E103" s="93">
        <v>0.224</v>
      </c>
      <c r="F103" s="94">
        <v>1.6E-2</v>
      </c>
      <c r="G103" s="319">
        <v>109.51</v>
      </c>
      <c r="H103" s="319">
        <v>4.6399999999999997</v>
      </c>
      <c r="I103" s="322">
        <v>4.6399999999999997</v>
      </c>
      <c r="J103" s="26">
        <v>3.1E-2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45" customHeight="1" x14ac:dyDescent="0.2">
      <c r="A104" s="324" t="s">
        <v>689</v>
      </c>
      <c r="B104" s="18"/>
      <c r="C104" s="327">
        <v>0</v>
      </c>
      <c r="D104" s="92">
        <v>1.82</v>
      </c>
      <c r="E104" s="93">
        <v>0.224</v>
      </c>
      <c r="F104" s="94">
        <v>1.6E-2</v>
      </c>
      <c r="G104" s="319">
        <v>169.76</v>
      </c>
      <c r="H104" s="319">
        <v>4.6399999999999997</v>
      </c>
      <c r="I104" s="322">
        <v>4.6399999999999997</v>
      </c>
      <c r="J104" s="26">
        <v>3.1E-2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45" customHeight="1" x14ac:dyDescent="0.2">
      <c r="A105" s="324" t="s">
        <v>690</v>
      </c>
      <c r="B105" s="18"/>
      <c r="C105" s="327">
        <v>0</v>
      </c>
      <c r="D105" s="92">
        <v>1.82</v>
      </c>
      <c r="E105" s="93">
        <v>0.224</v>
      </c>
      <c r="F105" s="94">
        <v>1.6E-2</v>
      </c>
      <c r="G105" s="319">
        <v>293.3</v>
      </c>
      <c r="H105" s="319">
        <v>4.6399999999999997</v>
      </c>
      <c r="I105" s="322">
        <v>4.6399999999999997</v>
      </c>
      <c r="J105" s="26">
        <v>3.1E-2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45" customHeight="1" x14ac:dyDescent="0.2">
      <c r="A106" s="324" t="s">
        <v>691</v>
      </c>
      <c r="B106" s="18"/>
      <c r="C106" s="327">
        <v>0</v>
      </c>
      <c r="D106" s="92">
        <v>1.016</v>
      </c>
      <c r="E106" s="93">
        <v>0.11799999999999999</v>
      </c>
      <c r="F106" s="94">
        <v>6.0000000000000001E-3</v>
      </c>
      <c r="G106" s="319">
        <v>60.96</v>
      </c>
      <c r="H106" s="319">
        <v>5.33</v>
      </c>
      <c r="I106" s="322">
        <v>5.33</v>
      </c>
      <c r="J106" s="26">
        <v>1.6E-2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45" customHeight="1" x14ac:dyDescent="0.2">
      <c r="A107" s="324" t="s">
        <v>692</v>
      </c>
      <c r="B107" s="25"/>
      <c r="C107" s="327">
        <v>0</v>
      </c>
      <c r="D107" s="92">
        <v>1.016</v>
      </c>
      <c r="E107" s="93">
        <v>0.11799999999999999</v>
      </c>
      <c r="F107" s="94">
        <v>6.0000000000000001E-3</v>
      </c>
      <c r="G107" s="319">
        <v>475.13</v>
      </c>
      <c r="H107" s="319">
        <v>5.33</v>
      </c>
      <c r="I107" s="322">
        <v>5.33</v>
      </c>
      <c r="J107" s="26">
        <v>1.6E-2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45" customHeight="1" x14ac:dyDescent="0.2">
      <c r="A108" s="324" t="s">
        <v>693</v>
      </c>
      <c r="B108" s="18"/>
      <c r="C108" s="327">
        <v>0</v>
      </c>
      <c r="D108" s="92">
        <v>1.016</v>
      </c>
      <c r="E108" s="93">
        <v>0.11799999999999999</v>
      </c>
      <c r="F108" s="94">
        <v>6.0000000000000001E-3</v>
      </c>
      <c r="G108" s="319">
        <v>1310.5899999999999</v>
      </c>
      <c r="H108" s="319">
        <v>5.33</v>
      </c>
      <c r="I108" s="322">
        <v>5.33</v>
      </c>
      <c r="J108" s="26">
        <v>1.6E-2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45" customHeight="1" x14ac:dyDescent="0.2">
      <c r="A109" s="324" t="s">
        <v>694</v>
      </c>
      <c r="B109" s="18"/>
      <c r="C109" s="327">
        <v>0</v>
      </c>
      <c r="D109" s="92">
        <v>1.016</v>
      </c>
      <c r="E109" s="93">
        <v>0.11799999999999999</v>
      </c>
      <c r="F109" s="94">
        <v>6.0000000000000001E-3</v>
      </c>
      <c r="G109" s="319">
        <v>2549.9699999999998</v>
      </c>
      <c r="H109" s="319">
        <v>5.33</v>
      </c>
      <c r="I109" s="322">
        <v>5.33</v>
      </c>
      <c r="J109" s="26">
        <v>1.6E-2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45" customHeight="1" x14ac:dyDescent="0.2">
      <c r="A110" s="324" t="s">
        <v>695</v>
      </c>
      <c r="B110" s="18"/>
      <c r="C110" s="327">
        <v>0</v>
      </c>
      <c r="D110" s="92">
        <v>1.016</v>
      </c>
      <c r="E110" s="93">
        <v>0.11799999999999999</v>
      </c>
      <c r="F110" s="94">
        <v>6.0000000000000001E-3</v>
      </c>
      <c r="G110" s="319">
        <v>5658.05</v>
      </c>
      <c r="H110" s="319">
        <v>5.33</v>
      </c>
      <c r="I110" s="322">
        <v>5.33</v>
      </c>
      <c r="J110" s="26">
        <v>1.6E-2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45" customHeight="1" x14ac:dyDescent="0.2">
      <c r="A111" s="324" t="s">
        <v>587</v>
      </c>
      <c r="B111" s="25"/>
      <c r="C111" s="327" t="s">
        <v>847</v>
      </c>
      <c r="D111" s="95">
        <v>13.215</v>
      </c>
      <c r="E111" s="96">
        <v>1.0109999999999999</v>
      </c>
      <c r="F111" s="94">
        <v>0.58099999999999996</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45" customHeight="1" x14ac:dyDescent="0.2">
      <c r="A112" s="324" t="s">
        <v>622</v>
      </c>
      <c r="B112" s="25"/>
      <c r="C112" s="327">
        <v>0</v>
      </c>
      <c r="D112" s="92">
        <v>-3.5870000000000002</v>
      </c>
      <c r="E112" s="93">
        <v>-0.46</v>
      </c>
      <c r="F112" s="94">
        <v>-6.3E-2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45" customHeight="1" x14ac:dyDescent="0.2">
      <c r="A113" s="324" t="s">
        <v>623</v>
      </c>
      <c r="B113" s="25"/>
      <c r="C113" s="327">
        <v>0</v>
      </c>
      <c r="D113" s="92">
        <v>-3.22</v>
      </c>
      <c r="E113" s="93">
        <v>-0.41</v>
      </c>
      <c r="F113" s="94">
        <v>-5.1999999999999998E-2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45" customHeight="1" x14ac:dyDescent="0.2">
      <c r="A114" s="324" t="s">
        <v>624</v>
      </c>
      <c r="B114" s="25"/>
      <c r="C114" s="327">
        <v>0</v>
      </c>
      <c r="D114" s="92">
        <v>-3.5870000000000002</v>
      </c>
      <c r="E114" s="93">
        <v>-0.46</v>
      </c>
      <c r="F114" s="94">
        <v>-6.3E-2</v>
      </c>
      <c r="G114" s="319" t="s">
        <v>840</v>
      </c>
      <c r="H114" s="320" t="s">
        <v>840</v>
      </c>
      <c r="I114" s="321" t="s">
        <v>840</v>
      </c>
      <c r="J114" s="26">
        <v>0.08</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45" customHeight="1" x14ac:dyDescent="0.2">
      <c r="A115" s="324" t="s">
        <v>625</v>
      </c>
      <c r="B115" s="25"/>
      <c r="C115" s="327">
        <v>0</v>
      </c>
      <c r="D115" s="92">
        <v>-3.22</v>
      </c>
      <c r="E115" s="93">
        <v>-0.41</v>
      </c>
      <c r="F115" s="94">
        <v>-5.1999999999999998E-2</v>
      </c>
      <c r="G115" s="319" t="s">
        <v>840</v>
      </c>
      <c r="H115" s="320" t="s">
        <v>840</v>
      </c>
      <c r="I115" s="321" t="s">
        <v>840</v>
      </c>
      <c r="J115" s="26">
        <v>6.0999999999999999E-2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45" customHeight="1" x14ac:dyDescent="0.2">
      <c r="A116" s="324" t="s">
        <v>626</v>
      </c>
      <c r="B116" s="25"/>
      <c r="C116" s="327">
        <v>0</v>
      </c>
      <c r="D116" s="92">
        <v>-2.2229999999999999</v>
      </c>
      <c r="E116" s="93">
        <v>-0.27400000000000002</v>
      </c>
      <c r="F116" s="94">
        <v>-0.02</v>
      </c>
      <c r="G116" s="319">
        <v>53.52</v>
      </c>
      <c r="H116" s="320" t="s">
        <v>840</v>
      </c>
      <c r="I116" s="321" t="s">
        <v>840</v>
      </c>
      <c r="J116" s="26">
        <v>6.7000000000000004E-2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45" customHeight="1" x14ac:dyDescent="0.2">
      <c r="A117" s="324" t="s">
        <v>783</v>
      </c>
      <c r="B117" s="25"/>
      <c r="C117" s="327" t="s">
        <v>845</v>
      </c>
      <c r="D117" s="92">
        <v>3.4910000000000001</v>
      </c>
      <c r="E117" s="93">
        <v>0.44800000000000001</v>
      </c>
      <c r="F117" s="94">
        <v>6.0999999999999999E-2</v>
      </c>
      <c r="G117" s="319">
        <v>4.37</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45" customHeight="1" x14ac:dyDescent="0.2">
      <c r="A118" s="324" t="s">
        <v>696</v>
      </c>
      <c r="B118" s="25"/>
      <c r="C118" s="327" t="s">
        <v>2075</v>
      </c>
      <c r="D118" s="92">
        <v>3.4910000000000001</v>
      </c>
      <c r="E118" s="93">
        <v>0.44800000000000001</v>
      </c>
      <c r="F118" s="94">
        <v>6.0999999999999999E-2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45" customHeight="1" x14ac:dyDescent="0.2">
      <c r="A119" s="324" t="s">
        <v>790</v>
      </c>
      <c r="B119" s="18"/>
      <c r="C119" s="327" t="s">
        <v>846</v>
      </c>
      <c r="D119" s="92">
        <v>3.258</v>
      </c>
      <c r="E119" s="93">
        <v>0.41799999999999998</v>
      </c>
      <c r="F119" s="94">
        <v>5.7000000000000002E-2</v>
      </c>
      <c r="G119" s="319">
        <v>4.5199999999999996</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45" customHeight="1" x14ac:dyDescent="0.2">
      <c r="A120" s="324" t="s">
        <v>797</v>
      </c>
      <c r="B120" s="25"/>
      <c r="C120" s="327" t="s">
        <v>846</v>
      </c>
      <c r="D120" s="92">
        <v>3.258</v>
      </c>
      <c r="E120" s="93">
        <v>0.41799999999999998</v>
      </c>
      <c r="F120" s="94">
        <v>5.7000000000000002E-2</v>
      </c>
      <c r="G120" s="319">
        <v>5.48</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45" customHeight="1" x14ac:dyDescent="0.2">
      <c r="A121" s="324" t="s">
        <v>804</v>
      </c>
      <c r="B121" s="18"/>
      <c r="C121" s="327" t="s">
        <v>846</v>
      </c>
      <c r="D121" s="92">
        <v>3.258</v>
      </c>
      <c r="E121" s="93">
        <v>0.41799999999999998</v>
      </c>
      <c r="F121" s="94">
        <v>5.7000000000000002E-2</v>
      </c>
      <c r="G121" s="319">
        <v>8.25</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45" customHeight="1" x14ac:dyDescent="0.2">
      <c r="A122" s="324" t="s">
        <v>811</v>
      </c>
      <c r="B122" s="18"/>
      <c r="C122" s="327" t="s">
        <v>846</v>
      </c>
      <c r="D122" s="92">
        <v>3.258</v>
      </c>
      <c r="E122" s="93">
        <v>0.41799999999999998</v>
      </c>
      <c r="F122" s="94">
        <v>5.7000000000000002E-2</v>
      </c>
      <c r="G122" s="319">
        <v>12.54</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45" customHeight="1" x14ac:dyDescent="0.2">
      <c r="A123" s="324" t="s">
        <v>818</v>
      </c>
      <c r="B123" s="18"/>
      <c r="C123" s="327" t="s">
        <v>846</v>
      </c>
      <c r="D123" s="92">
        <v>3.258</v>
      </c>
      <c r="E123" s="93">
        <v>0.41799999999999998</v>
      </c>
      <c r="F123" s="94">
        <v>5.7000000000000002E-2</v>
      </c>
      <c r="G123" s="319">
        <v>25.39</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45" customHeight="1" x14ac:dyDescent="0.2">
      <c r="A124" s="324" t="s">
        <v>588</v>
      </c>
      <c r="B124" s="25"/>
      <c r="C124" s="327" t="s">
        <v>2076</v>
      </c>
      <c r="D124" s="92">
        <v>3.258</v>
      </c>
      <c r="E124" s="93">
        <v>0.41799999999999998</v>
      </c>
      <c r="F124" s="94">
        <v>5.7000000000000002E-2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45" customHeight="1" x14ac:dyDescent="0.2">
      <c r="A125" s="324" t="s">
        <v>697</v>
      </c>
      <c r="B125" s="18"/>
      <c r="C125" s="327">
        <v>0</v>
      </c>
      <c r="D125" s="92">
        <v>2.056</v>
      </c>
      <c r="E125" s="93">
        <v>0.26100000000000001</v>
      </c>
      <c r="F125" s="94">
        <v>3.1E-2</v>
      </c>
      <c r="G125" s="319">
        <v>4.63</v>
      </c>
      <c r="H125" s="319">
        <v>3.36</v>
      </c>
      <c r="I125" s="322">
        <v>3.36</v>
      </c>
      <c r="J125" s="26">
        <v>3.5999999999999997E-2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45" customHeight="1" x14ac:dyDescent="0.2">
      <c r="A126" s="324" t="s">
        <v>698</v>
      </c>
      <c r="B126" s="25"/>
      <c r="C126" s="327">
        <v>0</v>
      </c>
      <c r="D126" s="92">
        <v>2.056</v>
      </c>
      <c r="E126" s="93">
        <v>0.26100000000000001</v>
      </c>
      <c r="F126" s="94">
        <v>3.1E-2</v>
      </c>
      <c r="G126" s="319">
        <v>40.89</v>
      </c>
      <c r="H126" s="319">
        <v>3.36</v>
      </c>
      <c r="I126" s="322">
        <v>3.36</v>
      </c>
      <c r="J126" s="26">
        <v>3.5999999999999997E-2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45" customHeight="1" x14ac:dyDescent="0.2">
      <c r="A127" s="324" t="s">
        <v>699</v>
      </c>
      <c r="B127" s="18"/>
      <c r="C127" s="327">
        <v>0</v>
      </c>
      <c r="D127" s="92">
        <v>2.056</v>
      </c>
      <c r="E127" s="93">
        <v>0.26100000000000001</v>
      </c>
      <c r="F127" s="94">
        <v>3.1E-2</v>
      </c>
      <c r="G127" s="319">
        <v>69.349999999999994</v>
      </c>
      <c r="H127" s="319">
        <v>3.36</v>
      </c>
      <c r="I127" s="322">
        <v>3.36</v>
      </c>
      <c r="J127" s="26">
        <v>3.5999999999999997E-2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45" customHeight="1" x14ac:dyDescent="0.2">
      <c r="A128" s="324" t="s">
        <v>700</v>
      </c>
      <c r="B128" s="18"/>
      <c r="C128" s="327">
        <v>0</v>
      </c>
      <c r="D128" s="92">
        <v>2.056</v>
      </c>
      <c r="E128" s="93">
        <v>0.26100000000000001</v>
      </c>
      <c r="F128" s="94">
        <v>3.1E-2</v>
      </c>
      <c r="G128" s="319">
        <v>106.95</v>
      </c>
      <c r="H128" s="319">
        <v>3.36</v>
      </c>
      <c r="I128" s="322">
        <v>3.36</v>
      </c>
      <c r="J128" s="26">
        <v>3.5999999999999997E-2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45" customHeight="1" x14ac:dyDescent="0.2">
      <c r="A129" s="324" t="s">
        <v>701</v>
      </c>
      <c r="B129" s="18"/>
      <c r="C129" s="327">
        <v>0</v>
      </c>
      <c r="D129" s="92">
        <v>2.056</v>
      </c>
      <c r="E129" s="93">
        <v>0.26100000000000001</v>
      </c>
      <c r="F129" s="94">
        <v>3.1E-2</v>
      </c>
      <c r="G129" s="319">
        <v>184.04</v>
      </c>
      <c r="H129" s="319">
        <v>3.36</v>
      </c>
      <c r="I129" s="322">
        <v>3.36</v>
      </c>
      <c r="J129" s="26">
        <v>3.5999999999999997E-2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45" customHeight="1" x14ac:dyDescent="0.2">
      <c r="A130" s="324" t="s">
        <v>702</v>
      </c>
      <c r="B130" s="18"/>
      <c r="C130" s="327">
        <v>0</v>
      </c>
      <c r="D130" s="92">
        <v>1.744</v>
      </c>
      <c r="E130" s="93">
        <v>0.215</v>
      </c>
      <c r="F130" s="94">
        <v>1.4999999999999999E-2</v>
      </c>
      <c r="G130" s="319">
        <v>5.56</v>
      </c>
      <c r="H130" s="319">
        <v>4.45</v>
      </c>
      <c r="I130" s="322">
        <v>4.45</v>
      </c>
      <c r="J130" s="26">
        <v>0.03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45" customHeight="1" x14ac:dyDescent="0.2">
      <c r="A131" s="324" t="s">
        <v>703</v>
      </c>
      <c r="B131" s="25"/>
      <c r="C131" s="327">
        <v>0</v>
      </c>
      <c r="D131" s="92">
        <v>1.744</v>
      </c>
      <c r="E131" s="93">
        <v>0.215</v>
      </c>
      <c r="F131" s="94">
        <v>1.4999999999999999E-2</v>
      </c>
      <c r="G131" s="319">
        <v>61.25</v>
      </c>
      <c r="H131" s="319">
        <v>4.45</v>
      </c>
      <c r="I131" s="322">
        <v>4.45</v>
      </c>
      <c r="J131" s="26">
        <v>0.03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45" customHeight="1" x14ac:dyDescent="0.2">
      <c r="A132" s="324" t="s">
        <v>704</v>
      </c>
      <c r="B132" s="18"/>
      <c r="C132" s="327">
        <v>0</v>
      </c>
      <c r="D132" s="92">
        <v>1.744</v>
      </c>
      <c r="E132" s="93">
        <v>0.215</v>
      </c>
      <c r="F132" s="94">
        <v>1.4999999999999999E-2</v>
      </c>
      <c r="G132" s="319">
        <v>104.96</v>
      </c>
      <c r="H132" s="319">
        <v>4.45</v>
      </c>
      <c r="I132" s="322">
        <v>4.45</v>
      </c>
      <c r="J132" s="26">
        <v>0.03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45" customHeight="1" x14ac:dyDescent="0.2">
      <c r="A133" s="324" t="s">
        <v>705</v>
      </c>
      <c r="B133" s="18"/>
      <c r="C133" s="327">
        <v>0</v>
      </c>
      <c r="D133" s="92">
        <v>1.744</v>
      </c>
      <c r="E133" s="93">
        <v>0.215</v>
      </c>
      <c r="F133" s="94">
        <v>1.4999999999999999E-2</v>
      </c>
      <c r="G133" s="319">
        <v>162.69999999999999</v>
      </c>
      <c r="H133" s="319">
        <v>4.45</v>
      </c>
      <c r="I133" s="322">
        <v>4.45</v>
      </c>
      <c r="J133" s="26">
        <v>0.03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45" customHeight="1" x14ac:dyDescent="0.2">
      <c r="A134" s="324" t="s">
        <v>706</v>
      </c>
      <c r="B134" s="18"/>
      <c r="C134" s="327">
        <v>0</v>
      </c>
      <c r="D134" s="92">
        <v>1.744</v>
      </c>
      <c r="E134" s="93">
        <v>0.215</v>
      </c>
      <c r="F134" s="94">
        <v>1.4999999999999999E-2</v>
      </c>
      <c r="G134" s="319">
        <v>281.11</v>
      </c>
      <c r="H134" s="319">
        <v>4.45</v>
      </c>
      <c r="I134" s="322">
        <v>4.45</v>
      </c>
      <c r="J134" s="26">
        <v>0.03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45" customHeight="1" x14ac:dyDescent="0.2">
      <c r="A135" s="324" t="s">
        <v>707</v>
      </c>
      <c r="B135" s="18"/>
      <c r="C135" s="327">
        <v>0</v>
      </c>
      <c r="D135" s="92">
        <v>0.97399999999999998</v>
      </c>
      <c r="E135" s="93">
        <v>0.113</v>
      </c>
      <c r="F135" s="94">
        <v>6.0000000000000001E-3</v>
      </c>
      <c r="G135" s="319">
        <v>58.43</v>
      </c>
      <c r="H135" s="319">
        <v>5.1100000000000003</v>
      </c>
      <c r="I135" s="322">
        <v>5.1100000000000003</v>
      </c>
      <c r="J135" s="26">
        <v>1.4999999999999999E-2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45" customHeight="1" x14ac:dyDescent="0.2">
      <c r="A136" s="324" t="s">
        <v>708</v>
      </c>
      <c r="B136" s="25"/>
      <c r="C136" s="327">
        <v>0</v>
      </c>
      <c r="D136" s="92">
        <v>0.97399999999999998</v>
      </c>
      <c r="E136" s="93">
        <v>0.113</v>
      </c>
      <c r="F136" s="94">
        <v>6.0000000000000001E-3</v>
      </c>
      <c r="G136" s="319">
        <v>455.37</v>
      </c>
      <c r="H136" s="319">
        <v>5.1100000000000003</v>
      </c>
      <c r="I136" s="322">
        <v>5.1100000000000003</v>
      </c>
      <c r="J136" s="26">
        <v>1.4999999999999999E-2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45" customHeight="1" x14ac:dyDescent="0.2">
      <c r="A137" s="324" t="s">
        <v>709</v>
      </c>
      <c r="B137" s="18"/>
      <c r="C137" s="327">
        <v>0</v>
      </c>
      <c r="D137" s="92">
        <v>0.97399999999999998</v>
      </c>
      <c r="E137" s="93">
        <v>0.113</v>
      </c>
      <c r="F137" s="94">
        <v>6.0000000000000001E-3</v>
      </c>
      <c r="G137" s="319">
        <v>1256.1099999999999</v>
      </c>
      <c r="H137" s="319">
        <v>5.1100000000000003</v>
      </c>
      <c r="I137" s="322">
        <v>5.1100000000000003</v>
      </c>
      <c r="J137" s="26">
        <v>1.4999999999999999E-2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45" customHeight="1" x14ac:dyDescent="0.2">
      <c r="A138" s="324" t="s">
        <v>710</v>
      </c>
      <c r="B138" s="18"/>
      <c r="C138" s="327">
        <v>0</v>
      </c>
      <c r="D138" s="92">
        <v>0.97399999999999998</v>
      </c>
      <c r="E138" s="93">
        <v>0.113</v>
      </c>
      <c r="F138" s="94">
        <v>6.0000000000000001E-3</v>
      </c>
      <c r="G138" s="319">
        <v>2443.9699999999998</v>
      </c>
      <c r="H138" s="319">
        <v>5.1100000000000003</v>
      </c>
      <c r="I138" s="322">
        <v>5.1100000000000003</v>
      </c>
      <c r="J138" s="26">
        <v>1.4999999999999999E-2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45" customHeight="1" x14ac:dyDescent="0.2">
      <c r="A139" s="324" t="s">
        <v>711</v>
      </c>
      <c r="B139" s="18"/>
      <c r="C139" s="327">
        <v>0</v>
      </c>
      <c r="D139" s="92">
        <v>0.97399999999999998</v>
      </c>
      <c r="E139" s="93">
        <v>0.113</v>
      </c>
      <c r="F139" s="94">
        <v>6.0000000000000001E-3</v>
      </c>
      <c r="G139" s="319">
        <v>5422.85</v>
      </c>
      <c r="H139" s="319">
        <v>5.1100000000000003</v>
      </c>
      <c r="I139" s="322">
        <v>5.1100000000000003</v>
      </c>
      <c r="J139" s="26">
        <v>1.4999999999999999E-2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45" customHeight="1" x14ac:dyDescent="0.2">
      <c r="A140" s="324" t="s">
        <v>589</v>
      </c>
      <c r="B140" s="25"/>
      <c r="C140" s="327" t="s">
        <v>847</v>
      </c>
      <c r="D140" s="95">
        <v>12.666</v>
      </c>
      <c r="E140" s="96">
        <v>0.96899999999999997</v>
      </c>
      <c r="F140" s="94">
        <v>0.55700000000000005</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-3.4380000000000002</v>
      </c>
      <c r="E141" s="93">
        <v>-0.441</v>
      </c>
      <c r="F141" s="94">
        <v>-0.06</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-3.0859999999999999</v>
      </c>
      <c r="E142" s="93">
        <v>-0.39300000000000002</v>
      </c>
      <c r="F142" s="94">
        <v>-0.05</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-3.4380000000000002</v>
      </c>
      <c r="E143" s="93">
        <v>-0.441</v>
      </c>
      <c r="F143" s="94">
        <v>-0.06</v>
      </c>
      <c r="G143" s="319" t="s">
        <v>840</v>
      </c>
      <c r="H143" s="320" t="s">
        <v>840</v>
      </c>
      <c r="I143" s="321" t="s">
        <v>840</v>
      </c>
      <c r="J143" s="26">
        <v>7.6999999999999999E-2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-3.0859999999999999</v>
      </c>
      <c r="E144" s="93">
        <v>-0.39300000000000002</v>
      </c>
      <c r="F144" s="94">
        <v>-0.05</v>
      </c>
      <c r="G144" s="319" t="s">
        <v>840</v>
      </c>
      <c r="H144" s="320" t="s">
        <v>840</v>
      </c>
      <c r="I144" s="321" t="s">
        <v>840</v>
      </c>
      <c r="J144" s="26">
        <v>5.8000000000000003E-2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-2.1309999999999998</v>
      </c>
      <c r="E145" s="93">
        <v>-0.26200000000000001</v>
      </c>
      <c r="F145" s="94">
        <v>-1.9E-2</v>
      </c>
      <c r="G145" s="319">
        <v>51.29</v>
      </c>
      <c r="H145" s="320" t="s">
        <v>840</v>
      </c>
      <c r="I145" s="321" t="s">
        <v>840</v>
      </c>
      <c r="J145" s="26">
        <v>6.4000000000000001E-2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2.2869999999999999</v>
      </c>
      <c r="E146" s="93">
        <v>0.29299999999999998</v>
      </c>
      <c r="F146" s="94">
        <v>0.04</v>
      </c>
      <c r="G146" s="319">
        <v>2.86</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2075</v>
      </c>
      <c r="D147" s="92">
        <v>2.2869999999999999</v>
      </c>
      <c r="E147" s="93">
        <v>0.29299999999999998</v>
      </c>
      <c r="F147" s="94">
        <v>0.04</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2.1339999999999999</v>
      </c>
      <c r="E148" s="93">
        <v>0.27400000000000002</v>
      </c>
      <c r="F148" s="94">
        <v>3.6999999999999998E-2</v>
      </c>
      <c r="G148" s="319">
        <v>2.96</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2.1339999999999999</v>
      </c>
      <c r="E149" s="93">
        <v>0.27400000000000002</v>
      </c>
      <c r="F149" s="94">
        <v>3.6999999999999998E-2</v>
      </c>
      <c r="G149" s="319">
        <v>3.59</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2.1339999999999999</v>
      </c>
      <c r="E150" s="93">
        <v>0.27400000000000002</v>
      </c>
      <c r="F150" s="94">
        <v>3.6999999999999998E-2</v>
      </c>
      <c r="G150" s="319">
        <v>5.4</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2.1339999999999999</v>
      </c>
      <c r="E151" s="93">
        <v>0.27400000000000002</v>
      </c>
      <c r="F151" s="94">
        <v>3.6999999999999998E-2</v>
      </c>
      <c r="G151" s="319">
        <v>8.2200000000000006</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2.1339999999999999</v>
      </c>
      <c r="E152" s="93">
        <v>0.27400000000000002</v>
      </c>
      <c r="F152" s="94">
        <v>3.6999999999999998E-2</v>
      </c>
      <c r="G152" s="319">
        <v>16.63</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2076</v>
      </c>
      <c r="D153" s="92">
        <v>2.1339999999999999</v>
      </c>
      <c r="E153" s="93">
        <v>0.27400000000000002</v>
      </c>
      <c r="F153" s="94">
        <v>3.6999999999999998E-2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1.3460000000000001</v>
      </c>
      <c r="E154" s="93">
        <v>0.17100000000000001</v>
      </c>
      <c r="F154" s="94">
        <v>2.1000000000000001E-2</v>
      </c>
      <c r="G154" s="319">
        <v>3.04</v>
      </c>
      <c r="H154" s="319">
        <v>2.2000000000000002</v>
      </c>
      <c r="I154" s="322">
        <v>2.2000000000000002</v>
      </c>
      <c r="J154" s="26">
        <v>2.4E-2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1.3460000000000001</v>
      </c>
      <c r="E155" s="93">
        <v>0.17100000000000001</v>
      </c>
      <c r="F155" s="94">
        <v>2.1000000000000001E-2</v>
      </c>
      <c r="G155" s="319">
        <v>26.78</v>
      </c>
      <c r="H155" s="319">
        <v>2.2000000000000002</v>
      </c>
      <c r="I155" s="322">
        <v>2.2000000000000002</v>
      </c>
      <c r="J155" s="26">
        <v>2.4E-2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1.3460000000000001</v>
      </c>
      <c r="E156" s="93">
        <v>0.17100000000000001</v>
      </c>
      <c r="F156" s="94">
        <v>2.1000000000000001E-2</v>
      </c>
      <c r="G156" s="319">
        <v>45.42</v>
      </c>
      <c r="H156" s="319">
        <v>2.2000000000000002</v>
      </c>
      <c r="I156" s="322">
        <v>2.2000000000000002</v>
      </c>
      <c r="J156" s="26">
        <v>2.4E-2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1.3460000000000001</v>
      </c>
      <c r="E157" s="93">
        <v>0.17100000000000001</v>
      </c>
      <c r="F157" s="94">
        <v>2.1000000000000001E-2</v>
      </c>
      <c r="G157" s="319">
        <v>70.040000000000006</v>
      </c>
      <c r="H157" s="319">
        <v>2.2000000000000002</v>
      </c>
      <c r="I157" s="322">
        <v>2.2000000000000002</v>
      </c>
      <c r="J157" s="26">
        <v>2.4E-2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1.3460000000000001</v>
      </c>
      <c r="E158" s="93">
        <v>0.17100000000000001</v>
      </c>
      <c r="F158" s="94">
        <v>2.1000000000000001E-2</v>
      </c>
      <c r="G158" s="319">
        <v>120.53</v>
      </c>
      <c r="H158" s="319">
        <v>2.2000000000000002</v>
      </c>
      <c r="I158" s="322">
        <v>2.2000000000000002</v>
      </c>
      <c r="J158" s="26">
        <v>2.4E-2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1.1419999999999999</v>
      </c>
      <c r="E159" s="93">
        <v>0.14099999999999999</v>
      </c>
      <c r="F159" s="94">
        <v>0.01</v>
      </c>
      <c r="G159" s="319">
        <v>3.64</v>
      </c>
      <c r="H159" s="319">
        <v>2.91</v>
      </c>
      <c r="I159" s="322">
        <v>2.91</v>
      </c>
      <c r="J159" s="26">
        <v>1.9E-2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1.1419999999999999</v>
      </c>
      <c r="E160" s="93">
        <v>0.14099999999999999</v>
      </c>
      <c r="F160" s="94">
        <v>0.01</v>
      </c>
      <c r="G160" s="319">
        <v>40.11</v>
      </c>
      <c r="H160" s="319">
        <v>2.91</v>
      </c>
      <c r="I160" s="322">
        <v>2.91</v>
      </c>
      <c r="J160" s="26">
        <v>1.9E-2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1.1419999999999999</v>
      </c>
      <c r="E161" s="93">
        <v>0.14099999999999999</v>
      </c>
      <c r="F161" s="94">
        <v>0.01</v>
      </c>
      <c r="G161" s="319">
        <v>68.739999999999995</v>
      </c>
      <c r="H161" s="319">
        <v>2.91</v>
      </c>
      <c r="I161" s="322">
        <v>2.91</v>
      </c>
      <c r="J161" s="26">
        <v>1.9E-2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1.1419999999999999</v>
      </c>
      <c r="E162" s="93">
        <v>0.14099999999999999</v>
      </c>
      <c r="F162" s="94">
        <v>0.01</v>
      </c>
      <c r="G162" s="319">
        <v>106.56</v>
      </c>
      <c r="H162" s="319">
        <v>2.91</v>
      </c>
      <c r="I162" s="322">
        <v>2.91</v>
      </c>
      <c r="J162" s="26">
        <v>1.9E-2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1.1419999999999999</v>
      </c>
      <c r="E163" s="93">
        <v>0.14099999999999999</v>
      </c>
      <c r="F163" s="94">
        <v>0.01</v>
      </c>
      <c r="G163" s="319">
        <v>184.11</v>
      </c>
      <c r="H163" s="319">
        <v>2.91</v>
      </c>
      <c r="I163" s="322">
        <v>2.91</v>
      </c>
      <c r="J163" s="26">
        <v>1.9E-2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0.63800000000000001</v>
      </c>
      <c r="E164" s="93">
        <v>7.3999999999999996E-2</v>
      </c>
      <c r="F164" s="94">
        <v>4.0000000000000001E-3</v>
      </c>
      <c r="G164" s="319">
        <v>38.270000000000003</v>
      </c>
      <c r="H164" s="319">
        <v>3.35</v>
      </c>
      <c r="I164" s="322">
        <v>3.35</v>
      </c>
      <c r="J164" s="26">
        <v>0.01</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0.63800000000000001</v>
      </c>
      <c r="E165" s="93">
        <v>7.3999999999999996E-2</v>
      </c>
      <c r="F165" s="94">
        <v>4.0000000000000001E-3</v>
      </c>
      <c r="G165" s="319">
        <v>298.24</v>
      </c>
      <c r="H165" s="319">
        <v>3.35</v>
      </c>
      <c r="I165" s="322">
        <v>3.35</v>
      </c>
      <c r="J165" s="26">
        <v>0.01</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0.63800000000000001</v>
      </c>
      <c r="E166" s="93">
        <v>7.3999999999999996E-2</v>
      </c>
      <c r="F166" s="94">
        <v>4.0000000000000001E-3</v>
      </c>
      <c r="G166" s="319">
        <v>822.66</v>
      </c>
      <c r="H166" s="319">
        <v>3.35</v>
      </c>
      <c r="I166" s="322">
        <v>3.35</v>
      </c>
      <c r="J166" s="26">
        <v>0.01</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0.63800000000000001</v>
      </c>
      <c r="E167" s="93">
        <v>7.3999999999999996E-2</v>
      </c>
      <c r="F167" s="94">
        <v>4.0000000000000001E-3</v>
      </c>
      <c r="G167" s="319">
        <v>1600.63</v>
      </c>
      <c r="H167" s="319">
        <v>3.35</v>
      </c>
      <c r="I167" s="322">
        <v>3.35</v>
      </c>
      <c r="J167" s="26">
        <v>0.01</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0.63800000000000001</v>
      </c>
      <c r="E168" s="93">
        <v>7.3999999999999996E-2</v>
      </c>
      <c r="F168" s="94">
        <v>4.0000000000000001E-3</v>
      </c>
      <c r="G168" s="319">
        <v>3551.58</v>
      </c>
      <c r="H168" s="319">
        <v>3.35</v>
      </c>
      <c r="I168" s="322">
        <v>3.35</v>
      </c>
      <c r="J168" s="26">
        <v>0.01</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8.2949999999999999</v>
      </c>
      <c r="E169" s="96">
        <v>0.63500000000000001</v>
      </c>
      <c r="F169" s="94">
        <v>0.36499999999999999</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-2.2519999999999998</v>
      </c>
      <c r="E170" s="93">
        <v>-0.28899999999999998</v>
      </c>
      <c r="F170" s="94">
        <v>-3.9E-2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-2.0209999999999999</v>
      </c>
      <c r="E171" s="93">
        <v>-0.25700000000000001</v>
      </c>
      <c r="F171" s="94">
        <v>-3.3000000000000002E-2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-2.2519999999999998</v>
      </c>
      <c r="E172" s="93">
        <v>-0.28899999999999998</v>
      </c>
      <c r="F172" s="94">
        <v>-3.9E-2</v>
      </c>
      <c r="G172" s="319" t="s">
        <v>840</v>
      </c>
      <c r="H172" s="320" t="s">
        <v>840</v>
      </c>
      <c r="I172" s="321" t="s">
        <v>840</v>
      </c>
      <c r="J172" s="26">
        <v>0.05</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-2.0209999999999999</v>
      </c>
      <c r="E173" s="93">
        <v>-0.25700000000000001</v>
      </c>
      <c r="F173" s="94">
        <v>-3.3000000000000002E-2</v>
      </c>
      <c r="G173" s="319" t="s">
        <v>840</v>
      </c>
      <c r="H173" s="320" t="s">
        <v>840</v>
      </c>
      <c r="I173" s="321" t="s">
        <v>840</v>
      </c>
      <c r="J173" s="26">
        <v>3.7999999999999999E-2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-1.3959999999999999</v>
      </c>
      <c r="E174" s="93">
        <v>-0.17199999999999999</v>
      </c>
      <c r="F174" s="94">
        <v>-1.2E-2</v>
      </c>
      <c r="G174" s="319">
        <v>33.590000000000003</v>
      </c>
      <c r="H174" s="320" t="s">
        <v>840</v>
      </c>
      <c r="I174" s="321" t="s">
        <v>840</v>
      </c>
      <c r="J174" s="26">
        <v>4.2000000000000003E-2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0.48</v>
      </c>
      <c r="E175" s="93">
        <v>6.0999999999999999E-2</v>
      </c>
      <c r="F175" s="94">
        <v>8.0000000000000002E-3</v>
      </c>
      <c r="G175" s="319">
        <v>0.6</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2075</v>
      </c>
      <c r="D176" s="92">
        <v>0.48</v>
      </c>
      <c r="E176" s="93">
        <v>6.0999999999999999E-2</v>
      </c>
      <c r="F176" s="94">
        <v>8.0000000000000002E-3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0.44800000000000001</v>
      </c>
      <c r="E177" s="93">
        <v>5.7000000000000002E-2</v>
      </c>
      <c r="F177" s="94">
        <v>8.0000000000000002E-3</v>
      </c>
      <c r="G177" s="319">
        <v>0.62</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0.44800000000000001</v>
      </c>
      <c r="E178" s="93">
        <v>5.7000000000000002E-2</v>
      </c>
      <c r="F178" s="94">
        <v>8.0000000000000002E-3</v>
      </c>
      <c r="G178" s="319">
        <v>0.75</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0.44800000000000001</v>
      </c>
      <c r="E179" s="93">
        <v>5.7000000000000002E-2</v>
      </c>
      <c r="F179" s="94">
        <v>8.0000000000000002E-3</v>
      </c>
      <c r="G179" s="319">
        <v>1.1299999999999999</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0.44800000000000001</v>
      </c>
      <c r="E180" s="93">
        <v>5.7000000000000002E-2</v>
      </c>
      <c r="F180" s="94">
        <v>8.0000000000000002E-3</v>
      </c>
      <c r="G180" s="319">
        <v>1.72</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0.44800000000000001</v>
      </c>
      <c r="E181" s="93">
        <v>5.7000000000000002E-2</v>
      </c>
      <c r="F181" s="94">
        <v>8.0000000000000002E-3</v>
      </c>
      <c r="G181" s="319">
        <v>3.49</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2076</v>
      </c>
      <c r="D182" s="92">
        <v>0.44800000000000001</v>
      </c>
      <c r="E182" s="93">
        <v>5.7000000000000002E-2</v>
      </c>
      <c r="F182" s="94">
        <v>8.0000000000000002E-3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0.28199999999999997</v>
      </c>
      <c r="E183" s="93">
        <v>3.5999999999999997E-2</v>
      </c>
      <c r="F183" s="94">
        <v>4.0000000000000001E-3</v>
      </c>
      <c r="G183" s="319">
        <v>0.64</v>
      </c>
      <c r="H183" s="319">
        <v>0.46</v>
      </c>
      <c r="I183" s="322">
        <v>0.46</v>
      </c>
      <c r="J183" s="26">
        <v>5.0000000000000001E-3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0.28199999999999997</v>
      </c>
      <c r="E184" s="93">
        <v>3.5999999999999997E-2</v>
      </c>
      <c r="F184" s="94">
        <v>4.0000000000000001E-3</v>
      </c>
      <c r="G184" s="319">
        <v>5.62</v>
      </c>
      <c r="H184" s="319">
        <v>0.46</v>
      </c>
      <c r="I184" s="322">
        <v>0.46</v>
      </c>
      <c r="J184" s="26">
        <v>5.0000000000000001E-3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0.28199999999999997</v>
      </c>
      <c r="E185" s="93">
        <v>3.5999999999999997E-2</v>
      </c>
      <c r="F185" s="94">
        <v>4.0000000000000001E-3</v>
      </c>
      <c r="G185" s="319">
        <v>9.5299999999999994</v>
      </c>
      <c r="H185" s="319">
        <v>0.46</v>
      </c>
      <c r="I185" s="322">
        <v>0.46</v>
      </c>
      <c r="J185" s="26">
        <v>5.0000000000000001E-3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0.28199999999999997</v>
      </c>
      <c r="E186" s="93">
        <v>3.5999999999999997E-2</v>
      </c>
      <c r="F186" s="94">
        <v>4.0000000000000001E-3</v>
      </c>
      <c r="G186" s="319">
        <v>14.69</v>
      </c>
      <c r="H186" s="319">
        <v>0.46</v>
      </c>
      <c r="I186" s="322">
        <v>0.46</v>
      </c>
      <c r="J186" s="26">
        <v>5.0000000000000001E-3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0.28199999999999997</v>
      </c>
      <c r="E187" s="93">
        <v>3.5999999999999997E-2</v>
      </c>
      <c r="F187" s="94">
        <v>4.0000000000000001E-3</v>
      </c>
      <c r="G187" s="319">
        <v>25.28</v>
      </c>
      <c r="H187" s="319">
        <v>0.46</v>
      </c>
      <c r="I187" s="322">
        <v>0.46</v>
      </c>
      <c r="J187" s="26">
        <v>5.0000000000000001E-3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0.24</v>
      </c>
      <c r="E188" s="93">
        <v>0.03</v>
      </c>
      <c r="F188" s="94">
        <v>2E-3</v>
      </c>
      <c r="G188" s="319">
        <v>0.76</v>
      </c>
      <c r="H188" s="319">
        <v>0.61</v>
      </c>
      <c r="I188" s="322">
        <v>0.61</v>
      </c>
      <c r="J188" s="26">
        <v>4.0000000000000001E-3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0.24</v>
      </c>
      <c r="E189" s="93">
        <v>0.03</v>
      </c>
      <c r="F189" s="94">
        <v>2E-3</v>
      </c>
      <c r="G189" s="319">
        <v>8.41</v>
      </c>
      <c r="H189" s="319">
        <v>0.61</v>
      </c>
      <c r="I189" s="322">
        <v>0.61</v>
      </c>
      <c r="J189" s="26">
        <v>4.0000000000000001E-3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0.24</v>
      </c>
      <c r="E190" s="93">
        <v>0.03</v>
      </c>
      <c r="F190" s="94">
        <v>2E-3</v>
      </c>
      <c r="G190" s="319">
        <v>14.42</v>
      </c>
      <c r="H190" s="319">
        <v>0.61</v>
      </c>
      <c r="I190" s="322">
        <v>0.61</v>
      </c>
      <c r="J190" s="26">
        <v>4.0000000000000001E-3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0.24</v>
      </c>
      <c r="E191" s="93">
        <v>0.03</v>
      </c>
      <c r="F191" s="94">
        <v>2E-3</v>
      </c>
      <c r="G191" s="319">
        <v>22.35</v>
      </c>
      <c r="H191" s="319">
        <v>0.61</v>
      </c>
      <c r="I191" s="322">
        <v>0.61</v>
      </c>
      <c r="J191" s="26">
        <v>4.0000000000000001E-3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0.24</v>
      </c>
      <c r="E192" s="93">
        <v>0.03</v>
      </c>
      <c r="F192" s="94">
        <v>2E-3</v>
      </c>
      <c r="G192" s="319">
        <v>38.61</v>
      </c>
      <c r="H192" s="319">
        <v>0.61</v>
      </c>
      <c r="I192" s="322">
        <v>0.61</v>
      </c>
      <c r="J192" s="26">
        <v>4.0000000000000001E-3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0.13400000000000001</v>
      </c>
      <c r="E193" s="93">
        <v>1.6E-2</v>
      </c>
      <c r="F193" s="94">
        <v>1E-3</v>
      </c>
      <c r="G193" s="319">
        <v>8.02</v>
      </c>
      <c r="H193" s="319">
        <v>0.7</v>
      </c>
      <c r="I193" s="322">
        <v>0.7</v>
      </c>
      <c r="J193" s="26">
        <v>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0.13400000000000001</v>
      </c>
      <c r="E194" s="93">
        <v>1.6E-2</v>
      </c>
      <c r="F194" s="94">
        <v>1E-3</v>
      </c>
      <c r="G194" s="319">
        <v>62.54</v>
      </c>
      <c r="H194" s="319">
        <v>0.7</v>
      </c>
      <c r="I194" s="322">
        <v>0.7</v>
      </c>
      <c r="J194" s="26">
        <v>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0.13400000000000001</v>
      </c>
      <c r="E195" s="93">
        <v>1.6E-2</v>
      </c>
      <c r="F195" s="94">
        <v>1E-3</v>
      </c>
      <c r="G195" s="319">
        <v>172.52</v>
      </c>
      <c r="H195" s="319">
        <v>0.7</v>
      </c>
      <c r="I195" s="322">
        <v>0.7</v>
      </c>
      <c r="J195" s="26">
        <v>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0.13400000000000001</v>
      </c>
      <c r="E196" s="93">
        <v>1.6E-2</v>
      </c>
      <c r="F196" s="94">
        <v>1E-3</v>
      </c>
      <c r="G196" s="319">
        <v>335.67</v>
      </c>
      <c r="H196" s="319">
        <v>0.7</v>
      </c>
      <c r="I196" s="322">
        <v>0.7</v>
      </c>
      <c r="J196" s="26">
        <v>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0.13400000000000001</v>
      </c>
      <c r="E197" s="93">
        <v>1.6E-2</v>
      </c>
      <c r="F197" s="94">
        <v>1E-3</v>
      </c>
      <c r="G197" s="319">
        <v>744.81</v>
      </c>
      <c r="H197" s="319">
        <v>0.7</v>
      </c>
      <c r="I197" s="322">
        <v>0.7</v>
      </c>
      <c r="J197" s="26">
        <v>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1.74</v>
      </c>
      <c r="E198" s="96">
        <v>0.13300000000000001</v>
      </c>
      <c r="F198" s="94">
        <v>7.5999999999999998E-2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-0.47199999999999998</v>
      </c>
      <c r="E199" s="93">
        <v>-6.0999999999999999E-2</v>
      </c>
      <c r="F199" s="94">
        <v>-8.0000000000000002E-3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-0.42399999999999999</v>
      </c>
      <c r="E200" s="93">
        <v>-5.3999999999999999E-2</v>
      </c>
      <c r="F200" s="94">
        <v>-7.0000000000000001E-3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-0.47199999999999998</v>
      </c>
      <c r="E201" s="93">
        <v>-6.0999999999999999E-2</v>
      </c>
      <c r="F201" s="94">
        <v>-8.0000000000000002E-3</v>
      </c>
      <c r="G201" s="319" t="s">
        <v>840</v>
      </c>
      <c r="H201" s="320" t="s">
        <v>840</v>
      </c>
      <c r="I201" s="321" t="s">
        <v>840</v>
      </c>
      <c r="J201" s="26">
        <v>1.0999999999999999E-2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-0.42399999999999999</v>
      </c>
      <c r="E202" s="93">
        <v>-5.3999999999999999E-2</v>
      </c>
      <c r="F202" s="94">
        <v>-7.0000000000000001E-3</v>
      </c>
      <c r="G202" s="319" t="s">
        <v>840</v>
      </c>
      <c r="H202" s="320" t="s">
        <v>840</v>
      </c>
      <c r="I202" s="321" t="s">
        <v>840</v>
      </c>
      <c r="J202" s="26">
        <v>8.0000000000000002E-3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-0.29299999999999998</v>
      </c>
      <c r="E203" s="93">
        <v>-3.5999999999999997E-2</v>
      </c>
      <c r="F203" s="94">
        <v>-3.0000000000000001E-3</v>
      </c>
      <c r="G203" s="319">
        <v>7.04</v>
      </c>
      <c r="H203" s="320" t="s">
        <v>840</v>
      </c>
      <c r="I203" s="321" t="s">
        <v>840</v>
      </c>
      <c r="J203" s="26">
        <v>8.9999999999999993E-3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9">
    <mergeCell ref="B10:E10"/>
    <mergeCell ref="G10:H10"/>
    <mergeCell ref="G11:H11"/>
    <mergeCell ref="B8:D8"/>
    <mergeCell ref="A2:J2"/>
    <mergeCell ref="A4:D4"/>
    <mergeCell ref="F4:J4"/>
    <mergeCell ref="C9:D9"/>
    <mergeCell ref="H9:J9"/>
  </mergeCells>
  <conditionalFormatting sqref="K14:Q203">
    <cfRule type="cellIs" dxfId="62" priority="2" operator="equal">
      <formula>0</formula>
    </cfRule>
    <cfRule type="cellIs" dxfId="61" priority="3" operator="lessThan">
      <formula>0</formula>
    </cfRule>
    <cfRule type="cellIs" dxfId="60" priority="4" operator="greaterThan">
      <formula>0</formula>
    </cfRule>
  </conditionalFormatting>
  <conditionalFormatting sqref="K14:R203">
    <cfRule type="expression" dxfId="59" priority="1">
      <formula>$K14&lt;&gt;""</formula>
    </cfRule>
  </conditionalFormatting>
  <hyperlinks>
    <hyperlink ref="A1" location="Overview!A1" display="Back to Overview" xr:uid="{00A28AAA-4BE6-4AFE-BB1E-CEE491F0986C}"/>
  </hyperlinks>
  <pageMargins left="0.39370078740157483" right="0.39370078740157483" top="0.51181102362204722" bottom="0.78740157480314965" header="0.27559055118110237" footer="0.27559055118110237"/>
  <pageSetup paperSize="9" scale="17"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9.5703125" style="1" bestFit="1" customWidth="1"/>
    <col min="4" max="4" width="20.7109375" style="1" bestFit="1" customWidth="1"/>
    <col min="5" max="7" width="17.7109375" style="2" customWidth="1"/>
    <col min="8" max="8" width="17.7109375" style="6" customWidth="1"/>
    <col min="9" max="9" width="19.42578125" style="6" bestFit="1" customWidth="1"/>
    <col min="10" max="10" width="18.42578125" style="3" bestFit="1" customWidth="1"/>
    <col min="11" max="11" width="9.140625" style="41"/>
    <col min="12" max="16384" width="9.140625" style="1"/>
  </cols>
  <sheetData>
    <row r="1" spans="1:17" ht="27.75" customHeight="1" x14ac:dyDescent="0.2">
      <c r="A1" s="32" t="s">
        <v>19</v>
      </c>
      <c r="B1" s="1"/>
      <c r="F1" s="1"/>
      <c r="G1" s="1"/>
      <c r="H1" s="1"/>
      <c r="I1" s="3"/>
      <c r="J1" s="1"/>
    </row>
    <row r="2" spans="1:17" ht="31.5" customHeight="1" x14ac:dyDescent="0.2">
      <c r="A2" s="468" t="str">
        <f>Overview!B4&amp;" - Effective from "&amp;TEXT(Overview!$D$4,"d mmmm yyyy")&amp;" - Final LDNO tariffs in NPG Northeast Area (GSP Group_F)"</f>
        <v>Leep Electricity Networks Limited - Effective from 1 April 2026 - Final LDNO tariffs in NPG Northeast Area (GSP Group_F)</v>
      </c>
      <c r="B2" s="468"/>
      <c r="C2" s="468"/>
      <c r="D2" s="468"/>
      <c r="E2" s="468"/>
      <c r="F2" s="468"/>
      <c r="G2" s="468"/>
      <c r="H2" s="468"/>
      <c r="I2" s="468"/>
      <c r="J2" s="468"/>
    </row>
    <row r="3" spans="1:17" ht="8.25" customHeight="1" x14ac:dyDescent="0.2">
      <c r="A3" s="47"/>
      <c r="B3" s="47"/>
      <c r="C3" s="47"/>
      <c r="D3" s="47"/>
      <c r="E3" s="47"/>
      <c r="F3" s="47"/>
      <c r="G3" s="47"/>
      <c r="H3" s="47"/>
      <c r="I3" s="47"/>
      <c r="J3" s="47"/>
    </row>
    <row r="4" spans="1:17" ht="27" customHeight="1" x14ac:dyDescent="0.2">
      <c r="A4" s="371" t="s">
        <v>308</v>
      </c>
      <c r="B4" s="371"/>
      <c r="C4" s="371"/>
      <c r="D4" s="371"/>
      <c r="E4" s="51"/>
      <c r="F4" s="371" t="s">
        <v>307</v>
      </c>
      <c r="G4" s="371"/>
      <c r="H4" s="371"/>
      <c r="I4" s="371"/>
      <c r="J4" s="371"/>
    </row>
    <row r="5" spans="1:17" ht="32.25" customHeight="1" x14ac:dyDescent="0.2">
      <c r="A5" s="40" t="s">
        <v>13</v>
      </c>
      <c r="B5" s="258" t="s">
        <v>299</v>
      </c>
      <c r="C5" s="271" t="s">
        <v>300</v>
      </c>
      <c r="D5" s="42" t="s">
        <v>301</v>
      </c>
      <c r="E5" s="46"/>
      <c r="F5" s="368"/>
      <c r="G5" s="369"/>
      <c r="H5" s="44" t="s">
        <v>305</v>
      </c>
      <c r="I5" s="45" t="s">
        <v>306</v>
      </c>
      <c r="J5" s="42" t="s">
        <v>301</v>
      </c>
    </row>
    <row r="6" spans="1:17" ht="56.25" customHeight="1" x14ac:dyDescent="0.2">
      <c r="A6" s="43" t="str">
        <f>'Annex 1 LV and HV charges_F'!A6</f>
        <v>Monday to Friday 
(Including Bank Holidays)
All Year</v>
      </c>
      <c r="B6" s="250" t="str">
        <f>'Annex 1 LV and HV charges_F'!B6</f>
        <v>16:00 to 19:30</v>
      </c>
      <c r="C6" s="250" t="str">
        <f>'Annex 1 LV and HV charges_F'!C6</f>
        <v>08:00 to 16:00
19:30 to 22:00</v>
      </c>
      <c r="D6" s="250" t="str">
        <f>'Annex 1 LV and HV charges_F'!E6</f>
        <v>00:00 to 08:00
22:00 to 24:00</v>
      </c>
      <c r="E6" s="46"/>
      <c r="F6" s="413" t="str">
        <f>'Annex 1 LV and HV charges_F'!G6</f>
        <v>Monday to Friday 
(Including Bank Holidays)
November to February Inclusive</v>
      </c>
      <c r="G6" s="413">
        <f>'Annex 1 LV and HV charges_F'!H6</f>
        <v>0</v>
      </c>
      <c r="H6" s="13" t="str">
        <f>'Annex 1 LV and HV charges_F'!I6</f>
        <v>16:00 to 19:30</v>
      </c>
      <c r="I6" s="250" t="str">
        <f>'Annex 1 LV and HV charges_F'!J6</f>
        <v>08:00 to 16:00
19:30 to 22:00</v>
      </c>
      <c r="J6" s="250" t="str">
        <f>'Annex 1 LV and HV charges_F'!K6</f>
        <v>00:00 to 08:00
22:00 to 24:00</v>
      </c>
    </row>
    <row r="7" spans="1:17" ht="56.25" customHeight="1" x14ac:dyDescent="0.2">
      <c r="A7" s="43" t="str">
        <f>'Annex 1 LV and HV charges_F'!A7</f>
        <v>Saturday and Sunday
All Year</v>
      </c>
      <c r="B7" s="121" t="str">
        <f>'Annex 1 LV and HV charges_F'!B7</f>
        <v/>
      </c>
      <c r="C7" s="121" t="str">
        <f>'Annex 1 LV and HV charges_F'!C7</f>
        <v/>
      </c>
      <c r="D7" s="250" t="str">
        <f>'Annex 1 LV and HV charges_F'!E7</f>
        <v>00:00 to 24:00</v>
      </c>
      <c r="E7" s="46"/>
      <c r="F7" s="413" t="str">
        <f>'Annex 1 LV and HV charges_F'!G7</f>
        <v>Monday to Friday 
(Including Bank Holidays)
April to October Inclusive and March</v>
      </c>
      <c r="G7" s="413">
        <f>'Annex 1 LV and HV charges_F'!H7</f>
        <v>0</v>
      </c>
      <c r="H7" s="121" t="str">
        <f>'Annex 1 LV and HV charges_F'!I7</f>
        <v/>
      </c>
      <c r="I7" s="250" t="str">
        <f>'Annex 1 LV and HV charges_F'!J7</f>
        <v>08:00 to 22:00</v>
      </c>
      <c r="J7" s="250" t="str">
        <f>'Annex 1 LV and HV charges_F'!K7</f>
        <v>00:00 to 08:00
22:00 to 24:00</v>
      </c>
    </row>
    <row r="8" spans="1:17" ht="55.5" customHeight="1" x14ac:dyDescent="0.2">
      <c r="A8" s="259" t="str">
        <f>'Annex 1 LV and HV charges_F'!A8</f>
        <v>Notes</v>
      </c>
      <c r="B8" s="389" t="str">
        <f>'Annex 1 LV and HV charges_F'!B8</f>
        <v>All the above times are in UK Clock time</v>
      </c>
      <c r="C8" s="390">
        <f>'Annex 1 LV and HV charges_F'!C8</f>
        <v>0</v>
      </c>
      <c r="D8" s="391">
        <f>'Annex 1 LV and HV charges_F'!D8</f>
        <v>0</v>
      </c>
      <c r="E8" s="46"/>
      <c r="F8" s="413" t="str">
        <f>'Annex 1 LV and HV charges_F'!G8</f>
        <v>Saturday and Sunday
All year</v>
      </c>
      <c r="G8" s="413">
        <f>'Annex 1 LV and HV charges_F'!H8</f>
        <v>0</v>
      </c>
      <c r="H8" s="121" t="str">
        <f>'Annex 1 LV and HV charges_F'!I8</f>
        <v/>
      </c>
      <c r="I8" s="121" t="str">
        <f>'Annex 1 LV and HV charges_F'!J8</f>
        <v/>
      </c>
      <c r="J8" s="250" t="str">
        <f>'Annex 1 LV and HV charges_F'!K8</f>
        <v>00:00 to 24:00</v>
      </c>
    </row>
    <row r="9" spans="1:17" s="41" customFormat="1" ht="21" customHeight="1" x14ac:dyDescent="0.2">
      <c r="B9" s="46"/>
      <c r="C9" s="46"/>
      <c r="D9" s="46"/>
      <c r="E9" s="48"/>
      <c r="F9" s="412" t="str">
        <f>'Annex 1 LV and HV charges_F'!G9</f>
        <v>Notes</v>
      </c>
      <c r="G9" s="412">
        <f>'Annex 1 LV and HV charges_F'!H9</f>
        <v>0</v>
      </c>
      <c r="H9" s="417" t="str">
        <f>'Annex 1 LV and HV charges_F'!I9</f>
        <v>All the above times are in UK Clock time</v>
      </c>
      <c r="I9" s="417">
        <f>'Annex 1 LV and HV charges_F'!J9</f>
        <v>0</v>
      </c>
      <c r="J9" s="417">
        <f>'Annex 1 LV and HV charges_F'!K9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845</v>
      </c>
      <c r="D14" s="92">
        <v>6.6310000000000002</v>
      </c>
      <c r="E14" s="93">
        <v>1.004</v>
      </c>
      <c r="F14" s="94">
        <v>0.14099999999999999</v>
      </c>
      <c r="G14" s="319">
        <v>10.6</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6.6310000000000002</v>
      </c>
      <c r="E15" s="93">
        <v>1.004</v>
      </c>
      <c r="F15" s="94">
        <v>0.14099999999999999</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846</v>
      </c>
      <c r="D16" s="92">
        <v>7.5650000000000004</v>
      </c>
      <c r="E16" s="93">
        <v>1.1459999999999999</v>
      </c>
      <c r="F16" s="94">
        <v>0.161</v>
      </c>
      <c r="G16" s="319">
        <v>8.68</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846</v>
      </c>
      <c r="D17" s="92">
        <v>7.5650000000000004</v>
      </c>
      <c r="E17" s="93">
        <v>1.1459999999999999</v>
      </c>
      <c r="F17" s="94">
        <v>0.161</v>
      </c>
      <c r="G17" s="319">
        <v>9.8699999999999992</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846</v>
      </c>
      <c r="D18" s="92">
        <v>7.5650000000000004</v>
      </c>
      <c r="E18" s="93">
        <v>1.1459999999999999</v>
      </c>
      <c r="F18" s="94">
        <v>0.161</v>
      </c>
      <c r="G18" s="319">
        <v>11.92</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846</v>
      </c>
      <c r="D19" s="92">
        <v>7.5650000000000004</v>
      </c>
      <c r="E19" s="93">
        <v>1.1459999999999999</v>
      </c>
      <c r="F19" s="94">
        <v>0.161</v>
      </c>
      <c r="G19" s="319">
        <v>15.66</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846</v>
      </c>
      <c r="D20" s="92">
        <v>7.5650000000000004</v>
      </c>
      <c r="E20" s="93">
        <v>1.1459999999999999</v>
      </c>
      <c r="F20" s="94">
        <v>0.161</v>
      </c>
      <c r="G20" s="319">
        <v>27.48</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7.5650000000000004</v>
      </c>
      <c r="E21" s="93">
        <v>1.1459999999999999</v>
      </c>
      <c r="F21" s="94">
        <v>0.161</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5.0279999999999996</v>
      </c>
      <c r="E22" s="93">
        <v>0.74099999999999999</v>
      </c>
      <c r="F22" s="94">
        <v>0.106</v>
      </c>
      <c r="G22" s="319">
        <v>8.99</v>
      </c>
      <c r="H22" s="319">
        <v>3.23</v>
      </c>
      <c r="I22" s="322">
        <v>3.23</v>
      </c>
      <c r="J22" s="26">
        <v>9.6000000000000002E-2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5.0279999999999996</v>
      </c>
      <c r="E23" s="93">
        <v>0.74099999999999999</v>
      </c>
      <c r="F23" s="94">
        <v>0.106</v>
      </c>
      <c r="G23" s="319">
        <v>40.35</v>
      </c>
      <c r="H23" s="319">
        <v>3.23</v>
      </c>
      <c r="I23" s="322">
        <v>3.23</v>
      </c>
      <c r="J23" s="26">
        <v>9.6000000000000002E-2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5.0279999999999996</v>
      </c>
      <c r="E24" s="93">
        <v>0.74099999999999999</v>
      </c>
      <c r="F24" s="94">
        <v>0.106</v>
      </c>
      <c r="G24" s="319">
        <v>76.64</v>
      </c>
      <c r="H24" s="319">
        <v>3.23</v>
      </c>
      <c r="I24" s="322">
        <v>3.23</v>
      </c>
      <c r="J24" s="26">
        <v>9.6000000000000002E-2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5.0279999999999996</v>
      </c>
      <c r="E25" s="93">
        <v>0.74099999999999999</v>
      </c>
      <c r="F25" s="94">
        <v>0.106</v>
      </c>
      <c r="G25" s="319">
        <v>114.9</v>
      </c>
      <c r="H25" s="319">
        <v>3.23</v>
      </c>
      <c r="I25" s="322">
        <v>3.23</v>
      </c>
      <c r="J25" s="26">
        <v>9.6000000000000002E-2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5.0279999999999996</v>
      </c>
      <c r="E26" s="93">
        <v>0.74099999999999999</v>
      </c>
      <c r="F26" s="94">
        <v>0.106</v>
      </c>
      <c r="G26" s="319">
        <v>284.89</v>
      </c>
      <c r="H26" s="319">
        <v>3.23</v>
      </c>
      <c r="I26" s="322">
        <v>3.23</v>
      </c>
      <c r="J26" s="26">
        <v>9.6000000000000002E-2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2110</v>
      </c>
      <c r="D27" s="95">
        <v>19.754999999999999</v>
      </c>
      <c r="E27" s="96">
        <v>1.07</v>
      </c>
      <c r="F27" s="94">
        <v>0.29399999999999998</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848</v>
      </c>
      <c r="D28" s="92">
        <v>-7.7359999999999998</v>
      </c>
      <c r="E28" s="93">
        <v>-1.171</v>
      </c>
      <c r="F28" s="94">
        <v>-0.16500000000000001</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-7.7359999999999998</v>
      </c>
      <c r="E29" s="93">
        <v>-1.171</v>
      </c>
      <c r="F29" s="94">
        <v>-0.16500000000000001</v>
      </c>
      <c r="G29" s="319" t="s">
        <v>840</v>
      </c>
      <c r="H29" s="320" t="s">
        <v>840</v>
      </c>
      <c r="I29" s="321" t="s">
        <v>840</v>
      </c>
      <c r="J29" s="26">
        <v>0.13</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845</v>
      </c>
      <c r="D30" s="92">
        <v>4.4530000000000003</v>
      </c>
      <c r="E30" s="93">
        <v>0.67400000000000004</v>
      </c>
      <c r="F30" s="94">
        <v>9.5000000000000001E-2</v>
      </c>
      <c r="G30" s="319">
        <v>7.12</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4.4530000000000003</v>
      </c>
      <c r="E31" s="93">
        <v>0.67400000000000004</v>
      </c>
      <c r="F31" s="94">
        <v>9.5000000000000001E-2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846</v>
      </c>
      <c r="D32" s="92">
        <v>5.0810000000000004</v>
      </c>
      <c r="E32" s="93">
        <v>0.76900000000000002</v>
      </c>
      <c r="F32" s="94">
        <v>0.108</v>
      </c>
      <c r="G32" s="319">
        <v>5.83</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846</v>
      </c>
      <c r="D33" s="92">
        <v>5.0810000000000004</v>
      </c>
      <c r="E33" s="93">
        <v>0.76900000000000002</v>
      </c>
      <c r="F33" s="94">
        <v>0.108</v>
      </c>
      <c r="G33" s="319">
        <v>6.63</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846</v>
      </c>
      <c r="D34" s="92">
        <v>5.0810000000000004</v>
      </c>
      <c r="E34" s="93">
        <v>0.76900000000000002</v>
      </c>
      <c r="F34" s="94">
        <v>0.108</v>
      </c>
      <c r="G34" s="319">
        <v>8.01</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846</v>
      </c>
      <c r="D35" s="92">
        <v>5.0810000000000004</v>
      </c>
      <c r="E35" s="93">
        <v>0.76900000000000002</v>
      </c>
      <c r="F35" s="94">
        <v>0.108</v>
      </c>
      <c r="G35" s="319">
        <v>10.52</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846</v>
      </c>
      <c r="D36" s="92">
        <v>5.0810000000000004</v>
      </c>
      <c r="E36" s="93">
        <v>0.76900000000000002</v>
      </c>
      <c r="F36" s="94">
        <v>0.108</v>
      </c>
      <c r="G36" s="319">
        <v>18.46</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5.0810000000000004</v>
      </c>
      <c r="E37" s="93">
        <v>0.76900000000000002</v>
      </c>
      <c r="F37" s="94">
        <v>0.108</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3.3769999999999998</v>
      </c>
      <c r="E38" s="93">
        <v>0.497</v>
      </c>
      <c r="F38" s="94">
        <v>7.0999999999999994E-2</v>
      </c>
      <c r="G38" s="319">
        <v>6.04</v>
      </c>
      <c r="H38" s="319">
        <v>2.17</v>
      </c>
      <c r="I38" s="322">
        <v>2.17</v>
      </c>
      <c r="J38" s="26">
        <v>6.4000000000000001E-2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3.3769999999999998</v>
      </c>
      <c r="E39" s="93">
        <v>0.497</v>
      </c>
      <c r="F39" s="94">
        <v>7.0999999999999994E-2</v>
      </c>
      <c r="G39" s="319">
        <v>27.1</v>
      </c>
      <c r="H39" s="319">
        <v>2.17</v>
      </c>
      <c r="I39" s="322">
        <v>2.17</v>
      </c>
      <c r="J39" s="26">
        <v>6.4000000000000001E-2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3.3769999999999998</v>
      </c>
      <c r="E40" s="93">
        <v>0.497</v>
      </c>
      <c r="F40" s="94">
        <v>7.0999999999999994E-2</v>
      </c>
      <c r="G40" s="319">
        <v>51.47</v>
      </c>
      <c r="H40" s="319">
        <v>2.17</v>
      </c>
      <c r="I40" s="322">
        <v>2.17</v>
      </c>
      <c r="J40" s="26">
        <v>6.4000000000000001E-2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3.3769999999999998</v>
      </c>
      <c r="E41" s="93">
        <v>0.497</v>
      </c>
      <c r="F41" s="94">
        <v>7.0999999999999994E-2</v>
      </c>
      <c r="G41" s="319">
        <v>77.16</v>
      </c>
      <c r="H41" s="319">
        <v>2.17</v>
      </c>
      <c r="I41" s="322">
        <v>2.17</v>
      </c>
      <c r="J41" s="26">
        <v>6.4000000000000001E-2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3.3769999999999998</v>
      </c>
      <c r="E42" s="93">
        <v>0.497</v>
      </c>
      <c r="F42" s="94">
        <v>7.0999999999999994E-2</v>
      </c>
      <c r="G42" s="319">
        <v>191.33</v>
      </c>
      <c r="H42" s="319">
        <v>2.17</v>
      </c>
      <c r="I42" s="322">
        <v>2.17</v>
      </c>
      <c r="J42" s="26">
        <v>6.4000000000000001E-2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3.129</v>
      </c>
      <c r="E43" s="93">
        <v>0.42299999999999999</v>
      </c>
      <c r="F43" s="94">
        <v>6.3E-2</v>
      </c>
      <c r="G43" s="319">
        <v>10.3</v>
      </c>
      <c r="H43" s="319">
        <v>3.48</v>
      </c>
      <c r="I43" s="322">
        <v>3.48</v>
      </c>
      <c r="J43" s="26">
        <v>5.8999999999999997E-2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3.129</v>
      </c>
      <c r="E44" s="93">
        <v>0.42299999999999999</v>
      </c>
      <c r="F44" s="94">
        <v>6.3E-2</v>
      </c>
      <c r="G44" s="319">
        <v>46.19</v>
      </c>
      <c r="H44" s="319">
        <v>3.48</v>
      </c>
      <c r="I44" s="322">
        <v>3.48</v>
      </c>
      <c r="J44" s="26">
        <v>5.8999999999999997E-2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3.129</v>
      </c>
      <c r="E45" s="93">
        <v>0.42299999999999999</v>
      </c>
      <c r="F45" s="94">
        <v>6.3E-2</v>
      </c>
      <c r="G45" s="319">
        <v>87.72</v>
      </c>
      <c r="H45" s="319">
        <v>3.48</v>
      </c>
      <c r="I45" s="322">
        <v>3.48</v>
      </c>
      <c r="J45" s="26">
        <v>5.8999999999999997E-2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3.129</v>
      </c>
      <c r="E46" s="93">
        <v>0.42299999999999999</v>
      </c>
      <c r="F46" s="94">
        <v>6.3E-2</v>
      </c>
      <c r="G46" s="319">
        <v>131.51</v>
      </c>
      <c r="H46" s="319">
        <v>3.48</v>
      </c>
      <c r="I46" s="322">
        <v>3.48</v>
      </c>
      <c r="J46" s="26">
        <v>5.8999999999999997E-2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3.129</v>
      </c>
      <c r="E47" s="93">
        <v>0.42299999999999999</v>
      </c>
      <c r="F47" s="94">
        <v>6.3E-2</v>
      </c>
      <c r="G47" s="319">
        <v>326.08</v>
      </c>
      <c r="H47" s="319">
        <v>3.48</v>
      </c>
      <c r="I47" s="322">
        <v>3.48</v>
      </c>
      <c r="J47" s="26">
        <v>5.8999999999999997E-2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2.8260000000000001</v>
      </c>
      <c r="E48" s="93">
        <v>0.35499999999999998</v>
      </c>
      <c r="F48" s="94">
        <v>5.3999999999999999E-2</v>
      </c>
      <c r="G48" s="319">
        <v>262.95</v>
      </c>
      <c r="H48" s="319">
        <v>4.6500000000000004</v>
      </c>
      <c r="I48" s="322">
        <v>4.6500000000000004</v>
      </c>
      <c r="J48" s="26">
        <v>5.1999999999999998E-2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2.8260000000000001</v>
      </c>
      <c r="E49" s="93">
        <v>0.35499999999999998</v>
      </c>
      <c r="F49" s="94">
        <v>5.3999999999999999E-2</v>
      </c>
      <c r="G49" s="319">
        <v>566.07000000000005</v>
      </c>
      <c r="H49" s="319">
        <v>4.6500000000000004</v>
      </c>
      <c r="I49" s="322">
        <v>4.6500000000000004</v>
      </c>
      <c r="J49" s="26">
        <v>5.1999999999999998E-2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2.8260000000000001</v>
      </c>
      <c r="E50" s="93">
        <v>0.35499999999999998</v>
      </c>
      <c r="F50" s="94">
        <v>5.3999999999999999E-2</v>
      </c>
      <c r="G50" s="319">
        <v>1093.1199999999999</v>
      </c>
      <c r="H50" s="319">
        <v>4.6500000000000004</v>
      </c>
      <c r="I50" s="322">
        <v>4.6500000000000004</v>
      </c>
      <c r="J50" s="26">
        <v>5.1999999999999998E-2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2.8260000000000001</v>
      </c>
      <c r="E51" s="93">
        <v>0.35499999999999998</v>
      </c>
      <c r="F51" s="94">
        <v>5.3999999999999999E-2</v>
      </c>
      <c r="G51" s="319">
        <v>1746.65</v>
      </c>
      <c r="H51" s="319">
        <v>4.6500000000000004</v>
      </c>
      <c r="I51" s="322">
        <v>4.6500000000000004</v>
      </c>
      <c r="J51" s="26">
        <v>5.1999999999999998E-2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2.8260000000000001</v>
      </c>
      <c r="E52" s="93">
        <v>0.35499999999999998</v>
      </c>
      <c r="F52" s="94">
        <v>5.3999999999999999E-2</v>
      </c>
      <c r="G52" s="319">
        <v>4303.26</v>
      </c>
      <c r="H52" s="319">
        <v>4.6500000000000004</v>
      </c>
      <c r="I52" s="322">
        <v>4.6500000000000004</v>
      </c>
      <c r="J52" s="26">
        <v>5.1999999999999998E-2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2110</v>
      </c>
      <c r="D53" s="95">
        <v>13.266999999999999</v>
      </c>
      <c r="E53" s="96">
        <v>0.71799999999999997</v>
      </c>
      <c r="F53" s="94">
        <v>0.19700000000000001</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848</v>
      </c>
      <c r="D54" s="92">
        <v>-7.7359999999999998</v>
      </c>
      <c r="E54" s="93">
        <v>-1.171</v>
      </c>
      <c r="F54" s="94">
        <v>-0.16500000000000001</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-6.5179999999999998</v>
      </c>
      <c r="E55" s="93">
        <v>-0.97199999999999998</v>
      </c>
      <c r="F55" s="94">
        <v>-0.13800000000000001</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-7.7359999999999998</v>
      </c>
      <c r="E56" s="93">
        <v>-1.171</v>
      </c>
      <c r="F56" s="94">
        <v>-0.16500000000000001</v>
      </c>
      <c r="G56" s="319" t="s">
        <v>840</v>
      </c>
      <c r="H56" s="320" t="s">
        <v>840</v>
      </c>
      <c r="I56" s="321" t="s">
        <v>840</v>
      </c>
      <c r="J56" s="26">
        <v>0.13</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-6.5179999999999998</v>
      </c>
      <c r="E57" s="93">
        <v>-0.97199999999999998</v>
      </c>
      <c r="F57" s="94">
        <v>-0.13800000000000001</v>
      </c>
      <c r="G57" s="319" t="s">
        <v>840</v>
      </c>
      <c r="H57" s="320" t="s">
        <v>840</v>
      </c>
      <c r="I57" s="321" t="s">
        <v>840</v>
      </c>
      <c r="J57" s="26">
        <v>0.122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-3.8839999999999999</v>
      </c>
      <c r="E58" s="93">
        <v>-0.52500000000000002</v>
      </c>
      <c r="F58" s="94">
        <v>-7.8E-2</v>
      </c>
      <c r="G58" s="319" t="s">
        <v>840</v>
      </c>
      <c r="H58" s="320" t="s">
        <v>840</v>
      </c>
      <c r="I58" s="321" t="s">
        <v>840</v>
      </c>
      <c r="J58" s="26">
        <v>0.108</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845</v>
      </c>
      <c r="D59" s="92">
        <v>3.089</v>
      </c>
      <c r="E59" s="93">
        <v>0.46800000000000003</v>
      </c>
      <c r="F59" s="94">
        <v>6.6000000000000003E-2</v>
      </c>
      <c r="G59" s="319">
        <v>4.9400000000000004</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3.089</v>
      </c>
      <c r="E60" s="93">
        <v>0.46800000000000003</v>
      </c>
      <c r="F60" s="94">
        <v>6.6000000000000003E-2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846</v>
      </c>
      <c r="D61" s="92">
        <v>3.5249999999999999</v>
      </c>
      <c r="E61" s="93">
        <v>0.53400000000000003</v>
      </c>
      <c r="F61" s="94">
        <v>7.4999999999999997E-2</v>
      </c>
      <c r="G61" s="319">
        <v>4.04</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846</v>
      </c>
      <c r="D62" s="92">
        <v>3.5249999999999999</v>
      </c>
      <c r="E62" s="93">
        <v>0.53400000000000003</v>
      </c>
      <c r="F62" s="94">
        <v>7.4999999999999997E-2</v>
      </c>
      <c r="G62" s="319">
        <v>4.5999999999999996</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846</v>
      </c>
      <c r="D63" s="92">
        <v>3.5249999999999999</v>
      </c>
      <c r="E63" s="93">
        <v>0.53400000000000003</v>
      </c>
      <c r="F63" s="94">
        <v>7.4999999999999997E-2</v>
      </c>
      <c r="G63" s="319">
        <v>5.56</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846</v>
      </c>
      <c r="D64" s="92">
        <v>3.5249999999999999</v>
      </c>
      <c r="E64" s="93">
        <v>0.53400000000000003</v>
      </c>
      <c r="F64" s="94">
        <v>7.4999999999999997E-2</v>
      </c>
      <c r="G64" s="319">
        <v>7.3</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846</v>
      </c>
      <c r="D65" s="92">
        <v>3.5249999999999999</v>
      </c>
      <c r="E65" s="93">
        <v>0.53400000000000003</v>
      </c>
      <c r="F65" s="94">
        <v>7.4999999999999997E-2</v>
      </c>
      <c r="G65" s="319">
        <v>12.8</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3.5249999999999999</v>
      </c>
      <c r="E66" s="93">
        <v>0.53400000000000003</v>
      </c>
      <c r="F66" s="94">
        <v>7.4999999999999997E-2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2.343</v>
      </c>
      <c r="E67" s="93">
        <v>0.34499999999999997</v>
      </c>
      <c r="F67" s="94">
        <v>4.9000000000000002E-2</v>
      </c>
      <c r="G67" s="319">
        <v>4.1900000000000004</v>
      </c>
      <c r="H67" s="319">
        <v>1.51</v>
      </c>
      <c r="I67" s="322">
        <v>1.51</v>
      </c>
      <c r="J67" s="26">
        <v>4.4999999999999998E-2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2.343</v>
      </c>
      <c r="E68" s="93">
        <v>0.34499999999999997</v>
      </c>
      <c r="F68" s="94">
        <v>4.9000000000000002E-2</v>
      </c>
      <c r="G68" s="319">
        <v>18.8</v>
      </c>
      <c r="H68" s="319">
        <v>1.51</v>
      </c>
      <c r="I68" s="322">
        <v>1.51</v>
      </c>
      <c r="J68" s="26">
        <v>4.4999999999999998E-2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2.343</v>
      </c>
      <c r="E69" s="93">
        <v>0.34499999999999997</v>
      </c>
      <c r="F69" s="94">
        <v>4.9000000000000002E-2</v>
      </c>
      <c r="G69" s="319">
        <v>35.71</v>
      </c>
      <c r="H69" s="319">
        <v>1.51</v>
      </c>
      <c r="I69" s="322">
        <v>1.51</v>
      </c>
      <c r="J69" s="26">
        <v>4.4999999999999998E-2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2.343</v>
      </c>
      <c r="E70" s="93">
        <v>0.34499999999999997</v>
      </c>
      <c r="F70" s="94">
        <v>4.9000000000000002E-2</v>
      </c>
      <c r="G70" s="319">
        <v>53.53</v>
      </c>
      <c r="H70" s="319">
        <v>1.51</v>
      </c>
      <c r="I70" s="322">
        <v>1.51</v>
      </c>
      <c r="J70" s="26">
        <v>4.4999999999999998E-2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2.343</v>
      </c>
      <c r="E71" s="93">
        <v>0.34499999999999997</v>
      </c>
      <c r="F71" s="94">
        <v>4.9000000000000002E-2</v>
      </c>
      <c r="G71" s="319">
        <v>132.72999999999999</v>
      </c>
      <c r="H71" s="319">
        <v>1.51</v>
      </c>
      <c r="I71" s="322">
        <v>1.51</v>
      </c>
      <c r="J71" s="26">
        <v>4.4999999999999998E-2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2.141</v>
      </c>
      <c r="E72" s="93">
        <v>0.28899999999999998</v>
      </c>
      <c r="F72" s="94">
        <v>4.2999999999999997E-2</v>
      </c>
      <c r="G72" s="319">
        <v>7.04</v>
      </c>
      <c r="H72" s="319">
        <v>2.38</v>
      </c>
      <c r="I72" s="322">
        <v>2.38</v>
      </c>
      <c r="J72" s="26">
        <v>0.04</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2.141</v>
      </c>
      <c r="E73" s="93">
        <v>0.28899999999999998</v>
      </c>
      <c r="F73" s="94">
        <v>4.2999999999999997E-2</v>
      </c>
      <c r="G73" s="319">
        <v>31.6</v>
      </c>
      <c r="H73" s="319">
        <v>2.38</v>
      </c>
      <c r="I73" s="322">
        <v>2.38</v>
      </c>
      <c r="J73" s="26">
        <v>0.04</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2.141</v>
      </c>
      <c r="E74" s="93">
        <v>0.28899999999999998</v>
      </c>
      <c r="F74" s="94">
        <v>4.2999999999999997E-2</v>
      </c>
      <c r="G74" s="319">
        <v>60.02</v>
      </c>
      <c r="H74" s="319">
        <v>2.38</v>
      </c>
      <c r="I74" s="322">
        <v>2.38</v>
      </c>
      <c r="J74" s="26">
        <v>0.04</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2.141</v>
      </c>
      <c r="E75" s="93">
        <v>0.28899999999999998</v>
      </c>
      <c r="F75" s="94">
        <v>4.2999999999999997E-2</v>
      </c>
      <c r="G75" s="319">
        <v>89.98</v>
      </c>
      <c r="H75" s="319">
        <v>2.38</v>
      </c>
      <c r="I75" s="322">
        <v>2.38</v>
      </c>
      <c r="J75" s="26">
        <v>0.04</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2.141</v>
      </c>
      <c r="E76" s="93">
        <v>0.28899999999999998</v>
      </c>
      <c r="F76" s="94">
        <v>4.2999999999999997E-2</v>
      </c>
      <c r="G76" s="319">
        <v>223.1</v>
      </c>
      <c r="H76" s="319">
        <v>2.38</v>
      </c>
      <c r="I76" s="322">
        <v>2.38</v>
      </c>
      <c r="J76" s="26">
        <v>0.04</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1.913</v>
      </c>
      <c r="E77" s="93">
        <v>0.24</v>
      </c>
      <c r="F77" s="94">
        <v>3.6999999999999998E-2</v>
      </c>
      <c r="G77" s="319">
        <v>177.99</v>
      </c>
      <c r="H77" s="319">
        <v>3.15</v>
      </c>
      <c r="I77" s="322">
        <v>3.15</v>
      </c>
      <c r="J77" s="26">
        <v>3.5000000000000003E-2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1.913</v>
      </c>
      <c r="E78" s="93">
        <v>0.24</v>
      </c>
      <c r="F78" s="94">
        <v>3.6999999999999998E-2</v>
      </c>
      <c r="G78" s="319">
        <v>383.17</v>
      </c>
      <c r="H78" s="319">
        <v>3.15</v>
      </c>
      <c r="I78" s="322">
        <v>3.15</v>
      </c>
      <c r="J78" s="26">
        <v>3.5000000000000003E-2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1.913</v>
      </c>
      <c r="E79" s="93">
        <v>0.24</v>
      </c>
      <c r="F79" s="94">
        <v>3.6999999999999998E-2</v>
      </c>
      <c r="G79" s="319">
        <v>739.94</v>
      </c>
      <c r="H79" s="319">
        <v>3.15</v>
      </c>
      <c r="I79" s="322">
        <v>3.15</v>
      </c>
      <c r="J79" s="26">
        <v>3.5000000000000003E-2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1.913</v>
      </c>
      <c r="E80" s="93">
        <v>0.24</v>
      </c>
      <c r="F80" s="94">
        <v>3.6999999999999998E-2</v>
      </c>
      <c r="G80" s="319">
        <v>1182.32</v>
      </c>
      <c r="H80" s="319">
        <v>3.15</v>
      </c>
      <c r="I80" s="322">
        <v>3.15</v>
      </c>
      <c r="J80" s="26">
        <v>3.5000000000000003E-2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1.913</v>
      </c>
      <c r="E81" s="93">
        <v>0.24</v>
      </c>
      <c r="F81" s="94">
        <v>3.6999999999999998E-2</v>
      </c>
      <c r="G81" s="319">
        <v>2912.89</v>
      </c>
      <c r="H81" s="319">
        <v>3.15</v>
      </c>
      <c r="I81" s="322">
        <v>3.15</v>
      </c>
      <c r="J81" s="26">
        <v>3.5000000000000003E-2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2110</v>
      </c>
      <c r="D82" s="95">
        <v>9.2040000000000006</v>
      </c>
      <c r="E82" s="96">
        <v>0.498</v>
      </c>
      <c r="F82" s="94">
        <v>0.13700000000000001</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848</v>
      </c>
      <c r="D83" s="92">
        <v>-3.5739999999999998</v>
      </c>
      <c r="E83" s="93">
        <v>-0.54100000000000004</v>
      </c>
      <c r="F83" s="94">
        <v>-7.5999999999999998E-2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-3.6640000000000001</v>
      </c>
      <c r="E84" s="93">
        <v>-0.54600000000000004</v>
      </c>
      <c r="F84" s="94">
        <v>-7.6999999999999999E-2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-3.5739999999999998</v>
      </c>
      <c r="E85" s="93">
        <v>-0.54100000000000004</v>
      </c>
      <c r="F85" s="94">
        <v>-7.5999999999999998E-2</v>
      </c>
      <c r="G85" s="319" t="s">
        <v>840</v>
      </c>
      <c r="H85" s="320" t="s">
        <v>840</v>
      </c>
      <c r="I85" s="321" t="s">
        <v>840</v>
      </c>
      <c r="J85" s="26">
        <v>0.06</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-3.6640000000000001</v>
      </c>
      <c r="E86" s="93">
        <v>-0.54600000000000004</v>
      </c>
      <c r="F86" s="94">
        <v>-7.6999999999999999E-2</v>
      </c>
      <c r="G86" s="319" t="s">
        <v>840</v>
      </c>
      <c r="H86" s="320" t="s">
        <v>840</v>
      </c>
      <c r="I86" s="321" t="s">
        <v>840</v>
      </c>
      <c r="J86" s="26">
        <v>6.9000000000000006E-2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-3.8839999999999999</v>
      </c>
      <c r="E87" s="93">
        <v>-0.52500000000000002</v>
      </c>
      <c r="F87" s="94">
        <v>-7.8E-2</v>
      </c>
      <c r="G87" s="319">
        <v>70.64</v>
      </c>
      <c r="H87" s="320" t="s">
        <v>840</v>
      </c>
      <c r="I87" s="321" t="s">
        <v>840</v>
      </c>
      <c r="J87" s="26">
        <v>0.108</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845</v>
      </c>
      <c r="D88" s="92">
        <v>2.1480000000000001</v>
      </c>
      <c r="E88" s="93">
        <v>0.32500000000000001</v>
      </c>
      <c r="F88" s="94">
        <v>4.5999999999999999E-2</v>
      </c>
      <c r="G88" s="319">
        <v>3.43</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2.1480000000000001</v>
      </c>
      <c r="E89" s="93">
        <v>0.32500000000000001</v>
      </c>
      <c r="F89" s="94">
        <v>4.5999999999999999E-2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846</v>
      </c>
      <c r="D90" s="92">
        <v>2.4510000000000001</v>
      </c>
      <c r="E90" s="93">
        <v>0.371</v>
      </c>
      <c r="F90" s="94">
        <v>5.1999999999999998E-2</v>
      </c>
      <c r="G90" s="319">
        <v>2.81</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846</v>
      </c>
      <c r="D91" s="92">
        <v>2.4510000000000001</v>
      </c>
      <c r="E91" s="93">
        <v>0.371</v>
      </c>
      <c r="F91" s="94">
        <v>5.1999999999999998E-2</v>
      </c>
      <c r="G91" s="319">
        <v>3.2</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846</v>
      </c>
      <c r="D92" s="92">
        <v>2.4510000000000001</v>
      </c>
      <c r="E92" s="93">
        <v>0.371</v>
      </c>
      <c r="F92" s="94">
        <v>5.1999999999999998E-2</v>
      </c>
      <c r="G92" s="319">
        <v>3.86</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846</v>
      </c>
      <c r="D93" s="92">
        <v>2.4510000000000001</v>
      </c>
      <c r="E93" s="93">
        <v>0.371</v>
      </c>
      <c r="F93" s="94">
        <v>5.1999999999999998E-2</v>
      </c>
      <c r="G93" s="319">
        <v>5.07</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846</v>
      </c>
      <c r="D94" s="92">
        <v>2.4510000000000001</v>
      </c>
      <c r="E94" s="93">
        <v>0.371</v>
      </c>
      <c r="F94" s="94">
        <v>5.1999999999999998E-2</v>
      </c>
      <c r="G94" s="319">
        <v>8.9</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2.4510000000000001</v>
      </c>
      <c r="E95" s="93">
        <v>0.371</v>
      </c>
      <c r="F95" s="94">
        <v>5.1999999999999998E-2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1.629</v>
      </c>
      <c r="E96" s="93">
        <v>0.24</v>
      </c>
      <c r="F96" s="94">
        <v>3.4000000000000002E-2</v>
      </c>
      <c r="G96" s="319">
        <v>2.91</v>
      </c>
      <c r="H96" s="319">
        <v>1.05</v>
      </c>
      <c r="I96" s="322">
        <v>1.05</v>
      </c>
      <c r="J96" s="26">
        <v>3.1E-2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1.629</v>
      </c>
      <c r="E97" s="93">
        <v>0.24</v>
      </c>
      <c r="F97" s="94">
        <v>3.4000000000000002E-2</v>
      </c>
      <c r="G97" s="319">
        <v>13.07</v>
      </c>
      <c r="H97" s="319">
        <v>1.05</v>
      </c>
      <c r="I97" s="322">
        <v>1.05</v>
      </c>
      <c r="J97" s="26">
        <v>3.1E-2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1.629</v>
      </c>
      <c r="E98" s="93">
        <v>0.24</v>
      </c>
      <c r="F98" s="94">
        <v>3.4000000000000002E-2</v>
      </c>
      <c r="G98" s="319">
        <v>24.83</v>
      </c>
      <c r="H98" s="319">
        <v>1.05</v>
      </c>
      <c r="I98" s="322">
        <v>1.05</v>
      </c>
      <c r="J98" s="26">
        <v>3.1E-2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1.629</v>
      </c>
      <c r="E99" s="93">
        <v>0.24</v>
      </c>
      <c r="F99" s="94">
        <v>3.4000000000000002E-2</v>
      </c>
      <c r="G99" s="319">
        <v>37.22</v>
      </c>
      <c r="H99" s="319">
        <v>1.05</v>
      </c>
      <c r="I99" s="322">
        <v>1.05</v>
      </c>
      <c r="J99" s="26">
        <v>3.1E-2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1.629</v>
      </c>
      <c r="E100" s="93">
        <v>0.24</v>
      </c>
      <c r="F100" s="94">
        <v>3.4000000000000002E-2</v>
      </c>
      <c r="G100" s="319">
        <v>92.28</v>
      </c>
      <c r="H100" s="319">
        <v>1.05</v>
      </c>
      <c r="I100" s="322">
        <v>1.05</v>
      </c>
      <c r="J100" s="26">
        <v>3.1E-2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1.4890000000000001</v>
      </c>
      <c r="E101" s="93">
        <v>0.20100000000000001</v>
      </c>
      <c r="F101" s="94">
        <v>0.03</v>
      </c>
      <c r="G101" s="319">
        <v>4.9000000000000004</v>
      </c>
      <c r="H101" s="319">
        <v>1.65</v>
      </c>
      <c r="I101" s="322">
        <v>1.65</v>
      </c>
      <c r="J101" s="26">
        <v>2.8000000000000001E-2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1.4890000000000001</v>
      </c>
      <c r="E102" s="93">
        <v>0.20100000000000001</v>
      </c>
      <c r="F102" s="94">
        <v>0.03</v>
      </c>
      <c r="G102" s="319">
        <v>21.97</v>
      </c>
      <c r="H102" s="319">
        <v>1.65</v>
      </c>
      <c r="I102" s="322">
        <v>1.65</v>
      </c>
      <c r="J102" s="26">
        <v>2.8000000000000001E-2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1.4890000000000001</v>
      </c>
      <c r="E103" s="93">
        <v>0.20100000000000001</v>
      </c>
      <c r="F103" s="94">
        <v>0.03</v>
      </c>
      <c r="G103" s="319">
        <v>41.73</v>
      </c>
      <c r="H103" s="319">
        <v>1.65</v>
      </c>
      <c r="I103" s="322">
        <v>1.65</v>
      </c>
      <c r="J103" s="26">
        <v>2.8000000000000001E-2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1.4890000000000001</v>
      </c>
      <c r="E104" s="93">
        <v>0.20100000000000001</v>
      </c>
      <c r="F104" s="94">
        <v>0.03</v>
      </c>
      <c r="G104" s="319">
        <v>62.56</v>
      </c>
      <c r="H104" s="319">
        <v>1.65</v>
      </c>
      <c r="I104" s="322">
        <v>1.65</v>
      </c>
      <c r="J104" s="26">
        <v>2.8000000000000001E-2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1.4890000000000001</v>
      </c>
      <c r="E105" s="93">
        <v>0.20100000000000001</v>
      </c>
      <c r="F105" s="94">
        <v>0.03</v>
      </c>
      <c r="G105" s="319">
        <v>155.12</v>
      </c>
      <c r="H105" s="319">
        <v>1.65</v>
      </c>
      <c r="I105" s="322">
        <v>1.65</v>
      </c>
      <c r="J105" s="26">
        <v>2.8000000000000001E-2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1.33</v>
      </c>
      <c r="E106" s="93">
        <v>0.16700000000000001</v>
      </c>
      <c r="F106" s="94">
        <v>2.5999999999999999E-2</v>
      </c>
      <c r="G106" s="319">
        <v>123.75</v>
      </c>
      <c r="H106" s="319">
        <v>2.19</v>
      </c>
      <c r="I106" s="322">
        <v>2.19</v>
      </c>
      <c r="J106" s="26">
        <v>2.5000000000000001E-2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1.33</v>
      </c>
      <c r="E107" s="93">
        <v>0.16700000000000001</v>
      </c>
      <c r="F107" s="94">
        <v>2.5999999999999999E-2</v>
      </c>
      <c r="G107" s="319">
        <v>266.41000000000003</v>
      </c>
      <c r="H107" s="319">
        <v>2.19</v>
      </c>
      <c r="I107" s="322">
        <v>2.19</v>
      </c>
      <c r="J107" s="26">
        <v>2.5000000000000001E-2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1.33</v>
      </c>
      <c r="E108" s="93">
        <v>0.16700000000000001</v>
      </c>
      <c r="F108" s="94">
        <v>2.5999999999999999E-2</v>
      </c>
      <c r="G108" s="319">
        <v>514.47</v>
      </c>
      <c r="H108" s="319">
        <v>2.19</v>
      </c>
      <c r="I108" s="322">
        <v>2.19</v>
      </c>
      <c r="J108" s="26">
        <v>2.5000000000000001E-2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1.33</v>
      </c>
      <c r="E109" s="93">
        <v>0.16700000000000001</v>
      </c>
      <c r="F109" s="94">
        <v>2.5999999999999999E-2</v>
      </c>
      <c r="G109" s="319">
        <v>822.04</v>
      </c>
      <c r="H109" s="319">
        <v>2.19</v>
      </c>
      <c r="I109" s="322">
        <v>2.19</v>
      </c>
      <c r="J109" s="26">
        <v>2.5000000000000001E-2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1.33</v>
      </c>
      <c r="E110" s="93">
        <v>0.16700000000000001</v>
      </c>
      <c r="F110" s="94">
        <v>2.5999999999999999E-2</v>
      </c>
      <c r="G110" s="319">
        <v>2025.28</v>
      </c>
      <c r="H110" s="319">
        <v>2.19</v>
      </c>
      <c r="I110" s="322">
        <v>2.19</v>
      </c>
      <c r="J110" s="26">
        <v>2.5000000000000001E-2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2110</v>
      </c>
      <c r="D111" s="95">
        <v>6.399</v>
      </c>
      <c r="E111" s="96">
        <v>0.34699999999999998</v>
      </c>
      <c r="F111" s="94">
        <v>9.5000000000000001E-2</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848</v>
      </c>
      <c r="D112" s="92">
        <v>-2.4849999999999999</v>
      </c>
      <c r="E112" s="93">
        <v>-0.376</v>
      </c>
      <c r="F112" s="94">
        <v>-5.2999999999999999E-2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-2.5470000000000002</v>
      </c>
      <c r="E113" s="93">
        <v>-0.38</v>
      </c>
      <c r="F113" s="94">
        <v>-5.3999999999999999E-2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-2.4849999999999999</v>
      </c>
      <c r="E114" s="93">
        <v>-0.376</v>
      </c>
      <c r="F114" s="94">
        <v>-5.2999999999999999E-2</v>
      </c>
      <c r="G114" s="319" t="s">
        <v>840</v>
      </c>
      <c r="H114" s="320" t="s">
        <v>840</v>
      </c>
      <c r="I114" s="321" t="s">
        <v>840</v>
      </c>
      <c r="J114" s="26">
        <v>4.2000000000000003E-2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-2.5470000000000002</v>
      </c>
      <c r="E115" s="93">
        <v>-0.38</v>
      </c>
      <c r="F115" s="94">
        <v>-5.3999999999999999E-2</v>
      </c>
      <c r="G115" s="319" t="s">
        <v>840</v>
      </c>
      <c r="H115" s="320" t="s">
        <v>840</v>
      </c>
      <c r="I115" s="321" t="s">
        <v>840</v>
      </c>
      <c r="J115" s="26">
        <v>4.8000000000000001E-2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-2.7010000000000001</v>
      </c>
      <c r="E116" s="93">
        <v>-0.36499999999999999</v>
      </c>
      <c r="F116" s="94">
        <v>-5.3999999999999999E-2</v>
      </c>
      <c r="G116" s="319">
        <v>49.12</v>
      </c>
      <c r="H116" s="320" t="s">
        <v>840</v>
      </c>
      <c r="I116" s="321" t="s">
        <v>840</v>
      </c>
      <c r="J116" s="26">
        <v>7.4999999999999997E-2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845</v>
      </c>
      <c r="D117" s="92">
        <v>1.423</v>
      </c>
      <c r="E117" s="93">
        <v>0.216</v>
      </c>
      <c r="F117" s="94">
        <v>0.03</v>
      </c>
      <c r="G117" s="319">
        <v>2.2799999999999998</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1.423</v>
      </c>
      <c r="E118" s="93">
        <v>0.216</v>
      </c>
      <c r="F118" s="94">
        <v>0.03</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846</v>
      </c>
      <c r="D119" s="92">
        <v>1.6240000000000001</v>
      </c>
      <c r="E119" s="93">
        <v>0.246</v>
      </c>
      <c r="F119" s="94">
        <v>3.5000000000000003E-2</v>
      </c>
      <c r="G119" s="319">
        <v>1.86</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846</v>
      </c>
      <c r="D120" s="92">
        <v>1.6240000000000001</v>
      </c>
      <c r="E120" s="93">
        <v>0.246</v>
      </c>
      <c r="F120" s="94">
        <v>3.5000000000000003E-2</v>
      </c>
      <c r="G120" s="319">
        <v>2.12</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846</v>
      </c>
      <c r="D121" s="92">
        <v>1.6240000000000001</v>
      </c>
      <c r="E121" s="93">
        <v>0.246</v>
      </c>
      <c r="F121" s="94">
        <v>3.5000000000000003E-2</v>
      </c>
      <c r="G121" s="319">
        <v>2.56</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846</v>
      </c>
      <c r="D122" s="92">
        <v>1.6240000000000001</v>
      </c>
      <c r="E122" s="93">
        <v>0.246</v>
      </c>
      <c r="F122" s="94">
        <v>3.5000000000000003E-2</v>
      </c>
      <c r="G122" s="319">
        <v>3.36</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846</v>
      </c>
      <c r="D123" s="92">
        <v>1.6240000000000001</v>
      </c>
      <c r="E123" s="93">
        <v>0.246</v>
      </c>
      <c r="F123" s="94">
        <v>3.5000000000000003E-2</v>
      </c>
      <c r="G123" s="319">
        <v>5.9</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1.6240000000000001</v>
      </c>
      <c r="E124" s="93">
        <v>0.246</v>
      </c>
      <c r="F124" s="94">
        <v>3.5000000000000003E-2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1.079</v>
      </c>
      <c r="E125" s="93">
        <v>0.159</v>
      </c>
      <c r="F125" s="94">
        <v>2.3E-2</v>
      </c>
      <c r="G125" s="319">
        <v>1.93</v>
      </c>
      <c r="H125" s="319">
        <v>0.69</v>
      </c>
      <c r="I125" s="322">
        <v>0.69</v>
      </c>
      <c r="J125" s="26">
        <v>2.1000000000000001E-2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1.079</v>
      </c>
      <c r="E126" s="93">
        <v>0.159</v>
      </c>
      <c r="F126" s="94">
        <v>2.3E-2</v>
      </c>
      <c r="G126" s="319">
        <v>8.66</v>
      </c>
      <c r="H126" s="319">
        <v>0.69</v>
      </c>
      <c r="I126" s="322">
        <v>0.69</v>
      </c>
      <c r="J126" s="26">
        <v>2.1000000000000001E-2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1.079</v>
      </c>
      <c r="E127" s="93">
        <v>0.159</v>
      </c>
      <c r="F127" s="94">
        <v>2.3E-2</v>
      </c>
      <c r="G127" s="319">
        <v>16.45</v>
      </c>
      <c r="H127" s="319">
        <v>0.69</v>
      </c>
      <c r="I127" s="322">
        <v>0.69</v>
      </c>
      <c r="J127" s="26">
        <v>2.1000000000000001E-2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1.079</v>
      </c>
      <c r="E128" s="93">
        <v>0.159</v>
      </c>
      <c r="F128" s="94">
        <v>2.3E-2</v>
      </c>
      <c r="G128" s="319">
        <v>24.66</v>
      </c>
      <c r="H128" s="319">
        <v>0.69</v>
      </c>
      <c r="I128" s="322">
        <v>0.69</v>
      </c>
      <c r="J128" s="26">
        <v>2.1000000000000001E-2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1.079</v>
      </c>
      <c r="E129" s="93">
        <v>0.159</v>
      </c>
      <c r="F129" s="94">
        <v>2.3E-2</v>
      </c>
      <c r="G129" s="319">
        <v>61.15</v>
      </c>
      <c r="H129" s="319">
        <v>0.69</v>
      </c>
      <c r="I129" s="322">
        <v>0.69</v>
      </c>
      <c r="J129" s="26">
        <v>2.1000000000000001E-2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0.98599999999999999</v>
      </c>
      <c r="E130" s="93">
        <v>0.13300000000000001</v>
      </c>
      <c r="F130" s="94">
        <v>0.02</v>
      </c>
      <c r="G130" s="319">
        <v>3.25</v>
      </c>
      <c r="H130" s="319">
        <v>1.1000000000000001</v>
      </c>
      <c r="I130" s="322">
        <v>1.1000000000000001</v>
      </c>
      <c r="J130" s="26">
        <v>1.9E-2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0.98599999999999999</v>
      </c>
      <c r="E131" s="93">
        <v>0.13300000000000001</v>
      </c>
      <c r="F131" s="94">
        <v>0.02</v>
      </c>
      <c r="G131" s="319">
        <v>14.56</v>
      </c>
      <c r="H131" s="319">
        <v>1.1000000000000001</v>
      </c>
      <c r="I131" s="322">
        <v>1.1000000000000001</v>
      </c>
      <c r="J131" s="26">
        <v>1.9E-2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0.98599999999999999</v>
      </c>
      <c r="E132" s="93">
        <v>0.13300000000000001</v>
      </c>
      <c r="F132" s="94">
        <v>0.02</v>
      </c>
      <c r="G132" s="319">
        <v>27.65</v>
      </c>
      <c r="H132" s="319">
        <v>1.1000000000000001</v>
      </c>
      <c r="I132" s="322">
        <v>1.1000000000000001</v>
      </c>
      <c r="J132" s="26">
        <v>1.9E-2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0.98599999999999999</v>
      </c>
      <c r="E133" s="93">
        <v>0.13300000000000001</v>
      </c>
      <c r="F133" s="94">
        <v>0.02</v>
      </c>
      <c r="G133" s="319">
        <v>41.45</v>
      </c>
      <c r="H133" s="319">
        <v>1.1000000000000001</v>
      </c>
      <c r="I133" s="322">
        <v>1.1000000000000001</v>
      </c>
      <c r="J133" s="26">
        <v>1.9E-2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0.98599999999999999</v>
      </c>
      <c r="E134" s="93">
        <v>0.13300000000000001</v>
      </c>
      <c r="F134" s="94">
        <v>0.02</v>
      </c>
      <c r="G134" s="319">
        <v>102.78</v>
      </c>
      <c r="H134" s="319">
        <v>1.1000000000000001</v>
      </c>
      <c r="I134" s="322">
        <v>1.1000000000000001</v>
      </c>
      <c r="J134" s="26">
        <v>1.9E-2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0.88100000000000001</v>
      </c>
      <c r="E135" s="93">
        <v>0.111</v>
      </c>
      <c r="F135" s="94">
        <v>1.7000000000000001E-2</v>
      </c>
      <c r="G135" s="319">
        <v>82</v>
      </c>
      <c r="H135" s="319">
        <v>1.45</v>
      </c>
      <c r="I135" s="322">
        <v>1.45</v>
      </c>
      <c r="J135" s="26">
        <v>1.6E-2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0.88100000000000001</v>
      </c>
      <c r="E136" s="93">
        <v>0.111</v>
      </c>
      <c r="F136" s="94">
        <v>1.7000000000000001E-2</v>
      </c>
      <c r="G136" s="319">
        <v>176.52</v>
      </c>
      <c r="H136" s="319">
        <v>1.45</v>
      </c>
      <c r="I136" s="322">
        <v>1.45</v>
      </c>
      <c r="J136" s="26">
        <v>1.6E-2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0.88100000000000001</v>
      </c>
      <c r="E137" s="93">
        <v>0.111</v>
      </c>
      <c r="F137" s="94">
        <v>1.7000000000000001E-2</v>
      </c>
      <c r="G137" s="319">
        <v>340.87</v>
      </c>
      <c r="H137" s="319">
        <v>1.45</v>
      </c>
      <c r="I137" s="322">
        <v>1.45</v>
      </c>
      <c r="J137" s="26">
        <v>1.6E-2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0.88100000000000001</v>
      </c>
      <c r="E138" s="93">
        <v>0.111</v>
      </c>
      <c r="F138" s="94">
        <v>1.7000000000000001E-2</v>
      </c>
      <c r="G138" s="319">
        <v>544.66</v>
      </c>
      <c r="H138" s="319">
        <v>1.45</v>
      </c>
      <c r="I138" s="322">
        <v>1.45</v>
      </c>
      <c r="J138" s="26">
        <v>1.6E-2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0.88100000000000001</v>
      </c>
      <c r="E139" s="93">
        <v>0.111</v>
      </c>
      <c r="F139" s="94">
        <v>1.7000000000000001E-2</v>
      </c>
      <c r="G139" s="319">
        <v>1341.89</v>
      </c>
      <c r="H139" s="319">
        <v>1.45</v>
      </c>
      <c r="I139" s="322">
        <v>1.45</v>
      </c>
      <c r="J139" s="26">
        <v>1.6E-2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2110</v>
      </c>
      <c r="D140" s="95">
        <v>4.24</v>
      </c>
      <c r="E140" s="96">
        <v>0.23</v>
      </c>
      <c r="F140" s="94">
        <v>6.3E-2</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848</v>
      </c>
      <c r="D141" s="92">
        <v>-1.647</v>
      </c>
      <c r="E141" s="93">
        <v>-0.249</v>
      </c>
      <c r="F141" s="94">
        <v>-3.5000000000000003E-2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-1.6879999999999999</v>
      </c>
      <c r="E142" s="93">
        <v>-0.252</v>
      </c>
      <c r="F142" s="94">
        <v>-3.5999999999999997E-2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-1.647</v>
      </c>
      <c r="E143" s="93">
        <v>-0.249</v>
      </c>
      <c r="F143" s="94">
        <v>-3.5000000000000003E-2</v>
      </c>
      <c r="G143" s="319" t="s">
        <v>840</v>
      </c>
      <c r="H143" s="320" t="s">
        <v>840</v>
      </c>
      <c r="I143" s="321" t="s">
        <v>840</v>
      </c>
      <c r="J143" s="26">
        <v>2.8000000000000001E-2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-1.6879999999999999</v>
      </c>
      <c r="E144" s="93">
        <v>-0.252</v>
      </c>
      <c r="F144" s="94">
        <v>-3.5999999999999997E-2</v>
      </c>
      <c r="G144" s="319" t="s">
        <v>840</v>
      </c>
      <c r="H144" s="320" t="s">
        <v>840</v>
      </c>
      <c r="I144" s="321" t="s">
        <v>840</v>
      </c>
      <c r="J144" s="26">
        <v>3.2000000000000001E-2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-1.7889999999999999</v>
      </c>
      <c r="E145" s="93">
        <v>-0.24199999999999999</v>
      </c>
      <c r="F145" s="94">
        <v>-3.5999999999999997E-2</v>
      </c>
      <c r="G145" s="319">
        <v>32.54</v>
      </c>
      <c r="H145" s="320" t="s">
        <v>840</v>
      </c>
      <c r="I145" s="321" t="s">
        <v>840</v>
      </c>
      <c r="J145" s="26">
        <v>0.05</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0.72399999999999998</v>
      </c>
      <c r="E146" s="93">
        <v>0.11</v>
      </c>
      <c r="F146" s="94">
        <v>1.4999999999999999E-2</v>
      </c>
      <c r="G146" s="319">
        <v>1.1599999999999999</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0.72399999999999998</v>
      </c>
      <c r="E147" s="93">
        <v>0.11</v>
      </c>
      <c r="F147" s="94">
        <v>1.4999999999999999E-2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0.82499999999999996</v>
      </c>
      <c r="E148" s="93">
        <v>0.125</v>
      </c>
      <c r="F148" s="94">
        <v>1.7999999999999999E-2</v>
      </c>
      <c r="G148" s="319">
        <v>0.95</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0.82499999999999996</v>
      </c>
      <c r="E149" s="93">
        <v>0.125</v>
      </c>
      <c r="F149" s="94">
        <v>1.7999999999999999E-2</v>
      </c>
      <c r="G149" s="319">
        <v>1.08</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0.82499999999999996</v>
      </c>
      <c r="E150" s="93">
        <v>0.125</v>
      </c>
      <c r="F150" s="94">
        <v>1.7999999999999999E-2</v>
      </c>
      <c r="G150" s="319">
        <v>1.3</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0.82499999999999996</v>
      </c>
      <c r="E151" s="93">
        <v>0.125</v>
      </c>
      <c r="F151" s="94">
        <v>1.7999999999999999E-2</v>
      </c>
      <c r="G151" s="319">
        <v>1.71</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0.82499999999999996</v>
      </c>
      <c r="E152" s="93">
        <v>0.125</v>
      </c>
      <c r="F152" s="94">
        <v>1.7999999999999999E-2</v>
      </c>
      <c r="G152" s="319">
        <v>3</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0.82499999999999996</v>
      </c>
      <c r="E153" s="93">
        <v>0.125</v>
      </c>
      <c r="F153" s="94">
        <v>1.7999999999999999E-2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0.54900000000000004</v>
      </c>
      <c r="E154" s="93">
        <v>8.1000000000000003E-2</v>
      </c>
      <c r="F154" s="94">
        <v>1.2E-2</v>
      </c>
      <c r="G154" s="319">
        <v>0.98</v>
      </c>
      <c r="H154" s="319">
        <v>0.35</v>
      </c>
      <c r="I154" s="322">
        <v>0.35</v>
      </c>
      <c r="J154" s="26">
        <v>0.01</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0.54900000000000004</v>
      </c>
      <c r="E155" s="93">
        <v>8.1000000000000003E-2</v>
      </c>
      <c r="F155" s="94">
        <v>1.2E-2</v>
      </c>
      <c r="G155" s="319">
        <v>4.4000000000000004</v>
      </c>
      <c r="H155" s="319">
        <v>0.35</v>
      </c>
      <c r="I155" s="322">
        <v>0.35</v>
      </c>
      <c r="J155" s="26">
        <v>0.01</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0.54900000000000004</v>
      </c>
      <c r="E156" s="93">
        <v>8.1000000000000003E-2</v>
      </c>
      <c r="F156" s="94">
        <v>1.2E-2</v>
      </c>
      <c r="G156" s="319">
        <v>8.36</v>
      </c>
      <c r="H156" s="319">
        <v>0.35</v>
      </c>
      <c r="I156" s="322">
        <v>0.35</v>
      </c>
      <c r="J156" s="26">
        <v>0.01</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0.54900000000000004</v>
      </c>
      <c r="E157" s="93">
        <v>8.1000000000000003E-2</v>
      </c>
      <c r="F157" s="94">
        <v>1.2E-2</v>
      </c>
      <c r="G157" s="319">
        <v>12.54</v>
      </c>
      <c r="H157" s="319">
        <v>0.35</v>
      </c>
      <c r="I157" s="322">
        <v>0.35</v>
      </c>
      <c r="J157" s="26">
        <v>0.01</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0.54900000000000004</v>
      </c>
      <c r="E158" s="93">
        <v>8.1000000000000003E-2</v>
      </c>
      <c r="F158" s="94">
        <v>1.2E-2</v>
      </c>
      <c r="G158" s="319">
        <v>31.09</v>
      </c>
      <c r="H158" s="319">
        <v>0.35</v>
      </c>
      <c r="I158" s="322">
        <v>0.35</v>
      </c>
      <c r="J158" s="26">
        <v>0.01</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0.501</v>
      </c>
      <c r="E159" s="93">
        <v>6.8000000000000005E-2</v>
      </c>
      <c r="F159" s="94">
        <v>0.01</v>
      </c>
      <c r="G159" s="319">
        <v>1.65</v>
      </c>
      <c r="H159" s="319">
        <v>0.56000000000000005</v>
      </c>
      <c r="I159" s="322">
        <v>0.56000000000000005</v>
      </c>
      <c r="J159" s="26">
        <v>8.9999999999999993E-3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0.501</v>
      </c>
      <c r="E160" s="93">
        <v>6.8000000000000005E-2</v>
      </c>
      <c r="F160" s="94">
        <v>0.01</v>
      </c>
      <c r="G160" s="319">
        <v>7.4</v>
      </c>
      <c r="H160" s="319">
        <v>0.56000000000000005</v>
      </c>
      <c r="I160" s="322">
        <v>0.56000000000000005</v>
      </c>
      <c r="J160" s="26">
        <v>8.9999999999999993E-3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0.501</v>
      </c>
      <c r="E161" s="93">
        <v>6.8000000000000005E-2</v>
      </c>
      <c r="F161" s="94">
        <v>0.01</v>
      </c>
      <c r="G161" s="319">
        <v>14.06</v>
      </c>
      <c r="H161" s="319">
        <v>0.56000000000000005</v>
      </c>
      <c r="I161" s="322">
        <v>0.56000000000000005</v>
      </c>
      <c r="J161" s="26">
        <v>8.9999999999999993E-3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0.501</v>
      </c>
      <c r="E162" s="93">
        <v>6.8000000000000005E-2</v>
      </c>
      <c r="F162" s="94">
        <v>0.01</v>
      </c>
      <c r="G162" s="319">
        <v>21.07</v>
      </c>
      <c r="H162" s="319">
        <v>0.56000000000000005</v>
      </c>
      <c r="I162" s="322">
        <v>0.56000000000000005</v>
      </c>
      <c r="J162" s="26">
        <v>8.9999999999999993E-3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0.501</v>
      </c>
      <c r="E163" s="93">
        <v>6.8000000000000005E-2</v>
      </c>
      <c r="F163" s="94">
        <v>0.01</v>
      </c>
      <c r="G163" s="319">
        <v>52.25</v>
      </c>
      <c r="H163" s="319">
        <v>0.56000000000000005</v>
      </c>
      <c r="I163" s="322">
        <v>0.56000000000000005</v>
      </c>
      <c r="J163" s="26">
        <v>8.9999999999999993E-3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0.44800000000000001</v>
      </c>
      <c r="E164" s="93">
        <v>5.6000000000000001E-2</v>
      </c>
      <c r="F164" s="94">
        <v>8.9999999999999993E-3</v>
      </c>
      <c r="G164" s="319">
        <v>41.69</v>
      </c>
      <c r="H164" s="319">
        <v>0.74</v>
      </c>
      <c r="I164" s="322">
        <v>0.74</v>
      </c>
      <c r="J164" s="26">
        <v>8.0000000000000002E-3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0.44800000000000001</v>
      </c>
      <c r="E165" s="93">
        <v>5.6000000000000001E-2</v>
      </c>
      <c r="F165" s="94">
        <v>8.9999999999999993E-3</v>
      </c>
      <c r="G165" s="319">
        <v>89.74</v>
      </c>
      <c r="H165" s="319">
        <v>0.74</v>
      </c>
      <c r="I165" s="322">
        <v>0.74</v>
      </c>
      <c r="J165" s="26">
        <v>8.0000000000000002E-3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0.44800000000000001</v>
      </c>
      <c r="E166" s="93">
        <v>5.6000000000000001E-2</v>
      </c>
      <c r="F166" s="94">
        <v>8.9999999999999993E-3</v>
      </c>
      <c r="G166" s="319">
        <v>173.29</v>
      </c>
      <c r="H166" s="319">
        <v>0.74</v>
      </c>
      <c r="I166" s="322">
        <v>0.74</v>
      </c>
      <c r="J166" s="26">
        <v>8.0000000000000002E-3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0.44800000000000001</v>
      </c>
      <c r="E167" s="93">
        <v>5.6000000000000001E-2</v>
      </c>
      <c r="F167" s="94">
        <v>8.9999999999999993E-3</v>
      </c>
      <c r="G167" s="319">
        <v>276.89999999999998</v>
      </c>
      <c r="H167" s="319">
        <v>0.74</v>
      </c>
      <c r="I167" s="322">
        <v>0.74</v>
      </c>
      <c r="J167" s="26">
        <v>8.0000000000000002E-3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0.44800000000000001</v>
      </c>
      <c r="E168" s="93">
        <v>5.6000000000000001E-2</v>
      </c>
      <c r="F168" s="94">
        <v>8.9999999999999993E-3</v>
      </c>
      <c r="G168" s="319">
        <v>682.2</v>
      </c>
      <c r="H168" s="319">
        <v>0.74</v>
      </c>
      <c r="I168" s="322">
        <v>0.74</v>
      </c>
      <c r="J168" s="26">
        <v>8.0000000000000002E-3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2110</v>
      </c>
      <c r="D169" s="95">
        <v>2.1560000000000001</v>
      </c>
      <c r="E169" s="96">
        <v>0.11700000000000001</v>
      </c>
      <c r="F169" s="94">
        <v>3.2000000000000001E-2</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848</v>
      </c>
      <c r="D170" s="92">
        <v>-0.83699999999999997</v>
      </c>
      <c r="E170" s="93">
        <v>-0.127</v>
      </c>
      <c r="F170" s="94">
        <v>-1.7999999999999999E-2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-0.85799999999999998</v>
      </c>
      <c r="E171" s="93">
        <v>-0.128</v>
      </c>
      <c r="F171" s="94">
        <v>-1.7999999999999999E-2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-0.83699999999999997</v>
      </c>
      <c r="E172" s="93">
        <v>-0.127</v>
      </c>
      <c r="F172" s="94">
        <v>-1.7999999999999999E-2</v>
      </c>
      <c r="G172" s="319" t="s">
        <v>840</v>
      </c>
      <c r="H172" s="320" t="s">
        <v>840</v>
      </c>
      <c r="I172" s="321" t="s">
        <v>840</v>
      </c>
      <c r="J172" s="26">
        <v>1.4E-2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-0.85799999999999998</v>
      </c>
      <c r="E173" s="93">
        <v>-0.128</v>
      </c>
      <c r="F173" s="94">
        <v>-1.7999999999999999E-2</v>
      </c>
      <c r="G173" s="319" t="s">
        <v>840</v>
      </c>
      <c r="H173" s="320" t="s">
        <v>840</v>
      </c>
      <c r="I173" s="321" t="s">
        <v>840</v>
      </c>
      <c r="J173" s="26">
        <v>1.6E-2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-0.91</v>
      </c>
      <c r="E174" s="93">
        <v>-0.123</v>
      </c>
      <c r="F174" s="94">
        <v>-1.7999999999999999E-2</v>
      </c>
      <c r="G174" s="319">
        <v>16.54</v>
      </c>
      <c r="H174" s="320" t="s">
        <v>840</v>
      </c>
      <c r="I174" s="321" t="s">
        <v>840</v>
      </c>
      <c r="J174" s="26">
        <v>2.5000000000000001E-2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0.22800000000000001</v>
      </c>
      <c r="E175" s="93">
        <v>3.4000000000000002E-2</v>
      </c>
      <c r="F175" s="94">
        <v>5.0000000000000001E-3</v>
      </c>
      <c r="G175" s="319">
        <v>0.36</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0.22800000000000001</v>
      </c>
      <c r="E176" s="93">
        <v>3.4000000000000002E-2</v>
      </c>
      <c r="F176" s="94">
        <v>5.0000000000000001E-3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0.26</v>
      </c>
      <c r="E177" s="93">
        <v>3.9E-2</v>
      </c>
      <c r="F177" s="94">
        <v>6.0000000000000001E-3</v>
      </c>
      <c r="G177" s="319">
        <v>0.3</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0.26</v>
      </c>
      <c r="E178" s="93">
        <v>3.9E-2</v>
      </c>
      <c r="F178" s="94">
        <v>6.0000000000000001E-3</v>
      </c>
      <c r="G178" s="319">
        <v>0.34</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0.26</v>
      </c>
      <c r="E179" s="93">
        <v>3.9E-2</v>
      </c>
      <c r="F179" s="94">
        <v>6.0000000000000001E-3</v>
      </c>
      <c r="G179" s="319">
        <v>0.41</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0.26</v>
      </c>
      <c r="E180" s="93">
        <v>3.9E-2</v>
      </c>
      <c r="F180" s="94">
        <v>6.0000000000000001E-3</v>
      </c>
      <c r="G180" s="319">
        <v>0.54</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0.26</v>
      </c>
      <c r="E181" s="93">
        <v>3.9E-2</v>
      </c>
      <c r="F181" s="94">
        <v>6.0000000000000001E-3</v>
      </c>
      <c r="G181" s="319">
        <v>0.94</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0.26</v>
      </c>
      <c r="E182" s="93">
        <v>3.9E-2</v>
      </c>
      <c r="F182" s="94">
        <v>6.0000000000000001E-3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0.17299999999999999</v>
      </c>
      <c r="E183" s="93">
        <v>2.5000000000000001E-2</v>
      </c>
      <c r="F183" s="94">
        <v>4.0000000000000001E-3</v>
      </c>
      <c r="G183" s="319">
        <v>0.31</v>
      </c>
      <c r="H183" s="319">
        <v>0.11</v>
      </c>
      <c r="I183" s="322">
        <v>0.11</v>
      </c>
      <c r="J183" s="26">
        <v>3.0000000000000001E-3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0.17299999999999999</v>
      </c>
      <c r="E184" s="93">
        <v>2.5000000000000001E-2</v>
      </c>
      <c r="F184" s="94">
        <v>4.0000000000000001E-3</v>
      </c>
      <c r="G184" s="319">
        <v>1.39</v>
      </c>
      <c r="H184" s="319">
        <v>0.11</v>
      </c>
      <c r="I184" s="322">
        <v>0.11</v>
      </c>
      <c r="J184" s="26">
        <v>3.0000000000000001E-3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0.17299999999999999</v>
      </c>
      <c r="E185" s="93">
        <v>2.5000000000000001E-2</v>
      </c>
      <c r="F185" s="94">
        <v>4.0000000000000001E-3</v>
      </c>
      <c r="G185" s="319">
        <v>2.63</v>
      </c>
      <c r="H185" s="319">
        <v>0.11</v>
      </c>
      <c r="I185" s="322">
        <v>0.11</v>
      </c>
      <c r="J185" s="26">
        <v>3.0000000000000001E-3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0.17299999999999999</v>
      </c>
      <c r="E186" s="93">
        <v>2.5000000000000001E-2</v>
      </c>
      <c r="F186" s="94">
        <v>4.0000000000000001E-3</v>
      </c>
      <c r="G186" s="319">
        <v>3.94</v>
      </c>
      <c r="H186" s="319">
        <v>0.11</v>
      </c>
      <c r="I186" s="322">
        <v>0.11</v>
      </c>
      <c r="J186" s="26">
        <v>3.0000000000000001E-3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0.17299999999999999</v>
      </c>
      <c r="E187" s="93">
        <v>2.5000000000000001E-2</v>
      </c>
      <c r="F187" s="94">
        <v>4.0000000000000001E-3</v>
      </c>
      <c r="G187" s="319">
        <v>9.7799999999999994</v>
      </c>
      <c r="H187" s="319">
        <v>0.11</v>
      </c>
      <c r="I187" s="322">
        <v>0.11</v>
      </c>
      <c r="J187" s="26">
        <v>3.0000000000000001E-3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0.158</v>
      </c>
      <c r="E188" s="93">
        <v>2.1000000000000001E-2</v>
      </c>
      <c r="F188" s="94">
        <v>3.0000000000000001E-3</v>
      </c>
      <c r="G188" s="319">
        <v>0.52</v>
      </c>
      <c r="H188" s="319">
        <v>0.18</v>
      </c>
      <c r="I188" s="322">
        <v>0.18</v>
      </c>
      <c r="J188" s="26">
        <v>3.0000000000000001E-3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0.158</v>
      </c>
      <c r="E189" s="93">
        <v>2.1000000000000001E-2</v>
      </c>
      <c r="F189" s="94">
        <v>3.0000000000000001E-3</v>
      </c>
      <c r="G189" s="319">
        <v>2.33</v>
      </c>
      <c r="H189" s="319">
        <v>0.18</v>
      </c>
      <c r="I189" s="322">
        <v>0.18</v>
      </c>
      <c r="J189" s="26">
        <v>3.0000000000000001E-3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0.158</v>
      </c>
      <c r="E190" s="93">
        <v>2.1000000000000001E-2</v>
      </c>
      <c r="F190" s="94">
        <v>3.0000000000000001E-3</v>
      </c>
      <c r="G190" s="319">
        <v>4.42</v>
      </c>
      <c r="H190" s="319">
        <v>0.18</v>
      </c>
      <c r="I190" s="322">
        <v>0.18</v>
      </c>
      <c r="J190" s="26">
        <v>3.0000000000000001E-3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0.158</v>
      </c>
      <c r="E191" s="93">
        <v>2.1000000000000001E-2</v>
      </c>
      <c r="F191" s="94">
        <v>3.0000000000000001E-3</v>
      </c>
      <c r="G191" s="319">
        <v>6.63</v>
      </c>
      <c r="H191" s="319">
        <v>0.18</v>
      </c>
      <c r="I191" s="322">
        <v>0.18</v>
      </c>
      <c r="J191" s="26">
        <v>3.0000000000000001E-3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0.158</v>
      </c>
      <c r="E192" s="93">
        <v>2.1000000000000001E-2</v>
      </c>
      <c r="F192" s="94">
        <v>3.0000000000000001E-3</v>
      </c>
      <c r="G192" s="319">
        <v>16.440000000000001</v>
      </c>
      <c r="H192" s="319">
        <v>0.18</v>
      </c>
      <c r="I192" s="322">
        <v>0.18</v>
      </c>
      <c r="J192" s="26">
        <v>3.0000000000000001E-3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0.14099999999999999</v>
      </c>
      <c r="E193" s="93">
        <v>1.7999999999999999E-2</v>
      </c>
      <c r="F193" s="94">
        <v>3.0000000000000001E-3</v>
      </c>
      <c r="G193" s="319">
        <v>13.12</v>
      </c>
      <c r="H193" s="319">
        <v>0.23</v>
      </c>
      <c r="I193" s="322">
        <v>0.23</v>
      </c>
      <c r="J193" s="26">
        <v>3.0000000000000001E-3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0.14099999999999999</v>
      </c>
      <c r="E194" s="93">
        <v>1.7999999999999999E-2</v>
      </c>
      <c r="F194" s="94">
        <v>3.0000000000000001E-3</v>
      </c>
      <c r="G194" s="319">
        <v>28.24</v>
      </c>
      <c r="H194" s="319">
        <v>0.23</v>
      </c>
      <c r="I194" s="322">
        <v>0.23</v>
      </c>
      <c r="J194" s="26">
        <v>3.0000000000000001E-3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0.14099999999999999</v>
      </c>
      <c r="E195" s="93">
        <v>1.7999999999999999E-2</v>
      </c>
      <c r="F195" s="94">
        <v>3.0000000000000001E-3</v>
      </c>
      <c r="G195" s="319">
        <v>54.53</v>
      </c>
      <c r="H195" s="319">
        <v>0.23</v>
      </c>
      <c r="I195" s="322">
        <v>0.23</v>
      </c>
      <c r="J195" s="26">
        <v>3.0000000000000001E-3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0.14099999999999999</v>
      </c>
      <c r="E196" s="93">
        <v>1.7999999999999999E-2</v>
      </c>
      <c r="F196" s="94">
        <v>3.0000000000000001E-3</v>
      </c>
      <c r="G196" s="319">
        <v>87.12</v>
      </c>
      <c r="H196" s="319">
        <v>0.23</v>
      </c>
      <c r="I196" s="322">
        <v>0.23</v>
      </c>
      <c r="J196" s="26">
        <v>3.0000000000000001E-3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0.14099999999999999</v>
      </c>
      <c r="E197" s="93">
        <v>1.7999999999999999E-2</v>
      </c>
      <c r="F197" s="94">
        <v>3.0000000000000001E-3</v>
      </c>
      <c r="G197" s="319">
        <v>214.65</v>
      </c>
      <c r="H197" s="319">
        <v>0.23</v>
      </c>
      <c r="I197" s="322">
        <v>0.23</v>
      </c>
      <c r="J197" s="26">
        <v>3.0000000000000001E-3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2110</v>
      </c>
      <c r="D198" s="95">
        <v>0.67800000000000005</v>
      </c>
      <c r="E198" s="96">
        <v>3.6999999999999998E-2</v>
      </c>
      <c r="F198" s="94">
        <v>0.01</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848</v>
      </c>
      <c r="D199" s="92">
        <v>-0.26300000000000001</v>
      </c>
      <c r="E199" s="93">
        <v>-0.04</v>
      </c>
      <c r="F199" s="94">
        <v>-6.0000000000000001E-3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-0.27</v>
      </c>
      <c r="E200" s="93">
        <v>-0.04</v>
      </c>
      <c r="F200" s="94">
        <v>-6.0000000000000001E-3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-0.26300000000000001</v>
      </c>
      <c r="E201" s="93">
        <v>-0.04</v>
      </c>
      <c r="F201" s="94">
        <v>-6.0000000000000001E-3</v>
      </c>
      <c r="G201" s="319" t="s">
        <v>840</v>
      </c>
      <c r="H201" s="320" t="s">
        <v>840</v>
      </c>
      <c r="I201" s="321" t="s">
        <v>840</v>
      </c>
      <c r="J201" s="26">
        <v>4.0000000000000001E-3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-0.27</v>
      </c>
      <c r="E202" s="93">
        <v>-0.04</v>
      </c>
      <c r="F202" s="94">
        <v>-6.0000000000000001E-3</v>
      </c>
      <c r="G202" s="319" t="s">
        <v>840</v>
      </c>
      <c r="H202" s="320" t="s">
        <v>840</v>
      </c>
      <c r="I202" s="321" t="s">
        <v>840</v>
      </c>
      <c r="J202" s="26">
        <v>5.0000000000000001E-3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-0.28599999999999998</v>
      </c>
      <c r="E203" s="93">
        <v>-3.9E-2</v>
      </c>
      <c r="F203" s="94">
        <v>-6.0000000000000001E-3</v>
      </c>
      <c r="G203" s="319">
        <v>5.21</v>
      </c>
      <c r="H203" s="320" t="s">
        <v>840</v>
      </c>
      <c r="I203" s="321" t="s">
        <v>840</v>
      </c>
      <c r="J203" s="26">
        <v>8.0000000000000002E-3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58" priority="2" operator="equal">
      <formula>0</formula>
    </cfRule>
    <cfRule type="cellIs" dxfId="57" priority="3" operator="lessThan">
      <formula>0</formula>
    </cfRule>
    <cfRule type="cellIs" dxfId="56" priority="4" operator="greaterThan">
      <formula>0</formula>
    </cfRule>
  </conditionalFormatting>
  <conditionalFormatting sqref="K14:R203">
    <cfRule type="expression" dxfId="55" priority="1">
      <formula>$K14&lt;&gt;""</formula>
    </cfRule>
  </conditionalFormatting>
  <hyperlinks>
    <hyperlink ref="A1" location="Overview!A1" display="Back to Overview" xr:uid="{D13A7029-4632-4293-B5DC-BE6B739F933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8" ht="27.75" customHeight="1" x14ac:dyDescent="0.2">
      <c r="A1" s="32" t="s">
        <v>19</v>
      </c>
      <c r="B1" s="3"/>
      <c r="C1" s="3"/>
      <c r="D1" s="3"/>
      <c r="F1" s="3"/>
      <c r="G1" s="3"/>
      <c r="H1" s="3"/>
      <c r="I1" s="3"/>
      <c r="J1" s="1"/>
    </row>
    <row r="2" spans="1:18" ht="31.5" customHeight="1" x14ac:dyDescent="0.2">
      <c r="A2" s="468" t="str">
        <f>Overview!B4&amp;" - Effective from "&amp;TEXT(Overview!$D$4,"d mmmm yyyy")&amp;" - Final LDNO tariffs in Electricity North West Area (GSP Group_G)"</f>
        <v>Leep Electricity Networks Limited - Effective from 1 April 2026 - Final LDNO tariffs in Electricity North West Area (GSP Group_G)</v>
      </c>
      <c r="B2" s="468"/>
      <c r="C2" s="468"/>
      <c r="D2" s="468"/>
      <c r="E2" s="468"/>
      <c r="F2" s="468"/>
      <c r="G2" s="468"/>
      <c r="H2" s="468"/>
      <c r="I2" s="468"/>
      <c r="J2" s="468"/>
    </row>
    <row r="3" spans="1:18" ht="8.25" customHeight="1" x14ac:dyDescent="0.2">
      <c r="A3" s="47"/>
      <c r="B3" s="47"/>
      <c r="C3" s="47"/>
      <c r="D3" s="47"/>
      <c r="E3" s="47"/>
      <c r="F3" s="47"/>
      <c r="G3" s="47"/>
      <c r="H3" s="47"/>
      <c r="I3" s="47"/>
      <c r="J3" s="47"/>
    </row>
    <row r="4" spans="1:18" ht="27" customHeight="1" x14ac:dyDescent="0.2">
      <c r="A4" s="382" t="s">
        <v>308</v>
      </c>
      <c r="B4" s="383"/>
      <c r="C4" s="383"/>
      <c r="D4" s="384"/>
      <c r="E4" s="51"/>
      <c r="F4" s="382" t="s">
        <v>307</v>
      </c>
      <c r="G4" s="383"/>
      <c r="H4" s="383"/>
      <c r="I4" s="383"/>
      <c r="J4" s="384"/>
      <c r="K4" s="3"/>
      <c r="L4" s="395"/>
      <c r="M4" s="396"/>
      <c r="N4" s="396"/>
      <c r="O4" s="396"/>
      <c r="P4" s="396"/>
      <c r="Q4" s="396"/>
      <c r="R4" s="397"/>
    </row>
    <row r="5" spans="1:18" ht="32.25" customHeight="1" x14ac:dyDescent="0.2">
      <c r="A5" s="40" t="s">
        <v>13</v>
      </c>
      <c r="B5" s="258" t="s">
        <v>299</v>
      </c>
      <c r="C5" s="271" t="s">
        <v>300</v>
      </c>
      <c r="D5" s="42" t="s">
        <v>301</v>
      </c>
      <c r="E5" s="46"/>
      <c r="F5" s="368"/>
      <c r="G5" s="369"/>
      <c r="H5" s="44" t="s">
        <v>305</v>
      </c>
      <c r="I5" s="45" t="s">
        <v>306</v>
      </c>
      <c r="J5" s="42" t="s">
        <v>301</v>
      </c>
      <c r="K5" s="3"/>
      <c r="L5" s="396"/>
      <c r="M5" s="396"/>
      <c r="N5" s="396"/>
      <c r="O5" s="396"/>
      <c r="P5" s="396"/>
      <c r="Q5" s="396"/>
      <c r="R5" s="397"/>
    </row>
    <row r="6" spans="1:18" ht="56.25" customHeight="1" x14ac:dyDescent="0.2">
      <c r="A6" s="43" t="str">
        <f>'Annex 1 LV and HV charges_G'!A6</f>
        <v>Monday to Friday 
(Including Bank Holidays)
All Year</v>
      </c>
      <c r="B6" s="250" t="str">
        <f>'Annex 1 LV and HV charges_G'!B6</f>
        <v>16:00 to 19:00</v>
      </c>
      <c r="C6" s="250" t="str">
        <f>'Annex 1 LV and HV charges_G'!C6</f>
        <v>09:00 to 16:00
19:00 to 20:30</v>
      </c>
      <c r="D6" s="250" t="str">
        <f>'Annex 1 LV and HV charges_G'!E6</f>
        <v>00.00 - 09.00
20.30 - 24.00</v>
      </c>
      <c r="E6" s="46"/>
      <c r="F6" s="400" t="str">
        <f>'Annex 1 LV and HV charges_G'!G6</f>
        <v>Monday to Friday 
(Including Bank Holidays)
March to October Inclusive</v>
      </c>
      <c r="G6" s="401">
        <f>'Annex 1 LV and HV charges_G'!H6</f>
        <v>0</v>
      </c>
      <c r="H6" s="252" t="str">
        <f>'Annex 1 LV and HV charges_G'!I6</f>
        <v/>
      </c>
      <c r="I6" s="250" t="str">
        <f>'Annex 1 LV and HV charges_G'!J6</f>
        <v>09.00 - 20.30</v>
      </c>
      <c r="J6" s="97" t="str">
        <f>'Annex 1 LV and HV charges_G'!K6</f>
        <v>00.00 - 09.00
20.30 - 24.00</v>
      </c>
      <c r="K6" s="3"/>
      <c r="L6" s="3"/>
    </row>
    <row r="7" spans="1:18" ht="56.25" customHeight="1" x14ac:dyDescent="0.2">
      <c r="A7" s="43" t="str">
        <f>'Annex 1 LV and HV charges_G'!A7</f>
        <v>Saturday and Sunday
All Year</v>
      </c>
      <c r="B7" s="252" t="str">
        <f>'Annex 1 LV and HV charges_G'!B7</f>
        <v/>
      </c>
      <c r="C7" s="250" t="str">
        <f>'Annex 1 LV and HV charges_G'!C7</f>
        <v>16:00 to 19:00</v>
      </c>
      <c r="D7" s="250" t="str">
        <f>'Annex 1 LV and HV charges_G'!E7</f>
        <v>00.00 - 16.00
19.00 - 24.00</v>
      </c>
      <c r="E7" s="46"/>
      <c r="F7" s="400" t="str">
        <f>'Annex 1 LV and HV charges_G'!G7</f>
        <v>Monday to Friday 
(Including Bank Holidays)
November to February Inclusive</v>
      </c>
      <c r="G7" s="401">
        <f>'Annex 1 LV and HV charges_G'!H7</f>
        <v>0</v>
      </c>
      <c r="H7" s="13" t="str">
        <f>'Annex 1 LV and HV charges_G'!I7</f>
        <v>16:00 to 19:00</v>
      </c>
      <c r="I7" s="250" t="str">
        <f>'Annex 1 LV and HV charges_G'!J7</f>
        <v>09:00 - 16.00
19.00 - 20.30</v>
      </c>
      <c r="J7" s="97" t="str">
        <f>'Annex 1 LV and HV charges_G'!K7</f>
        <v>00.00 - 09.00
20.30 - 24.00</v>
      </c>
      <c r="K7" s="3"/>
      <c r="L7" s="3"/>
    </row>
    <row r="8" spans="1:18" ht="55.5" customHeight="1" x14ac:dyDescent="0.2">
      <c r="A8" s="259" t="str">
        <f>'Annex 1 LV and HV charges_G'!A8</f>
        <v>Notes</v>
      </c>
      <c r="B8" s="389" t="str">
        <f>'Annex 1 LV and HV charges_G'!B8</f>
        <v>All the above times are in UK Clock time</v>
      </c>
      <c r="C8" s="390">
        <f>'Annex 1 LV and HV charges_G'!C8</f>
        <v>0</v>
      </c>
      <c r="D8" s="391">
        <f>'Annex 1 LV and HV charges_G'!D8</f>
        <v>0</v>
      </c>
      <c r="E8" s="46"/>
      <c r="F8" s="400" t="str">
        <f>'Annex 1 LV and HV charges_G'!G8</f>
        <v>Saturday and Sunday
All year</v>
      </c>
      <c r="G8" s="401">
        <f>'Annex 1 LV and HV charges_G'!H8</f>
        <v>0</v>
      </c>
      <c r="H8" s="252" t="str">
        <f>'Annex 1 LV and HV charges_G'!I8</f>
        <v/>
      </c>
      <c r="I8" s="13" t="str">
        <f>'Annex 1 LV and HV charges_G'!J8</f>
        <v>16:00 to 19:00</v>
      </c>
      <c r="J8" s="97" t="str">
        <f>'Annex 1 LV and HV charges_G'!K8</f>
        <v>00.00 - 16.00
19.00 - 24.00</v>
      </c>
      <c r="K8" s="3"/>
      <c r="L8" s="3"/>
    </row>
    <row r="9" spans="1:18" s="41" customFormat="1" ht="18" x14ac:dyDescent="0.2">
      <c r="B9" s="46"/>
      <c r="C9" s="46"/>
      <c r="D9" s="46"/>
      <c r="E9" s="48"/>
      <c r="F9" s="400" t="str">
        <f>'Annex 1 LV and HV charges_G'!G9</f>
        <v>Notes</v>
      </c>
      <c r="G9" s="401">
        <f>'Annex 1 LV and HV charges_G'!H9</f>
        <v>0</v>
      </c>
      <c r="H9" s="402" t="str">
        <f>'Annex 1 LV and HV charges_G'!I9</f>
        <v>All the above times are in UK Clock time</v>
      </c>
      <c r="I9" s="403" t="str">
        <f>'Annex 1 LV and HV charges_G'!J9</f>
        <v/>
      </c>
      <c r="J9" s="404" t="str">
        <f>'Annex 1 LV and HV charges_G'!K9</f>
        <v/>
      </c>
      <c r="K9" s="31"/>
    </row>
    <row r="10" spans="1:18" s="41" customFormat="1" ht="12" customHeight="1" x14ac:dyDescent="0.2">
      <c r="A10" s="46"/>
      <c r="B10" s="46"/>
      <c r="C10" s="46"/>
      <c r="D10" s="46"/>
      <c r="E10" s="46"/>
      <c r="F10" s="49"/>
      <c r="G10" s="49"/>
      <c r="H10" s="50"/>
      <c r="I10" s="50"/>
      <c r="J10" s="50"/>
      <c r="K10" s="31"/>
    </row>
    <row r="11" spans="1:18" s="41" customFormat="1" ht="12" customHeight="1" x14ac:dyDescent="0.2">
      <c r="A11" s="46"/>
      <c r="B11" s="46"/>
      <c r="C11" s="46"/>
      <c r="D11" s="46"/>
      <c r="E11" s="46"/>
      <c r="F11" s="49"/>
      <c r="G11" s="49"/>
      <c r="H11" s="50"/>
      <c r="I11" s="50"/>
      <c r="J11" s="50"/>
      <c r="K11" s="31"/>
    </row>
    <row r="12" spans="1:18" s="41" customFormat="1" ht="12" customHeight="1" x14ac:dyDescent="0.2">
      <c r="A12" s="46"/>
      <c r="B12" s="46"/>
      <c r="C12" s="46"/>
      <c r="D12" s="46"/>
      <c r="E12" s="46"/>
      <c r="F12" s="49"/>
      <c r="G12" s="49"/>
      <c r="H12" s="50"/>
      <c r="I12" s="50"/>
      <c r="J12" s="50"/>
      <c r="K12" s="31"/>
    </row>
    <row r="13" spans="1:18" ht="66" customHeight="1" x14ac:dyDescent="0.2">
      <c r="A13" s="19" t="s">
        <v>458</v>
      </c>
      <c r="B13" s="19" t="s">
        <v>31</v>
      </c>
      <c r="C13" s="16" t="s">
        <v>24</v>
      </c>
      <c r="D13" s="16" t="s">
        <v>577</v>
      </c>
      <c r="E13" s="16" t="s">
        <v>578</v>
      </c>
      <c r="F13" s="16" t="s">
        <v>579</v>
      </c>
      <c r="G13" s="16" t="s">
        <v>25</v>
      </c>
      <c r="H13" s="16" t="s">
        <v>26</v>
      </c>
      <c r="I13" s="16" t="s">
        <v>459</v>
      </c>
      <c r="J13" s="16" t="s">
        <v>270</v>
      </c>
    </row>
    <row r="14" spans="1:18" ht="27" customHeight="1" x14ac:dyDescent="0.2">
      <c r="A14" s="324" t="s">
        <v>779</v>
      </c>
      <c r="B14" s="25"/>
      <c r="C14" s="326" t="s">
        <v>2116</v>
      </c>
      <c r="D14" s="92">
        <v>10.263999999999999</v>
      </c>
      <c r="E14" s="93">
        <v>1.6240000000000001</v>
      </c>
      <c r="F14" s="94">
        <v>9.5000000000000001E-2</v>
      </c>
      <c r="G14" s="319">
        <v>1.83</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8" ht="27" customHeight="1" x14ac:dyDescent="0.2">
      <c r="A15" s="324" t="s">
        <v>642</v>
      </c>
      <c r="B15" s="25"/>
      <c r="C15" s="326">
        <v>2</v>
      </c>
      <c r="D15" s="92">
        <v>10.263999999999999</v>
      </c>
      <c r="E15" s="93">
        <v>1.6240000000000001</v>
      </c>
      <c r="F15" s="94">
        <v>9.5000000000000001E-2</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8" ht="27" customHeight="1" x14ac:dyDescent="0.2">
      <c r="A16" s="324" t="s">
        <v>786</v>
      </c>
      <c r="B16" s="25"/>
      <c r="C16" s="326" t="s">
        <v>2117</v>
      </c>
      <c r="D16" s="92">
        <v>9.8409999999999993</v>
      </c>
      <c r="E16" s="93">
        <v>1.5569999999999999</v>
      </c>
      <c r="F16" s="94">
        <v>9.0999999999999998E-2</v>
      </c>
      <c r="G16" s="319">
        <v>5.7</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2117</v>
      </c>
      <c r="D17" s="92">
        <v>9.8409999999999993</v>
      </c>
      <c r="E17" s="93">
        <v>1.5569999999999999</v>
      </c>
      <c r="F17" s="94">
        <v>9.0999999999999998E-2</v>
      </c>
      <c r="G17" s="319" t="s">
        <v>840</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2117</v>
      </c>
      <c r="D18" s="92">
        <v>9.6029999999999998</v>
      </c>
      <c r="E18" s="93">
        <v>1.32</v>
      </c>
      <c r="F18" s="94" t="s">
        <v>840</v>
      </c>
      <c r="G18" s="319" t="s">
        <v>840</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2117</v>
      </c>
      <c r="D19" s="92">
        <v>9.2959999999999994</v>
      </c>
      <c r="E19" s="93">
        <v>1.0129999999999999</v>
      </c>
      <c r="F19" s="94" t="s">
        <v>840</v>
      </c>
      <c r="G19" s="319" t="s">
        <v>840</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2117</v>
      </c>
      <c r="D20" s="92">
        <v>9.1029999999999998</v>
      </c>
      <c r="E20" s="93">
        <v>0.82</v>
      </c>
      <c r="F20" s="94" t="s">
        <v>840</v>
      </c>
      <c r="G20" s="319" t="s">
        <v>840</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9.8409999999999993</v>
      </c>
      <c r="E21" s="93">
        <v>1.5569999999999999</v>
      </c>
      <c r="F21" s="94">
        <v>9.0999999999999998E-2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5.9640000000000004</v>
      </c>
      <c r="E22" s="93">
        <v>0.88200000000000001</v>
      </c>
      <c r="F22" s="94">
        <v>5.2999999999999999E-2</v>
      </c>
      <c r="G22" s="319">
        <v>20.079999999999998</v>
      </c>
      <c r="H22" s="319">
        <v>4.3899999999999997</v>
      </c>
      <c r="I22" s="322">
        <v>4.3899999999999997</v>
      </c>
      <c r="J22" s="26">
        <v>0.109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4.96</v>
      </c>
      <c r="E23" s="93">
        <v>0.26900000000000002</v>
      </c>
      <c r="F23" s="94">
        <v>1.4999999999999999E-2</v>
      </c>
      <c r="G23" s="319" t="s">
        <v>840</v>
      </c>
      <c r="H23" s="319">
        <v>4.3899999999999997</v>
      </c>
      <c r="I23" s="322">
        <v>4.3899999999999997</v>
      </c>
      <c r="J23" s="26">
        <v>0.109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4.6340000000000003</v>
      </c>
      <c r="E24" s="93">
        <v>0.26900000000000002</v>
      </c>
      <c r="F24" s="94">
        <v>1.4999999999999999E-2</v>
      </c>
      <c r="G24" s="319" t="s">
        <v>840</v>
      </c>
      <c r="H24" s="319">
        <v>4.3899999999999997</v>
      </c>
      <c r="I24" s="322">
        <v>4.3899999999999997</v>
      </c>
      <c r="J24" s="26">
        <v>0.109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4.3650000000000002</v>
      </c>
      <c r="E25" s="93">
        <v>0.26900000000000002</v>
      </c>
      <c r="F25" s="94">
        <v>1.4999999999999999E-2</v>
      </c>
      <c r="G25" s="319" t="s">
        <v>840</v>
      </c>
      <c r="H25" s="319">
        <v>4.3899999999999997</v>
      </c>
      <c r="I25" s="322">
        <v>4.3899999999999997</v>
      </c>
      <c r="J25" s="26">
        <v>0.109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4.1420000000000003</v>
      </c>
      <c r="E26" s="93">
        <v>0.26900000000000002</v>
      </c>
      <c r="F26" s="94">
        <v>1.4999999999999999E-2</v>
      </c>
      <c r="G26" s="319" t="s">
        <v>840</v>
      </c>
      <c r="H26" s="319">
        <v>4.3899999999999997</v>
      </c>
      <c r="I26" s="322">
        <v>4.3899999999999997</v>
      </c>
      <c r="J26" s="26">
        <v>0.109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847</v>
      </c>
      <c r="D27" s="95">
        <v>30.652999999999999</v>
      </c>
      <c r="E27" s="96">
        <v>3.3620000000000001</v>
      </c>
      <c r="F27" s="94">
        <v>2.1179999999999999</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2118</v>
      </c>
      <c r="D28" s="92">
        <v>-9.968</v>
      </c>
      <c r="E28" s="93">
        <v>-1.5780000000000001</v>
      </c>
      <c r="F28" s="94">
        <v>-9.1999999999999998E-2</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t="s">
        <v>2118</v>
      </c>
      <c r="D29" s="92">
        <v>-9.968</v>
      </c>
      <c r="E29" s="93">
        <v>-1.5780000000000001</v>
      </c>
      <c r="F29" s="94">
        <v>-9.1999999999999998E-2</v>
      </c>
      <c r="G29" s="319" t="s">
        <v>840</v>
      </c>
      <c r="H29" s="320" t="s">
        <v>840</v>
      </c>
      <c r="I29" s="321" t="s">
        <v>840</v>
      </c>
      <c r="J29" s="26">
        <v>0.17599999999999999</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2116</v>
      </c>
      <c r="D30" s="92">
        <v>7.2060000000000004</v>
      </c>
      <c r="E30" s="93">
        <v>1.1399999999999999</v>
      </c>
      <c r="F30" s="94">
        <v>6.7000000000000004E-2</v>
      </c>
      <c r="G30" s="319">
        <v>1.28</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7.2060000000000004</v>
      </c>
      <c r="E31" s="93">
        <v>1.1399999999999999</v>
      </c>
      <c r="F31" s="94">
        <v>6.7000000000000004E-2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2117</v>
      </c>
      <c r="D32" s="92">
        <v>6.9089999999999998</v>
      </c>
      <c r="E32" s="93">
        <v>1.093</v>
      </c>
      <c r="F32" s="94">
        <v>6.4000000000000001E-2</v>
      </c>
      <c r="G32" s="319">
        <v>4</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2117</v>
      </c>
      <c r="D33" s="92">
        <v>6.9089999999999998</v>
      </c>
      <c r="E33" s="93">
        <v>1.093</v>
      </c>
      <c r="F33" s="94">
        <v>6.4000000000000001E-2</v>
      </c>
      <c r="G33" s="319" t="s">
        <v>840</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2117</v>
      </c>
      <c r="D34" s="92">
        <v>6.742</v>
      </c>
      <c r="E34" s="93">
        <v>0.92700000000000005</v>
      </c>
      <c r="F34" s="94" t="s">
        <v>840</v>
      </c>
      <c r="G34" s="319" t="s">
        <v>840</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2117</v>
      </c>
      <c r="D35" s="92">
        <v>6.5259999999999998</v>
      </c>
      <c r="E35" s="93">
        <v>0.71099999999999997</v>
      </c>
      <c r="F35" s="94" t="s">
        <v>840</v>
      </c>
      <c r="G35" s="319" t="s">
        <v>840</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2117</v>
      </c>
      <c r="D36" s="92">
        <v>6.391</v>
      </c>
      <c r="E36" s="93">
        <v>0.57599999999999996</v>
      </c>
      <c r="F36" s="94" t="s">
        <v>840</v>
      </c>
      <c r="G36" s="319" t="s">
        <v>840</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6.9089999999999998</v>
      </c>
      <c r="E37" s="93">
        <v>1.093</v>
      </c>
      <c r="F37" s="94">
        <v>6.4000000000000001E-2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4.1870000000000003</v>
      </c>
      <c r="E38" s="93">
        <v>0.61899999999999999</v>
      </c>
      <c r="F38" s="94">
        <v>3.6999999999999998E-2</v>
      </c>
      <c r="G38" s="319">
        <v>14.1</v>
      </c>
      <c r="H38" s="319">
        <v>3.08</v>
      </c>
      <c r="I38" s="322">
        <v>3.08</v>
      </c>
      <c r="J38" s="26">
        <v>7.6999999999999999E-2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3.4830000000000001</v>
      </c>
      <c r="E39" s="93">
        <v>0.189</v>
      </c>
      <c r="F39" s="94">
        <v>1.0999999999999999E-2</v>
      </c>
      <c r="G39" s="319" t="s">
        <v>840</v>
      </c>
      <c r="H39" s="319">
        <v>3.08</v>
      </c>
      <c r="I39" s="322">
        <v>3.08</v>
      </c>
      <c r="J39" s="26">
        <v>7.6999999999999999E-2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3.254</v>
      </c>
      <c r="E40" s="93">
        <v>0.189</v>
      </c>
      <c r="F40" s="94">
        <v>1.0999999999999999E-2</v>
      </c>
      <c r="G40" s="319" t="s">
        <v>840</v>
      </c>
      <c r="H40" s="319">
        <v>3.08</v>
      </c>
      <c r="I40" s="322">
        <v>3.08</v>
      </c>
      <c r="J40" s="26">
        <v>7.6999999999999999E-2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3.0649999999999999</v>
      </c>
      <c r="E41" s="93">
        <v>0.189</v>
      </c>
      <c r="F41" s="94">
        <v>1.0999999999999999E-2</v>
      </c>
      <c r="G41" s="319" t="s">
        <v>840</v>
      </c>
      <c r="H41" s="319">
        <v>3.08</v>
      </c>
      <c r="I41" s="322">
        <v>3.08</v>
      </c>
      <c r="J41" s="26">
        <v>7.6999999999999999E-2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2.9079999999999999</v>
      </c>
      <c r="E42" s="93">
        <v>0.189</v>
      </c>
      <c r="F42" s="94">
        <v>1.0999999999999999E-2</v>
      </c>
      <c r="G42" s="319" t="s">
        <v>840</v>
      </c>
      <c r="H42" s="319">
        <v>3.08</v>
      </c>
      <c r="I42" s="322">
        <v>3.08</v>
      </c>
      <c r="J42" s="26">
        <v>7.6999999999999999E-2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5.09</v>
      </c>
      <c r="E43" s="93">
        <v>0.69299999999999995</v>
      </c>
      <c r="F43" s="94">
        <v>4.2999999999999997E-2</v>
      </c>
      <c r="G43" s="319">
        <v>73.3</v>
      </c>
      <c r="H43" s="319">
        <v>5.82</v>
      </c>
      <c r="I43" s="322">
        <v>5.82</v>
      </c>
      <c r="J43" s="26">
        <v>8.5999999999999993E-2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3.9550000000000001</v>
      </c>
      <c r="E44" s="93" t="s">
        <v>840</v>
      </c>
      <c r="F44" s="94" t="s">
        <v>840</v>
      </c>
      <c r="G44" s="319">
        <v>50.59</v>
      </c>
      <c r="H44" s="319">
        <v>5.82</v>
      </c>
      <c r="I44" s="322">
        <v>5.82</v>
      </c>
      <c r="J44" s="26">
        <v>8.5999999999999993E-2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3.5859999999999999</v>
      </c>
      <c r="E45" s="93" t="s">
        <v>840</v>
      </c>
      <c r="F45" s="94" t="s">
        <v>840</v>
      </c>
      <c r="G45" s="319">
        <v>50.59</v>
      </c>
      <c r="H45" s="319">
        <v>5.82</v>
      </c>
      <c r="I45" s="322">
        <v>5.82</v>
      </c>
      <c r="J45" s="26">
        <v>8.5999999999999993E-2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3.282</v>
      </c>
      <c r="E46" s="93" t="s">
        <v>840</v>
      </c>
      <c r="F46" s="94" t="s">
        <v>840</v>
      </c>
      <c r="G46" s="319">
        <v>50.59</v>
      </c>
      <c r="H46" s="319">
        <v>5.82</v>
      </c>
      <c r="I46" s="322">
        <v>5.82</v>
      </c>
      <c r="J46" s="26">
        <v>8.5999999999999993E-2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3.0289999999999999</v>
      </c>
      <c r="E47" s="93" t="s">
        <v>840</v>
      </c>
      <c r="F47" s="94" t="s">
        <v>840</v>
      </c>
      <c r="G47" s="319">
        <v>50.59</v>
      </c>
      <c r="H47" s="319">
        <v>5.82</v>
      </c>
      <c r="I47" s="322">
        <v>5.82</v>
      </c>
      <c r="J47" s="26">
        <v>8.5999999999999993E-2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4.1790000000000003</v>
      </c>
      <c r="E48" s="93">
        <v>0.498</v>
      </c>
      <c r="F48" s="94">
        <v>3.2000000000000001E-2</v>
      </c>
      <c r="G48" s="319">
        <v>191.17</v>
      </c>
      <c r="H48" s="319">
        <v>6.62</v>
      </c>
      <c r="I48" s="322">
        <v>6.62</v>
      </c>
      <c r="J48" s="26">
        <v>6.0999999999999999E-2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1.6970000000000001</v>
      </c>
      <c r="E49" s="93" t="s">
        <v>840</v>
      </c>
      <c r="F49" s="94" t="s">
        <v>840</v>
      </c>
      <c r="G49" s="319" t="s">
        <v>840</v>
      </c>
      <c r="H49" s="319">
        <v>6.62</v>
      </c>
      <c r="I49" s="322">
        <v>6.62</v>
      </c>
      <c r="J49" s="26">
        <v>6.0999999999999999E-2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0.54400000000000004</v>
      </c>
      <c r="E50" s="93" t="s">
        <v>840</v>
      </c>
      <c r="F50" s="94" t="s">
        <v>840</v>
      </c>
      <c r="G50" s="319" t="s">
        <v>840</v>
      </c>
      <c r="H50" s="319">
        <v>6.62</v>
      </c>
      <c r="I50" s="322">
        <v>6.62</v>
      </c>
      <c r="J50" s="26">
        <v>6.0999999999999999E-2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0.308</v>
      </c>
      <c r="E51" s="93" t="s">
        <v>840</v>
      </c>
      <c r="F51" s="94" t="s">
        <v>840</v>
      </c>
      <c r="G51" s="319" t="s">
        <v>840</v>
      </c>
      <c r="H51" s="319">
        <v>6.62</v>
      </c>
      <c r="I51" s="322">
        <v>6.62</v>
      </c>
      <c r="J51" s="26">
        <v>6.0999999999999999E-2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t="s">
        <v>840</v>
      </c>
      <c r="E52" s="93" t="s">
        <v>840</v>
      </c>
      <c r="F52" s="94" t="s">
        <v>840</v>
      </c>
      <c r="G52" s="319" t="s">
        <v>840</v>
      </c>
      <c r="H52" s="319">
        <v>6.62</v>
      </c>
      <c r="I52" s="322">
        <v>6.62</v>
      </c>
      <c r="J52" s="26">
        <v>6.0999999999999999E-2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847</v>
      </c>
      <c r="D53" s="95">
        <v>21.521000000000001</v>
      </c>
      <c r="E53" s="96">
        <v>2.36</v>
      </c>
      <c r="F53" s="94">
        <v>1.4870000000000001</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2118</v>
      </c>
      <c r="D54" s="92">
        <v>-9.968</v>
      </c>
      <c r="E54" s="93">
        <v>-1.5780000000000001</v>
      </c>
      <c r="F54" s="94">
        <v>-9.1999999999999998E-2</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2118</v>
      </c>
      <c r="D55" s="92">
        <v>-7.8970000000000002</v>
      </c>
      <c r="E55" s="93">
        <v>-1.1859999999999999</v>
      </c>
      <c r="F55" s="94">
        <v>-7.0000000000000007E-2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-9.968</v>
      </c>
      <c r="E56" s="93">
        <v>-1.5780000000000001</v>
      </c>
      <c r="F56" s="94">
        <v>-9.1999999999999998E-2</v>
      </c>
      <c r="G56" s="319" t="s">
        <v>840</v>
      </c>
      <c r="H56" s="320" t="s">
        <v>840</v>
      </c>
      <c r="I56" s="321" t="s">
        <v>840</v>
      </c>
      <c r="J56" s="26">
        <v>0.17599999999999999</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-7.8970000000000002</v>
      </c>
      <c r="E57" s="93">
        <v>-1.1859999999999999</v>
      </c>
      <c r="F57" s="94">
        <v>-7.0000000000000007E-2</v>
      </c>
      <c r="G57" s="319" t="s">
        <v>840</v>
      </c>
      <c r="H57" s="320" t="s">
        <v>840</v>
      </c>
      <c r="I57" s="321" t="s">
        <v>840</v>
      </c>
      <c r="J57" s="26">
        <v>0.153</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-5.9820000000000002</v>
      </c>
      <c r="E58" s="93">
        <v>-0.81399999999999995</v>
      </c>
      <c r="F58" s="94">
        <v>-0.05</v>
      </c>
      <c r="G58" s="319" t="s">
        <v>840</v>
      </c>
      <c r="H58" s="320" t="s">
        <v>840</v>
      </c>
      <c r="I58" s="321" t="s">
        <v>840</v>
      </c>
      <c r="J58" s="26">
        <v>0.122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2116</v>
      </c>
      <c r="D59" s="92">
        <v>5.8719999999999999</v>
      </c>
      <c r="E59" s="93">
        <v>0.92900000000000005</v>
      </c>
      <c r="F59" s="94">
        <v>5.3999999999999999E-2</v>
      </c>
      <c r="G59" s="319">
        <v>1.05</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5.8719999999999999</v>
      </c>
      <c r="E60" s="93">
        <v>0.92900000000000005</v>
      </c>
      <c r="F60" s="94">
        <v>5.3999999999999999E-2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2117</v>
      </c>
      <c r="D61" s="92">
        <v>5.6289999999999996</v>
      </c>
      <c r="E61" s="93">
        <v>0.89100000000000001</v>
      </c>
      <c r="F61" s="94">
        <v>5.1999999999999998E-2</v>
      </c>
      <c r="G61" s="319">
        <v>3.26</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2117</v>
      </c>
      <c r="D62" s="92">
        <v>5.6289999999999996</v>
      </c>
      <c r="E62" s="93">
        <v>0.89100000000000001</v>
      </c>
      <c r="F62" s="94">
        <v>5.1999999999999998E-2</v>
      </c>
      <c r="G62" s="319" t="s">
        <v>840</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2117</v>
      </c>
      <c r="D63" s="92">
        <v>5.4939999999999998</v>
      </c>
      <c r="E63" s="93">
        <v>0.755</v>
      </c>
      <c r="F63" s="94" t="s">
        <v>840</v>
      </c>
      <c r="G63" s="319" t="s">
        <v>840</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2117</v>
      </c>
      <c r="D64" s="92">
        <v>5.3179999999999996</v>
      </c>
      <c r="E64" s="93">
        <v>0.57899999999999996</v>
      </c>
      <c r="F64" s="94" t="s">
        <v>840</v>
      </c>
      <c r="G64" s="319" t="s">
        <v>840</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2117</v>
      </c>
      <c r="D65" s="92">
        <v>5.2080000000000002</v>
      </c>
      <c r="E65" s="93">
        <v>0.46899999999999997</v>
      </c>
      <c r="F65" s="94" t="s">
        <v>840</v>
      </c>
      <c r="G65" s="319" t="s">
        <v>840</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5.6289999999999996</v>
      </c>
      <c r="E66" s="93">
        <v>0.89100000000000001</v>
      </c>
      <c r="F66" s="94">
        <v>5.1999999999999998E-2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3.4119999999999999</v>
      </c>
      <c r="E67" s="93">
        <v>0.505</v>
      </c>
      <c r="F67" s="94">
        <v>0.03</v>
      </c>
      <c r="G67" s="319">
        <v>11.49</v>
      </c>
      <c r="H67" s="319">
        <v>2.5099999999999998</v>
      </c>
      <c r="I67" s="322">
        <v>2.5099999999999998</v>
      </c>
      <c r="J67" s="26">
        <v>6.3E-2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2.8380000000000001</v>
      </c>
      <c r="E68" s="93">
        <v>0.154</v>
      </c>
      <c r="F68" s="94">
        <v>8.9999999999999993E-3</v>
      </c>
      <c r="G68" s="319" t="s">
        <v>840</v>
      </c>
      <c r="H68" s="319">
        <v>2.5099999999999998</v>
      </c>
      <c r="I68" s="322">
        <v>2.5099999999999998</v>
      </c>
      <c r="J68" s="26">
        <v>6.3E-2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2.6509999999999998</v>
      </c>
      <c r="E69" s="93">
        <v>0.154</v>
      </c>
      <c r="F69" s="94">
        <v>8.9999999999999993E-3</v>
      </c>
      <c r="G69" s="319" t="s">
        <v>840</v>
      </c>
      <c r="H69" s="319">
        <v>2.5099999999999998</v>
      </c>
      <c r="I69" s="322">
        <v>2.5099999999999998</v>
      </c>
      <c r="J69" s="26">
        <v>6.3E-2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2.4969999999999999</v>
      </c>
      <c r="E70" s="93">
        <v>0.154</v>
      </c>
      <c r="F70" s="94">
        <v>8.9999999999999993E-3</v>
      </c>
      <c r="G70" s="319" t="s">
        <v>840</v>
      </c>
      <c r="H70" s="319">
        <v>2.5099999999999998</v>
      </c>
      <c r="I70" s="322">
        <v>2.5099999999999998</v>
      </c>
      <c r="J70" s="26">
        <v>6.3E-2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2.3690000000000002</v>
      </c>
      <c r="E71" s="93">
        <v>0.154</v>
      </c>
      <c r="F71" s="94">
        <v>8.9999999999999993E-3</v>
      </c>
      <c r="G71" s="319" t="s">
        <v>840</v>
      </c>
      <c r="H71" s="319">
        <v>2.5099999999999998</v>
      </c>
      <c r="I71" s="322">
        <v>2.5099999999999998</v>
      </c>
      <c r="J71" s="26">
        <v>6.3E-2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4.0380000000000003</v>
      </c>
      <c r="E72" s="93">
        <v>0.55000000000000004</v>
      </c>
      <c r="F72" s="94">
        <v>3.4000000000000002E-2</v>
      </c>
      <c r="G72" s="319">
        <v>58.14</v>
      </c>
      <c r="H72" s="319">
        <v>4.62</v>
      </c>
      <c r="I72" s="322">
        <v>4.62</v>
      </c>
      <c r="J72" s="26">
        <v>6.8000000000000005E-2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3.137</v>
      </c>
      <c r="E73" s="93" t="s">
        <v>840</v>
      </c>
      <c r="F73" s="94" t="s">
        <v>840</v>
      </c>
      <c r="G73" s="319">
        <v>40.130000000000003</v>
      </c>
      <c r="H73" s="319">
        <v>4.62</v>
      </c>
      <c r="I73" s="322">
        <v>4.62</v>
      </c>
      <c r="J73" s="26">
        <v>6.8000000000000005E-2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2.8450000000000002</v>
      </c>
      <c r="E74" s="93" t="s">
        <v>840</v>
      </c>
      <c r="F74" s="94" t="s">
        <v>840</v>
      </c>
      <c r="G74" s="319">
        <v>40.130000000000003</v>
      </c>
      <c r="H74" s="319">
        <v>4.62</v>
      </c>
      <c r="I74" s="322">
        <v>4.62</v>
      </c>
      <c r="J74" s="26">
        <v>6.8000000000000005E-2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2.6030000000000002</v>
      </c>
      <c r="E75" s="93" t="s">
        <v>840</v>
      </c>
      <c r="F75" s="94" t="s">
        <v>840</v>
      </c>
      <c r="G75" s="319">
        <v>40.130000000000003</v>
      </c>
      <c r="H75" s="319">
        <v>4.62</v>
      </c>
      <c r="I75" s="322">
        <v>4.62</v>
      </c>
      <c r="J75" s="26">
        <v>6.8000000000000005E-2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2.403</v>
      </c>
      <c r="E76" s="93" t="s">
        <v>840</v>
      </c>
      <c r="F76" s="94" t="s">
        <v>840</v>
      </c>
      <c r="G76" s="319">
        <v>40.130000000000003</v>
      </c>
      <c r="H76" s="319">
        <v>4.62</v>
      </c>
      <c r="I76" s="322">
        <v>4.62</v>
      </c>
      <c r="J76" s="26">
        <v>6.8000000000000005E-2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3.2679999999999998</v>
      </c>
      <c r="E77" s="93">
        <v>0.39</v>
      </c>
      <c r="F77" s="94">
        <v>2.5000000000000001E-2</v>
      </c>
      <c r="G77" s="319">
        <v>149.52000000000001</v>
      </c>
      <c r="H77" s="319">
        <v>5.18</v>
      </c>
      <c r="I77" s="322">
        <v>5.18</v>
      </c>
      <c r="J77" s="26">
        <v>4.8000000000000001E-2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1.327</v>
      </c>
      <c r="E78" s="93" t="s">
        <v>840</v>
      </c>
      <c r="F78" s="94" t="s">
        <v>840</v>
      </c>
      <c r="G78" s="319" t="s">
        <v>840</v>
      </c>
      <c r="H78" s="319">
        <v>5.18</v>
      </c>
      <c r="I78" s="322">
        <v>5.18</v>
      </c>
      <c r="J78" s="26">
        <v>4.8000000000000001E-2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0.42499999999999999</v>
      </c>
      <c r="E79" s="93" t="s">
        <v>840</v>
      </c>
      <c r="F79" s="94" t="s">
        <v>840</v>
      </c>
      <c r="G79" s="319" t="s">
        <v>840</v>
      </c>
      <c r="H79" s="319">
        <v>5.18</v>
      </c>
      <c r="I79" s="322">
        <v>5.18</v>
      </c>
      <c r="J79" s="26">
        <v>4.8000000000000001E-2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0.24099999999999999</v>
      </c>
      <c r="E80" s="93" t="s">
        <v>840</v>
      </c>
      <c r="F80" s="94" t="s">
        <v>840</v>
      </c>
      <c r="G80" s="319" t="s">
        <v>840</v>
      </c>
      <c r="H80" s="319">
        <v>5.18</v>
      </c>
      <c r="I80" s="322">
        <v>5.18</v>
      </c>
      <c r="J80" s="26">
        <v>4.8000000000000001E-2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t="s">
        <v>840</v>
      </c>
      <c r="E81" s="93" t="s">
        <v>840</v>
      </c>
      <c r="F81" s="94" t="s">
        <v>840</v>
      </c>
      <c r="G81" s="319" t="s">
        <v>840</v>
      </c>
      <c r="H81" s="319">
        <v>5.18</v>
      </c>
      <c r="I81" s="322">
        <v>5.18</v>
      </c>
      <c r="J81" s="26">
        <v>4.8000000000000001E-2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847</v>
      </c>
      <c r="D82" s="95">
        <v>17.535</v>
      </c>
      <c r="E82" s="96">
        <v>1.923</v>
      </c>
      <c r="F82" s="94">
        <v>1.2110000000000001</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2118</v>
      </c>
      <c r="D83" s="92">
        <v>-5.6630000000000003</v>
      </c>
      <c r="E83" s="93">
        <v>-0.89600000000000002</v>
      </c>
      <c r="F83" s="94">
        <v>-5.1999999999999998E-2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2118</v>
      </c>
      <c r="D84" s="92">
        <v>-5.2469999999999999</v>
      </c>
      <c r="E84" s="93">
        <v>-0.78800000000000003</v>
      </c>
      <c r="F84" s="94">
        <v>-4.7E-2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-5.6630000000000003</v>
      </c>
      <c r="E85" s="93">
        <v>-0.89600000000000002</v>
      </c>
      <c r="F85" s="94">
        <v>-5.1999999999999998E-2</v>
      </c>
      <c r="G85" s="319" t="s">
        <v>840</v>
      </c>
      <c r="H85" s="320" t="s">
        <v>840</v>
      </c>
      <c r="I85" s="321" t="s">
        <v>840</v>
      </c>
      <c r="J85" s="26">
        <v>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-5.2469999999999999</v>
      </c>
      <c r="E86" s="93">
        <v>-0.78800000000000003</v>
      </c>
      <c r="F86" s="94">
        <v>-4.7E-2</v>
      </c>
      <c r="G86" s="319" t="s">
        <v>840</v>
      </c>
      <c r="H86" s="320" t="s">
        <v>840</v>
      </c>
      <c r="I86" s="321" t="s">
        <v>840</v>
      </c>
      <c r="J86" s="26">
        <v>0.10100000000000001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-5.9820000000000002</v>
      </c>
      <c r="E87" s="93">
        <v>-0.81399999999999995</v>
      </c>
      <c r="F87" s="94">
        <v>-0.05</v>
      </c>
      <c r="G87" s="319">
        <v>15.15</v>
      </c>
      <c r="H87" s="320" t="s">
        <v>840</v>
      </c>
      <c r="I87" s="321" t="s">
        <v>840</v>
      </c>
      <c r="J87" s="26">
        <v>0.122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2116</v>
      </c>
      <c r="D88" s="92">
        <v>4.649</v>
      </c>
      <c r="E88" s="93">
        <v>0.73599999999999999</v>
      </c>
      <c r="F88" s="94">
        <v>4.2999999999999997E-2</v>
      </c>
      <c r="G88" s="319">
        <v>0.83</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4.649</v>
      </c>
      <c r="E89" s="93">
        <v>0.73599999999999999</v>
      </c>
      <c r="F89" s="94">
        <v>4.2999999999999997E-2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2117</v>
      </c>
      <c r="D90" s="92">
        <v>4.4569999999999999</v>
      </c>
      <c r="E90" s="93">
        <v>0.70499999999999996</v>
      </c>
      <c r="F90" s="94">
        <v>4.1000000000000002E-2</v>
      </c>
      <c r="G90" s="319">
        <v>2.58</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2117</v>
      </c>
      <c r="D91" s="92">
        <v>4.4569999999999999</v>
      </c>
      <c r="E91" s="93">
        <v>0.70499999999999996</v>
      </c>
      <c r="F91" s="94">
        <v>4.1000000000000002E-2</v>
      </c>
      <c r="G91" s="319" t="s">
        <v>840</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2117</v>
      </c>
      <c r="D92" s="92">
        <v>4.3490000000000002</v>
      </c>
      <c r="E92" s="93">
        <v>0.59799999999999998</v>
      </c>
      <c r="F92" s="94" t="s">
        <v>840</v>
      </c>
      <c r="G92" s="319" t="s">
        <v>840</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2117</v>
      </c>
      <c r="D93" s="92">
        <v>4.21</v>
      </c>
      <c r="E93" s="93">
        <v>0.45900000000000002</v>
      </c>
      <c r="F93" s="94" t="s">
        <v>840</v>
      </c>
      <c r="G93" s="319" t="s">
        <v>840</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2117</v>
      </c>
      <c r="D94" s="92">
        <v>4.1230000000000002</v>
      </c>
      <c r="E94" s="93">
        <v>0.371</v>
      </c>
      <c r="F94" s="94" t="s">
        <v>840</v>
      </c>
      <c r="G94" s="319" t="s">
        <v>840</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4.4569999999999999</v>
      </c>
      <c r="E95" s="93">
        <v>0.70499999999999996</v>
      </c>
      <c r="F95" s="94">
        <v>4.1000000000000002E-2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2.7010000000000001</v>
      </c>
      <c r="E96" s="93">
        <v>0.39900000000000002</v>
      </c>
      <c r="F96" s="94">
        <v>2.4E-2</v>
      </c>
      <c r="G96" s="319">
        <v>9.1</v>
      </c>
      <c r="H96" s="319">
        <v>1.99</v>
      </c>
      <c r="I96" s="322">
        <v>1.99</v>
      </c>
      <c r="J96" s="26">
        <v>0.05</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2.2469999999999999</v>
      </c>
      <c r="E97" s="93">
        <v>0.122</v>
      </c>
      <c r="F97" s="94">
        <v>7.0000000000000001E-3</v>
      </c>
      <c r="G97" s="319" t="s">
        <v>840</v>
      </c>
      <c r="H97" s="319">
        <v>1.99</v>
      </c>
      <c r="I97" s="322">
        <v>1.99</v>
      </c>
      <c r="J97" s="26">
        <v>0.05</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2.0990000000000002</v>
      </c>
      <c r="E98" s="93">
        <v>0.122</v>
      </c>
      <c r="F98" s="94">
        <v>7.0000000000000001E-3</v>
      </c>
      <c r="G98" s="319" t="s">
        <v>840</v>
      </c>
      <c r="H98" s="319">
        <v>1.99</v>
      </c>
      <c r="I98" s="322">
        <v>1.99</v>
      </c>
      <c r="J98" s="26">
        <v>0.05</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1.9770000000000001</v>
      </c>
      <c r="E99" s="93">
        <v>0.122</v>
      </c>
      <c r="F99" s="94">
        <v>7.0000000000000001E-3</v>
      </c>
      <c r="G99" s="319" t="s">
        <v>840</v>
      </c>
      <c r="H99" s="319">
        <v>1.99</v>
      </c>
      <c r="I99" s="322">
        <v>1.99</v>
      </c>
      <c r="J99" s="26">
        <v>0.05</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1.8759999999999999</v>
      </c>
      <c r="E100" s="93">
        <v>0.122</v>
      </c>
      <c r="F100" s="94">
        <v>7.0000000000000001E-3</v>
      </c>
      <c r="G100" s="319" t="s">
        <v>840</v>
      </c>
      <c r="H100" s="319">
        <v>1.99</v>
      </c>
      <c r="I100" s="322">
        <v>1.99</v>
      </c>
      <c r="J100" s="26">
        <v>0.05</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3.1970000000000001</v>
      </c>
      <c r="E101" s="93">
        <v>0.435</v>
      </c>
      <c r="F101" s="94">
        <v>2.7E-2</v>
      </c>
      <c r="G101" s="319">
        <v>46.03</v>
      </c>
      <c r="H101" s="319">
        <v>3.66</v>
      </c>
      <c r="I101" s="322">
        <v>3.66</v>
      </c>
      <c r="J101" s="26">
        <v>5.3999999999999999E-2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2.484</v>
      </c>
      <c r="E102" s="93" t="s">
        <v>840</v>
      </c>
      <c r="F102" s="94" t="s">
        <v>840</v>
      </c>
      <c r="G102" s="319">
        <v>31.77</v>
      </c>
      <c r="H102" s="319">
        <v>3.66</v>
      </c>
      <c r="I102" s="322">
        <v>3.66</v>
      </c>
      <c r="J102" s="26">
        <v>5.3999999999999999E-2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2.2519999999999998</v>
      </c>
      <c r="E103" s="93" t="s">
        <v>840</v>
      </c>
      <c r="F103" s="94" t="s">
        <v>840</v>
      </c>
      <c r="G103" s="319">
        <v>31.77</v>
      </c>
      <c r="H103" s="319">
        <v>3.66</v>
      </c>
      <c r="I103" s="322">
        <v>3.66</v>
      </c>
      <c r="J103" s="26">
        <v>5.3999999999999999E-2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2.0609999999999999</v>
      </c>
      <c r="E104" s="93" t="s">
        <v>840</v>
      </c>
      <c r="F104" s="94" t="s">
        <v>840</v>
      </c>
      <c r="G104" s="319">
        <v>31.77</v>
      </c>
      <c r="H104" s="319">
        <v>3.66</v>
      </c>
      <c r="I104" s="322">
        <v>3.66</v>
      </c>
      <c r="J104" s="26">
        <v>5.3999999999999999E-2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1.9019999999999999</v>
      </c>
      <c r="E105" s="93" t="s">
        <v>840</v>
      </c>
      <c r="F105" s="94" t="s">
        <v>840</v>
      </c>
      <c r="G105" s="319">
        <v>31.77</v>
      </c>
      <c r="H105" s="319">
        <v>3.66</v>
      </c>
      <c r="I105" s="322">
        <v>3.66</v>
      </c>
      <c r="J105" s="26">
        <v>5.3999999999999999E-2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2.5880000000000001</v>
      </c>
      <c r="E106" s="93">
        <v>0.309</v>
      </c>
      <c r="F106" s="94">
        <v>0.02</v>
      </c>
      <c r="G106" s="319">
        <v>118.38</v>
      </c>
      <c r="H106" s="319">
        <v>4.0999999999999996</v>
      </c>
      <c r="I106" s="322">
        <v>4.0999999999999996</v>
      </c>
      <c r="J106" s="26">
        <v>3.7999999999999999E-2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1.0509999999999999</v>
      </c>
      <c r="E107" s="93" t="s">
        <v>840</v>
      </c>
      <c r="F107" s="94" t="s">
        <v>840</v>
      </c>
      <c r="G107" s="319" t="s">
        <v>840</v>
      </c>
      <c r="H107" s="319">
        <v>4.0999999999999996</v>
      </c>
      <c r="I107" s="322">
        <v>4.0999999999999996</v>
      </c>
      <c r="J107" s="26">
        <v>3.7999999999999999E-2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0.33700000000000002</v>
      </c>
      <c r="E108" s="93" t="s">
        <v>840</v>
      </c>
      <c r="F108" s="94" t="s">
        <v>840</v>
      </c>
      <c r="G108" s="319" t="s">
        <v>840</v>
      </c>
      <c r="H108" s="319">
        <v>4.0999999999999996</v>
      </c>
      <c r="I108" s="322">
        <v>4.0999999999999996</v>
      </c>
      <c r="J108" s="26">
        <v>3.7999999999999999E-2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0.191</v>
      </c>
      <c r="E109" s="93" t="s">
        <v>840</v>
      </c>
      <c r="F109" s="94" t="s">
        <v>840</v>
      </c>
      <c r="G109" s="319" t="s">
        <v>840</v>
      </c>
      <c r="H109" s="319">
        <v>4.0999999999999996</v>
      </c>
      <c r="I109" s="322">
        <v>4.0999999999999996</v>
      </c>
      <c r="J109" s="26">
        <v>3.7999999999999999E-2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t="s">
        <v>840</v>
      </c>
      <c r="E110" s="93" t="s">
        <v>840</v>
      </c>
      <c r="F110" s="94" t="s">
        <v>840</v>
      </c>
      <c r="G110" s="319" t="s">
        <v>840</v>
      </c>
      <c r="H110" s="319">
        <v>4.0999999999999996</v>
      </c>
      <c r="I110" s="322">
        <v>4.0999999999999996</v>
      </c>
      <c r="J110" s="26">
        <v>3.7999999999999999E-2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847</v>
      </c>
      <c r="D111" s="95">
        <v>13.882999999999999</v>
      </c>
      <c r="E111" s="96">
        <v>1.5229999999999999</v>
      </c>
      <c r="F111" s="94">
        <v>0.95899999999999996</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2118</v>
      </c>
      <c r="D112" s="92">
        <v>-4.484</v>
      </c>
      <c r="E112" s="93">
        <v>-0.71</v>
      </c>
      <c r="F112" s="94">
        <v>-4.1000000000000002E-2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2118</v>
      </c>
      <c r="D113" s="92">
        <v>-4.1539999999999999</v>
      </c>
      <c r="E113" s="93">
        <v>-0.624</v>
      </c>
      <c r="F113" s="94">
        <v>-3.6999999999999998E-2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-4.484</v>
      </c>
      <c r="E114" s="93">
        <v>-0.71</v>
      </c>
      <c r="F114" s="94">
        <v>-4.1000000000000002E-2</v>
      </c>
      <c r="G114" s="319" t="s">
        <v>840</v>
      </c>
      <c r="H114" s="320" t="s">
        <v>840</v>
      </c>
      <c r="I114" s="321" t="s">
        <v>840</v>
      </c>
      <c r="J114" s="26">
        <v>7.9000000000000001E-2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-4.1539999999999999</v>
      </c>
      <c r="E115" s="93">
        <v>-0.624</v>
      </c>
      <c r="F115" s="94">
        <v>-3.6999999999999998E-2</v>
      </c>
      <c r="G115" s="319" t="s">
        <v>840</v>
      </c>
      <c r="H115" s="320" t="s">
        <v>840</v>
      </c>
      <c r="I115" s="321" t="s">
        <v>840</v>
      </c>
      <c r="J115" s="26">
        <v>0.08</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-4.7359999999999998</v>
      </c>
      <c r="E116" s="93">
        <v>-0.64500000000000002</v>
      </c>
      <c r="F116" s="94">
        <v>-0.04</v>
      </c>
      <c r="G116" s="319">
        <v>12</v>
      </c>
      <c r="H116" s="320" t="s">
        <v>840</v>
      </c>
      <c r="I116" s="321" t="s">
        <v>840</v>
      </c>
      <c r="J116" s="26">
        <v>9.6000000000000002E-2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2116</v>
      </c>
      <c r="D117" s="92">
        <v>3.8860000000000001</v>
      </c>
      <c r="E117" s="93">
        <v>0.61499999999999999</v>
      </c>
      <c r="F117" s="94">
        <v>3.5999999999999997E-2</v>
      </c>
      <c r="G117" s="319">
        <v>0.69</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3.8860000000000001</v>
      </c>
      <c r="E118" s="93">
        <v>0.61499999999999999</v>
      </c>
      <c r="F118" s="94">
        <v>3.5999999999999997E-2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2117</v>
      </c>
      <c r="D119" s="92">
        <v>3.726</v>
      </c>
      <c r="E119" s="93">
        <v>0.59</v>
      </c>
      <c r="F119" s="94">
        <v>3.4000000000000002E-2</v>
      </c>
      <c r="G119" s="319">
        <v>2.16</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2117</v>
      </c>
      <c r="D120" s="92">
        <v>3.726</v>
      </c>
      <c r="E120" s="93">
        <v>0.59</v>
      </c>
      <c r="F120" s="94">
        <v>3.4000000000000002E-2</v>
      </c>
      <c r="G120" s="319" t="s">
        <v>840</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2117</v>
      </c>
      <c r="D121" s="92">
        <v>3.6360000000000001</v>
      </c>
      <c r="E121" s="93">
        <v>0.5</v>
      </c>
      <c r="F121" s="94" t="s">
        <v>840</v>
      </c>
      <c r="G121" s="319" t="s">
        <v>840</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2117</v>
      </c>
      <c r="D122" s="92">
        <v>3.5190000000000001</v>
      </c>
      <c r="E122" s="93">
        <v>0.38300000000000001</v>
      </c>
      <c r="F122" s="94" t="s">
        <v>840</v>
      </c>
      <c r="G122" s="319" t="s">
        <v>840</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2117</v>
      </c>
      <c r="D123" s="92">
        <v>3.4470000000000001</v>
      </c>
      <c r="E123" s="93">
        <v>0.31</v>
      </c>
      <c r="F123" s="94" t="s">
        <v>840</v>
      </c>
      <c r="G123" s="319" t="s">
        <v>840</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3.726</v>
      </c>
      <c r="E124" s="93">
        <v>0.59</v>
      </c>
      <c r="F124" s="94">
        <v>3.4000000000000002E-2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2.258</v>
      </c>
      <c r="E125" s="93">
        <v>0.33400000000000002</v>
      </c>
      <c r="F125" s="94">
        <v>0.02</v>
      </c>
      <c r="G125" s="319">
        <v>7.6</v>
      </c>
      <c r="H125" s="319">
        <v>1.66</v>
      </c>
      <c r="I125" s="322">
        <v>1.66</v>
      </c>
      <c r="J125" s="26">
        <v>4.1000000000000002E-2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1.8779999999999999</v>
      </c>
      <c r="E126" s="93">
        <v>0.10199999999999999</v>
      </c>
      <c r="F126" s="94">
        <v>6.0000000000000001E-3</v>
      </c>
      <c r="G126" s="319" t="s">
        <v>840</v>
      </c>
      <c r="H126" s="319">
        <v>1.66</v>
      </c>
      <c r="I126" s="322">
        <v>1.66</v>
      </c>
      <c r="J126" s="26">
        <v>4.1000000000000002E-2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1.7549999999999999</v>
      </c>
      <c r="E127" s="93">
        <v>0.10199999999999999</v>
      </c>
      <c r="F127" s="94">
        <v>6.0000000000000001E-3</v>
      </c>
      <c r="G127" s="319" t="s">
        <v>840</v>
      </c>
      <c r="H127" s="319">
        <v>1.66</v>
      </c>
      <c r="I127" s="322">
        <v>1.66</v>
      </c>
      <c r="J127" s="26">
        <v>4.1000000000000002E-2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1.653</v>
      </c>
      <c r="E128" s="93">
        <v>0.10199999999999999</v>
      </c>
      <c r="F128" s="94">
        <v>6.0000000000000001E-3</v>
      </c>
      <c r="G128" s="319" t="s">
        <v>840</v>
      </c>
      <c r="H128" s="319">
        <v>1.66</v>
      </c>
      <c r="I128" s="322">
        <v>1.66</v>
      </c>
      <c r="J128" s="26">
        <v>4.1000000000000002E-2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1.5680000000000001</v>
      </c>
      <c r="E129" s="93">
        <v>0.10199999999999999</v>
      </c>
      <c r="F129" s="94">
        <v>6.0000000000000001E-3</v>
      </c>
      <c r="G129" s="319" t="s">
        <v>840</v>
      </c>
      <c r="H129" s="319">
        <v>1.66</v>
      </c>
      <c r="I129" s="322">
        <v>1.66</v>
      </c>
      <c r="J129" s="26">
        <v>4.1000000000000002E-2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2.6720000000000002</v>
      </c>
      <c r="E130" s="93">
        <v>0.36399999999999999</v>
      </c>
      <c r="F130" s="94">
        <v>2.1999999999999999E-2</v>
      </c>
      <c r="G130" s="319">
        <v>38.479999999999997</v>
      </c>
      <c r="H130" s="319">
        <v>3.06</v>
      </c>
      <c r="I130" s="322">
        <v>3.06</v>
      </c>
      <c r="J130" s="26">
        <v>4.4999999999999998E-2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2.0760000000000001</v>
      </c>
      <c r="E131" s="93" t="s">
        <v>840</v>
      </c>
      <c r="F131" s="94" t="s">
        <v>840</v>
      </c>
      <c r="G131" s="319">
        <v>26.56</v>
      </c>
      <c r="H131" s="319">
        <v>3.06</v>
      </c>
      <c r="I131" s="322">
        <v>3.06</v>
      </c>
      <c r="J131" s="26">
        <v>4.4999999999999998E-2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1.883</v>
      </c>
      <c r="E132" s="93" t="s">
        <v>840</v>
      </c>
      <c r="F132" s="94" t="s">
        <v>840</v>
      </c>
      <c r="G132" s="319">
        <v>26.56</v>
      </c>
      <c r="H132" s="319">
        <v>3.06</v>
      </c>
      <c r="I132" s="322">
        <v>3.06</v>
      </c>
      <c r="J132" s="26">
        <v>4.4999999999999998E-2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1.7230000000000001</v>
      </c>
      <c r="E133" s="93" t="s">
        <v>840</v>
      </c>
      <c r="F133" s="94" t="s">
        <v>840</v>
      </c>
      <c r="G133" s="319">
        <v>26.56</v>
      </c>
      <c r="H133" s="319">
        <v>3.06</v>
      </c>
      <c r="I133" s="322">
        <v>3.06</v>
      </c>
      <c r="J133" s="26">
        <v>4.4999999999999998E-2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1.59</v>
      </c>
      <c r="E134" s="93" t="s">
        <v>840</v>
      </c>
      <c r="F134" s="94" t="s">
        <v>840</v>
      </c>
      <c r="G134" s="319">
        <v>26.56</v>
      </c>
      <c r="H134" s="319">
        <v>3.06</v>
      </c>
      <c r="I134" s="322">
        <v>3.06</v>
      </c>
      <c r="J134" s="26">
        <v>4.4999999999999998E-2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2.1629999999999998</v>
      </c>
      <c r="E135" s="93">
        <v>0.25800000000000001</v>
      </c>
      <c r="F135" s="94">
        <v>1.7000000000000001E-2</v>
      </c>
      <c r="G135" s="319">
        <v>98.96</v>
      </c>
      <c r="H135" s="319">
        <v>3.43</v>
      </c>
      <c r="I135" s="322">
        <v>3.43</v>
      </c>
      <c r="J135" s="26">
        <v>3.2000000000000001E-2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0.878</v>
      </c>
      <c r="E136" s="93" t="s">
        <v>840</v>
      </c>
      <c r="F136" s="94" t="s">
        <v>840</v>
      </c>
      <c r="G136" s="319" t="s">
        <v>840</v>
      </c>
      <c r="H136" s="319">
        <v>3.43</v>
      </c>
      <c r="I136" s="322">
        <v>3.43</v>
      </c>
      <c r="J136" s="26">
        <v>3.2000000000000001E-2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0.28100000000000003</v>
      </c>
      <c r="E137" s="93" t="s">
        <v>840</v>
      </c>
      <c r="F137" s="94" t="s">
        <v>840</v>
      </c>
      <c r="G137" s="319" t="s">
        <v>840</v>
      </c>
      <c r="H137" s="319">
        <v>3.43</v>
      </c>
      <c r="I137" s="322">
        <v>3.43</v>
      </c>
      <c r="J137" s="26">
        <v>3.2000000000000001E-2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0.16</v>
      </c>
      <c r="E138" s="93" t="s">
        <v>840</v>
      </c>
      <c r="F138" s="94" t="s">
        <v>840</v>
      </c>
      <c r="G138" s="319" t="s">
        <v>840</v>
      </c>
      <c r="H138" s="319">
        <v>3.43</v>
      </c>
      <c r="I138" s="322">
        <v>3.43</v>
      </c>
      <c r="J138" s="26">
        <v>3.2000000000000001E-2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t="s">
        <v>840</v>
      </c>
      <c r="E139" s="93" t="s">
        <v>840</v>
      </c>
      <c r="F139" s="94" t="s">
        <v>840</v>
      </c>
      <c r="G139" s="319" t="s">
        <v>840</v>
      </c>
      <c r="H139" s="319">
        <v>3.43</v>
      </c>
      <c r="I139" s="322">
        <v>3.43</v>
      </c>
      <c r="J139" s="26">
        <v>3.2000000000000001E-2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847</v>
      </c>
      <c r="D140" s="95">
        <v>11.605</v>
      </c>
      <c r="E140" s="96">
        <v>1.2729999999999999</v>
      </c>
      <c r="F140" s="94">
        <v>0.80200000000000005</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2118</v>
      </c>
      <c r="D141" s="92">
        <v>-3.7480000000000002</v>
      </c>
      <c r="E141" s="93">
        <v>-0.59299999999999997</v>
      </c>
      <c r="F141" s="94">
        <v>-3.5000000000000003E-2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2118</v>
      </c>
      <c r="D142" s="92">
        <v>-3.472</v>
      </c>
      <c r="E142" s="93">
        <v>-0.52100000000000002</v>
      </c>
      <c r="F142" s="94">
        <v>-3.1E-2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-3.7480000000000002</v>
      </c>
      <c r="E143" s="93">
        <v>-0.59299999999999997</v>
      </c>
      <c r="F143" s="94">
        <v>-3.5000000000000003E-2</v>
      </c>
      <c r="G143" s="319" t="s">
        <v>840</v>
      </c>
      <c r="H143" s="320" t="s">
        <v>840</v>
      </c>
      <c r="I143" s="321" t="s">
        <v>840</v>
      </c>
      <c r="J143" s="26">
        <v>6.6000000000000003E-2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-3.472</v>
      </c>
      <c r="E144" s="93">
        <v>-0.52100000000000002</v>
      </c>
      <c r="F144" s="94">
        <v>-3.1E-2</v>
      </c>
      <c r="G144" s="319" t="s">
        <v>840</v>
      </c>
      <c r="H144" s="320" t="s">
        <v>840</v>
      </c>
      <c r="I144" s="321" t="s">
        <v>840</v>
      </c>
      <c r="J144" s="26">
        <v>6.7000000000000004E-2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-3.9590000000000001</v>
      </c>
      <c r="E145" s="93">
        <v>-0.53900000000000003</v>
      </c>
      <c r="F145" s="94">
        <v>-3.3000000000000002E-2</v>
      </c>
      <c r="G145" s="319">
        <v>10.029999999999999</v>
      </c>
      <c r="H145" s="320" t="s">
        <v>840</v>
      </c>
      <c r="I145" s="321" t="s">
        <v>840</v>
      </c>
      <c r="J145" s="26">
        <v>8.1000000000000003E-2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2116</v>
      </c>
      <c r="D146" s="92">
        <v>2.9289999999999998</v>
      </c>
      <c r="E146" s="93">
        <v>0.46400000000000002</v>
      </c>
      <c r="F146" s="94">
        <v>2.7E-2</v>
      </c>
      <c r="G146" s="319">
        <v>0.52</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2.9289999999999998</v>
      </c>
      <c r="E147" s="93">
        <v>0.46400000000000002</v>
      </c>
      <c r="F147" s="94">
        <v>2.7E-2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2117</v>
      </c>
      <c r="D148" s="92">
        <v>2.8079999999999998</v>
      </c>
      <c r="E148" s="93">
        <v>0.44400000000000001</v>
      </c>
      <c r="F148" s="94">
        <v>2.5999999999999999E-2</v>
      </c>
      <c r="G148" s="319">
        <v>1.63</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2117</v>
      </c>
      <c r="D149" s="92">
        <v>2.8079999999999998</v>
      </c>
      <c r="E149" s="93">
        <v>0.44400000000000001</v>
      </c>
      <c r="F149" s="94">
        <v>2.5999999999999999E-2</v>
      </c>
      <c r="G149" s="319" t="s">
        <v>840</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2117</v>
      </c>
      <c r="D150" s="92">
        <v>2.7410000000000001</v>
      </c>
      <c r="E150" s="93">
        <v>0.377</v>
      </c>
      <c r="F150" s="94" t="s">
        <v>840</v>
      </c>
      <c r="G150" s="319" t="s">
        <v>840</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2117</v>
      </c>
      <c r="D151" s="92">
        <v>2.653</v>
      </c>
      <c r="E151" s="93">
        <v>0.28899999999999998</v>
      </c>
      <c r="F151" s="94" t="s">
        <v>840</v>
      </c>
      <c r="G151" s="319" t="s">
        <v>840</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2117</v>
      </c>
      <c r="D152" s="92">
        <v>2.5979999999999999</v>
      </c>
      <c r="E152" s="93">
        <v>0.23400000000000001</v>
      </c>
      <c r="F152" s="94" t="s">
        <v>840</v>
      </c>
      <c r="G152" s="319" t="s">
        <v>840</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2.8079999999999998</v>
      </c>
      <c r="E153" s="93">
        <v>0.44400000000000001</v>
      </c>
      <c r="F153" s="94">
        <v>2.5999999999999999E-2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1.702</v>
      </c>
      <c r="E154" s="93">
        <v>0.252</v>
      </c>
      <c r="F154" s="94">
        <v>1.4999999999999999E-2</v>
      </c>
      <c r="G154" s="319">
        <v>5.73</v>
      </c>
      <c r="H154" s="319">
        <v>1.25</v>
      </c>
      <c r="I154" s="322">
        <v>1.25</v>
      </c>
      <c r="J154" s="26">
        <v>3.1E-2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1.4159999999999999</v>
      </c>
      <c r="E155" s="93">
        <v>7.6999999999999999E-2</v>
      </c>
      <c r="F155" s="94">
        <v>4.0000000000000001E-3</v>
      </c>
      <c r="G155" s="319" t="s">
        <v>840</v>
      </c>
      <c r="H155" s="319">
        <v>1.25</v>
      </c>
      <c r="I155" s="322">
        <v>1.25</v>
      </c>
      <c r="J155" s="26">
        <v>3.1E-2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1.323</v>
      </c>
      <c r="E156" s="93">
        <v>7.6999999999999999E-2</v>
      </c>
      <c r="F156" s="94">
        <v>4.0000000000000001E-3</v>
      </c>
      <c r="G156" s="319" t="s">
        <v>840</v>
      </c>
      <c r="H156" s="319">
        <v>1.25</v>
      </c>
      <c r="I156" s="322">
        <v>1.25</v>
      </c>
      <c r="J156" s="26">
        <v>3.1E-2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1.246</v>
      </c>
      <c r="E157" s="93">
        <v>7.6999999999999999E-2</v>
      </c>
      <c r="F157" s="94">
        <v>4.0000000000000001E-3</v>
      </c>
      <c r="G157" s="319" t="s">
        <v>840</v>
      </c>
      <c r="H157" s="319">
        <v>1.25</v>
      </c>
      <c r="I157" s="322">
        <v>1.25</v>
      </c>
      <c r="J157" s="26">
        <v>3.1E-2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1.1819999999999999</v>
      </c>
      <c r="E158" s="93">
        <v>7.6999999999999999E-2</v>
      </c>
      <c r="F158" s="94">
        <v>4.0000000000000001E-3</v>
      </c>
      <c r="G158" s="319" t="s">
        <v>840</v>
      </c>
      <c r="H158" s="319">
        <v>1.25</v>
      </c>
      <c r="I158" s="322">
        <v>1.25</v>
      </c>
      <c r="J158" s="26">
        <v>3.1E-2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2.0139999999999998</v>
      </c>
      <c r="E159" s="93">
        <v>0.27400000000000002</v>
      </c>
      <c r="F159" s="94">
        <v>1.7000000000000001E-2</v>
      </c>
      <c r="G159" s="319">
        <v>29.01</v>
      </c>
      <c r="H159" s="319">
        <v>2.2999999999999998</v>
      </c>
      <c r="I159" s="322">
        <v>2.2999999999999998</v>
      </c>
      <c r="J159" s="26">
        <v>3.4000000000000002E-2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1.5649999999999999</v>
      </c>
      <c r="E160" s="93" t="s">
        <v>840</v>
      </c>
      <c r="F160" s="94" t="s">
        <v>840</v>
      </c>
      <c r="G160" s="319">
        <v>20.02</v>
      </c>
      <c r="H160" s="319">
        <v>2.2999999999999998</v>
      </c>
      <c r="I160" s="322">
        <v>2.2999999999999998</v>
      </c>
      <c r="J160" s="26">
        <v>3.4000000000000002E-2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1.419</v>
      </c>
      <c r="E161" s="93" t="s">
        <v>840</v>
      </c>
      <c r="F161" s="94" t="s">
        <v>840</v>
      </c>
      <c r="G161" s="319">
        <v>20.02</v>
      </c>
      <c r="H161" s="319">
        <v>2.2999999999999998</v>
      </c>
      <c r="I161" s="322">
        <v>2.2999999999999998</v>
      </c>
      <c r="J161" s="26">
        <v>3.4000000000000002E-2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1.2989999999999999</v>
      </c>
      <c r="E162" s="93" t="s">
        <v>840</v>
      </c>
      <c r="F162" s="94" t="s">
        <v>840</v>
      </c>
      <c r="G162" s="319">
        <v>20.02</v>
      </c>
      <c r="H162" s="319">
        <v>2.2999999999999998</v>
      </c>
      <c r="I162" s="322">
        <v>2.2999999999999998</v>
      </c>
      <c r="J162" s="26">
        <v>3.4000000000000002E-2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1.1990000000000001</v>
      </c>
      <c r="E163" s="93" t="s">
        <v>840</v>
      </c>
      <c r="F163" s="94" t="s">
        <v>840</v>
      </c>
      <c r="G163" s="319">
        <v>20.02</v>
      </c>
      <c r="H163" s="319">
        <v>2.2999999999999998</v>
      </c>
      <c r="I163" s="322">
        <v>2.2999999999999998</v>
      </c>
      <c r="J163" s="26">
        <v>3.4000000000000002E-2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1.63</v>
      </c>
      <c r="E164" s="93">
        <v>0.19400000000000001</v>
      </c>
      <c r="F164" s="94">
        <v>1.2999999999999999E-2</v>
      </c>
      <c r="G164" s="319">
        <v>74.59</v>
      </c>
      <c r="H164" s="319">
        <v>2.58</v>
      </c>
      <c r="I164" s="322">
        <v>2.58</v>
      </c>
      <c r="J164" s="26">
        <v>2.4E-2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0.66200000000000003</v>
      </c>
      <c r="E165" s="93" t="s">
        <v>840</v>
      </c>
      <c r="F165" s="94" t="s">
        <v>840</v>
      </c>
      <c r="G165" s="319" t="s">
        <v>840</v>
      </c>
      <c r="H165" s="319">
        <v>2.58</v>
      </c>
      <c r="I165" s="322">
        <v>2.58</v>
      </c>
      <c r="J165" s="26">
        <v>2.4E-2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0.21199999999999999</v>
      </c>
      <c r="E166" s="93" t="s">
        <v>840</v>
      </c>
      <c r="F166" s="94" t="s">
        <v>840</v>
      </c>
      <c r="G166" s="319" t="s">
        <v>840</v>
      </c>
      <c r="H166" s="319">
        <v>2.58</v>
      </c>
      <c r="I166" s="322">
        <v>2.58</v>
      </c>
      <c r="J166" s="26">
        <v>2.4E-2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0.12</v>
      </c>
      <c r="E167" s="93" t="s">
        <v>840</v>
      </c>
      <c r="F167" s="94" t="s">
        <v>840</v>
      </c>
      <c r="G167" s="319" t="s">
        <v>840</v>
      </c>
      <c r="H167" s="319">
        <v>2.58</v>
      </c>
      <c r="I167" s="322">
        <v>2.58</v>
      </c>
      <c r="J167" s="26">
        <v>2.4E-2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840</v>
      </c>
      <c r="E168" s="93" t="s">
        <v>840</v>
      </c>
      <c r="F168" s="94" t="s">
        <v>840</v>
      </c>
      <c r="G168" s="319" t="s">
        <v>840</v>
      </c>
      <c r="H168" s="319">
        <v>2.58</v>
      </c>
      <c r="I168" s="322">
        <v>2.58</v>
      </c>
      <c r="J168" s="26">
        <v>2.4E-2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8.7479999999999993</v>
      </c>
      <c r="E169" s="96">
        <v>0.95899999999999996</v>
      </c>
      <c r="F169" s="94">
        <v>0.60399999999999998</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2118</v>
      </c>
      <c r="D170" s="92">
        <v>-2.8250000000000002</v>
      </c>
      <c r="E170" s="93">
        <v>-0.44700000000000001</v>
      </c>
      <c r="F170" s="94">
        <v>-2.5999999999999999E-2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2118</v>
      </c>
      <c r="D171" s="92">
        <v>-2.617</v>
      </c>
      <c r="E171" s="93">
        <v>-0.39300000000000002</v>
      </c>
      <c r="F171" s="94">
        <v>-2.3E-2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-2.8250000000000002</v>
      </c>
      <c r="E172" s="93">
        <v>-0.44700000000000001</v>
      </c>
      <c r="F172" s="94">
        <v>-2.5999999999999999E-2</v>
      </c>
      <c r="G172" s="319" t="s">
        <v>840</v>
      </c>
      <c r="H172" s="320" t="s">
        <v>840</v>
      </c>
      <c r="I172" s="321" t="s">
        <v>840</v>
      </c>
      <c r="J172" s="26">
        <v>0.05</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-2.617</v>
      </c>
      <c r="E173" s="93">
        <v>-0.39300000000000002</v>
      </c>
      <c r="F173" s="94">
        <v>-2.3E-2</v>
      </c>
      <c r="G173" s="319" t="s">
        <v>840</v>
      </c>
      <c r="H173" s="320" t="s">
        <v>840</v>
      </c>
      <c r="I173" s="321" t="s">
        <v>840</v>
      </c>
      <c r="J173" s="26">
        <v>5.0999999999999997E-2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-2.9849999999999999</v>
      </c>
      <c r="E174" s="93">
        <v>-0.40600000000000003</v>
      </c>
      <c r="F174" s="94">
        <v>-2.5000000000000001E-2</v>
      </c>
      <c r="G174" s="319">
        <v>7.56</v>
      </c>
      <c r="H174" s="320" t="s">
        <v>840</v>
      </c>
      <c r="I174" s="321" t="s">
        <v>840</v>
      </c>
      <c r="J174" s="26">
        <v>6.0999999999999999E-2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2116</v>
      </c>
      <c r="D175" s="92">
        <v>1.05</v>
      </c>
      <c r="E175" s="93">
        <v>0.16600000000000001</v>
      </c>
      <c r="F175" s="94">
        <v>0.01</v>
      </c>
      <c r="G175" s="319">
        <v>0.19</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1.05</v>
      </c>
      <c r="E176" s="93">
        <v>0.16600000000000001</v>
      </c>
      <c r="F176" s="94">
        <v>0.01</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2117</v>
      </c>
      <c r="D177" s="92">
        <v>1.0069999999999999</v>
      </c>
      <c r="E177" s="93">
        <v>0.159</v>
      </c>
      <c r="F177" s="94">
        <v>8.9999999999999993E-3</v>
      </c>
      <c r="G177" s="319">
        <v>0.57999999999999996</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2117</v>
      </c>
      <c r="D178" s="92">
        <v>1.0069999999999999</v>
      </c>
      <c r="E178" s="93">
        <v>0.159</v>
      </c>
      <c r="F178" s="94">
        <v>8.9999999999999993E-3</v>
      </c>
      <c r="G178" s="319" t="s">
        <v>840</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2117</v>
      </c>
      <c r="D179" s="92">
        <v>0.98299999999999998</v>
      </c>
      <c r="E179" s="93">
        <v>0.13500000000000001</v>
      </c>
      <c r="F179" s="94" t="s">
        <v>840</v>
      </c>
      <c r="G179" s="319" t="s">
        <v>840</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2117</v>
      </c>
      <c r="D180" s="92">
        <v>0.95099999999999996</v>
      </c>
      <c r="E180" s="93">
        <v>0.104</v>
      </c>
      <c r="F180" s="94" t="s">
        <v>840</v>
      </c>
      <c r="G180" s="319" t="s">
        <v>840</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2117</v>
      </c>
      <c r="D181" s="92">
        <v>0.93100000000000005</v>
      </c>
      <c r="E181" s="93">
        <v>8.4000000000000005E-2</v>
      </c>
      <c r="F181" s="94" t="s">
        <v>840</v>
      </c>
      <c r="G181" s="319" t="s">
        <v>840</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1.0069999999999999</v>
      </c>
      <c r="E182" s="93">
        <v>0.159</v>
      </c>
      <c r="F182" s="94">
        <v>8.9999999999999993E-3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0.61</v>
      </c>
      <c r="E183" s="93">
        <v>0.09</v>
      </c>
      <c r="F183" s="94">
        <v>5.0000000000000001E-3</v>
      </c>
      <c r="G183" s="319">
        <v>2.0499999999999998</v>
      </c>
      <c r="H183" s="319">
        <v>0.45</v>
      </c>
      <c r="I183" s="322">
        <v>0.45</v>
      </c>
      <c r="J183" s="26">
        <v>1.0999999999999999E-2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0.50800000000000001</v>
      </c>
      <c r="E184" s="93">
        <v>2.8000000000000001E-2</v>
      </c>
      <c r="F184" s="94">
        <v>2E-3</v>
      </c>
      <c r="G184" s="319" t="s">
        <v>840</v>
      </c>
      <c r="H184" s="319">
        <v>0.45</v>
      </c>
      <c r="I184" s="322">
        <v>0.45</v>
      </c>
      <c r="J184" s="26">
        <v>1.0999999999999999E-2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0.47399999999999998</v>
      </c>
      <c r="E185" s="93">
        <v>2.8000000000000001E-2</v>
      </c>
      <c r="F185" s="94">
        <v>2E-3</v>
      </c>
      <c r="G185" s="319" t="s">
        <v>840</v>
      </c>
      <c r="H185" s="319">
        <v>0.45</v>
      </c>
      <c r="I185" s="322">
        <v>0.45</v>
      </c>
      <c r="J185" s="26">
        <v>1.0999999999999999E-2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0.44700000000000001</v>
      </c>
      <c r="E186" s="93">
        <v>2.8000000000000001E-2</v>
      </c>
      <c r="F186" s="94">
        <v>2E-3</v>
      </c>
      <c r="G186" s="319" t="s">
        <v>840</v>
      </c>
      <c r="H186" s="319">
        <v>0.45</v>
      </c>
      <c r="I186" s="322">
        <v>0.45</v>
      </c>
      <c r="J186" s="26">
        <v>1.0999999999999999E-2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0.42399999999999999</v>
      </c>
      <c r="E187" s="93">
        <v>2.8000000000000001E-2</v>
      </c>
      <c r="F187" s="94">
        <v>2E-3</v>
      </c>
      <c r="G187" s="319" t="s">
        <v>840</v>
      </c>
      <c r="H187" s="319">
        <v>0.45</v>
      </c>
      <c r="I187" s="322">
        <v>0.45</v>
      </c>
      <c r="J187" s="26">
        <v>1.0999999999999999E-2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0.72199999999999998</v>
      </c>
      <c r="E188" s="93">
        <v>9.8000000000000004E-2</v>
      </c>
      <c r="F188" s="94">
        <v>6.0000000000000001E-3</v>
      </c>
      <c r="G188" s="319">
        <v>10.4</v>
      </c>
      <c r="H188" s="319">
        <v>0.83</v>
      </c>
      <c r="I188" s="322">
        <v>0.83</v>
      </c>
      <c r="J188" s="26">
        <v>1.2E-2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0.56100000000000005</v>
      </c>
      <c r="E189" s="93" t="s">
        <v>840</v>
      </c>
      <c r="F189" s="94" t="s">
        <v>840</v>
      </c>
      <c r="G189" s="319">
        <v>7.18</v>
      </c>
      <c r="H189" s="319">
        <v>0.83</v>
      </c>
      <c r="I189" s="322">
        <v>0.83</v>
      </c>
      <c r="J189" s="26">
        <v>1.2E-2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0.50900000000000001</v>
      </c>
      <c r="E190" s="93" t="s">
        <v>840</v>
      </c>
      <c r="F190" s="94" t="s">
        <v>840</v>
      </c>
      <c r="G190" s="319">
        <v>7.18</v>
      </c>
      <c r="H190" s="319">
        <v>0.83</v>
      </c>
      <c r="I190" s="322">
        <v>0.83</v>
      </c>
      <c r="J190" s="26">
        <v>1.2E-2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0.46600000000000003</v>
      </c>
      <c r="E191" s="93" t="s">
        <v>840</v>
      </c>
      <c r="F191" s="94" t="s">
        <v>840</v>
      </c>
      <c r="G191" s="319">
        <v>7.18</v>
      </c>
      <c r="H191" s="319">
        <v>0.83</v>
      </c>
      <c r="I191" s="322">
        <v>0.83</v>
      </c>
      <c r="J191" s="26">
        <v>1.2E-2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0.43</v>
      </c>
      <c r="E192" s="93" t="s">
        <v>840</v>
      </c>
      <c r="F192" s="94" t="s">
        <v>840</v>
      </c>
      <c r="G192" s="319">
        <v>7.18</v>
      </c>
      <c r="H192" s="319">
        <v>0.83</v>
      </c>
      <c r="I192" s="322">
        <v>0.83</v>
      </c>
      <c r="J192" s="26">
        <v>1.2E-2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0.58499999999999996</v>
      </c>
      <c r="E193" s="93">
        <v>7.0000000000000007E-2</v>
      </c>
      <c r="F193" s="94">
        <v>5.0000000000000001E-3</v>
      </c>
      <c r="G193" s="319">
        <v>26.74</v>
      </c>
      <c r="H193" s="319">
        <v>0.93</v>
      </c>
      <c r="I193" s="322">
        <v>0.93</v>
      </c>
      <c r="J193" s="26">
        <v>8.9999999999999993E-3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0.23699999999999999</v>
      </c>
      <c r="E194" s="93" t="s">
        <v>840</v>
      </c>
      <c r="F194" s="94" t="s">
        <v>840</v>
      </c>
      <c r="G194" s="319" t="s">
        <v>840</v>
      </c>
      <c r="H194" s="319">
        <v>0.93</v>
      </c>
      <c r="I194" s="322">
        <v>0.93</v>
      </c>
      <c r="J194" s="26">
        <v>8.9999999999999993E-3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7.5999999999999998E-2</v>
      </c>
      <c r="E195" s="93" t="s">
        <v>840</v>
      </c>
      <c r="F195" s="94" t="s">
        <v>840</v>
      </c>
      <c r="G195" s="319" t="s">
        <v>840</v>
      </c>
      <c r="H195" s="319">
        <v>0.93</v>
      </c>
      <c r="I195" s="322">
        <v>0.93</v>
      </c>
      <c r="J195" s="26">
        <v>8.9999999999999993E-3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4.2999999999999997E-2</v>
      </c>
      <c r="E196" s="93" t="s">
        <v>840</v>
      </c>
      <c r="F196" s="94" t="s">
        <v>840</v>
      </c>
      <c r="G196" s="319" t="s">
        <v>840</v>
      </c>
      <c r="H196" s="319">
        <v>0.93</v>
      </c>
      <c r="I196" s="322">
        <v>0.93</v>
      </c>
      <c r="J196" s="26">
        <v>8.9999999999999993E-3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840</v>
      </c>
      <c r="E197" s="93" t="s">
        <v>840</v>
      </c>
      <c r="F197" s="94" t="s">
        <v>840</v>
      </c>
      <c r="G197" s="319" t="s">
        <v>840</v>
      </c>
      <c r="H197" s="319">
        <v>0.93</v>
      </c>
      <c r="I197" s="322">
        <v>0.93</v>
      </c>
      <c r="J197" s="26">
        <v>8.9999999999999993E-3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3.1360000000000001</v>
      </c>
      <c r="E198" s="96">
        <v>0.34399999999999997</v>
      </c>
      <c r="F198" s="94">
        <v>0.217</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2118</v>
      </c>
      <c r="D199" s="92">
        <v>-1.0129999999999999</v>
      </c>
      <c r="E199" s="93">
        <v>-0.16</v>
      </c>
      <c r="F199" s="94">
        <v>-8.9999999999999993E-3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2118</v>
      </c>
      <c r="D200" s="92">
        <v>-0.93799999999999994</v>
      </c>
      <c r="E200" s="93">
        <v>-0.14099999999999999</v>
      </c>
      <c r="F200" s="94">
        <v>-8.0000000000000002E-3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-1.0129999999999999</v>
      </c>
      <c r="E201" s="93">
        <v>-0.16</v>
      </c>
      <c r="F201" s="94">
        <v>-8.9999999999999993E-3</v>
      </c>
      <c r="G201" s="319" t="s">
        <v>840</v>
      </c>
      <c r="H201" s="320" t="s">
        <v>840</v>
      </c>
      <c r="I201" s="321" t="s">
        <v>840</v>
      </c>
      <c r="J201" s="26">
        <v>1.7999999999999999E-2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-0.93799999999999994</v>
      </c>
      <c r="E202" s="93">
        <v>-0.14099999999999999</v>
      </c>
      <c r="F202" s="94">
        <v>-8.0000000000000002E-3</v>
      </c>
      <c r="G202" s="319" t="s">
        <v>840</v>
      </c>
      <c r="H202" s="320" t="s">
        <v>840</v>
      </c>
      <c r="I202" s="321" t="s">
        <v>840</v>
      </c>
      <c r="J202" s="26">
        <v>1.7999999999999999E-2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-1.07</v>
      </c>
      <c r="E203" s="93">
        <v>-0.14599999999999999</v>
      </c>
      <c r="F203" s="94">
        <v>-8.9999999999999993E-3</v>
      </c>
      <c r="G203" s="319">
        <v>2.71</v>
      </c>
      <c r="H203" s="320" t="s">
        <v>840</v>
      </c>
      <c r="I203" s="321" t="s">
        <v>840</v>
      </c>
      <c r="J203" s="26">
        <v>2.1999999999999999E-2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1">
    <mergeCell ref="L4:R5"/>
    <mergeCell ref="F5:G5"/>
    <mergeCell ref="A2:J2"/>
    <mergeCell ref="A4:D4"/>
    <mergeCell ref="F4:J4"/>
    <mergeCell ref="F9:G9"/>
    <mergeCell ref="H9:J9"/>
    <mergeCell ref="F6:G6"/>
    <mergeCell ref="F7:G7"/>
    <mergeCell ref="B8:D8"/>
    <mergeCell ref="F8:G8"/>
  </mergeCells>
  <conditionalFormatting sqref="K14:Q203">
    <cfRule type="cellIs" dxfId="54" priority="2" operator="equal">
      <formula>0</formula>
    </cfRule>
    <cfRule type="cellIs" dxfId="53" priority="3" operator="lessThan">
      <formula>0</formula>
    </cfRule>
    <cfRule type="cellIs" dxfId="52" priority="4" operator="greaterThan">
      <formula>0</formula>
    </cfRule>
  </conditionalFormatting>
  <conditionalFormatting sqref="K14:R203">
    <cfRule type="expression" dxfId="51" priority="1">
      <formula>$K14&lt;&gt;""</formula>
    </cfRule>
  </conditionalFormatting>
  <hyperlinks>
    <hyperlink ref="A1" location="Overview!A1" display="Back to Overview" xr:uid="{758D8EEC-7317-4A24-8D97-15147E9AD0E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pageSetUpPr fitToPage="1"/>
  </sheetPr>
  <dimension ref="A1:R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8" width="19.42578125" style="6" customWidth="1"/>
    <col min="9" max="9" width="19.85546875" style="6" customWidth="1"/>
    <col min="10" max="10" width="17.28515625" style="3" bestFit="1" customWidth="1"/>
    <col min="11" max="16" width="15.5703125" style="1" customWidth="1"/>
    <col min="17" max="16384" width="9.140625" style="1"/>
  </cols>
  <sheetData>
    <row r="1" spans="1:18" ht="27.75" customHeight="1" x14ac:dyDescent="0.2">
      <c r="A1" s="32" t="s">
        <v>19</v>
      </c>
      <c r="B1" s="3"/>
      <c r="C1" s="3"/>
      <c r="D1" s="3"/>
      <c r="F1" s="3"/>
      <c r="G1" s="3"/>
      <c r="H1" s="3"/>
      <c r="I1" s="3"/>
      <c r="J1" s="1"/>
    </row>
    <row r="2" spans="1:18" ht="31.5" customHeight="1" x14ac:dyDescent="0.2">
      <c r="A2" s="468" t="str">
        <f>Overview!B4&amp;" - Effective from "&amp;TEXT(Overview!$D$4,"d mmmm yyyy")&amp;" - Final LDNO tariffs in SSE SEPD Area (GSP Group_H)"</f>
        <v>Leep Electricity Networks Limited - Effective from 1 April 2026 - Final LDNO tariffs in SSE SEPD Area (GSP Group_H)</v>
      </c>
      <c r="B2" s="468"/>
      <c r="C2" s="468"/>
      <c r="D2" s="468"/>
      <c r="E2" s="468"/>
      <c r="F2" s="468"/>
      <c r="G2" s="468"/>
      <c r="H2" s="468"/>
      <c r="I2" s="468"/>
      <c r="J2" s="468"/>
    </row>
    <row r="3" spans="1:18" ht="8.25" customHeight="1" x14ac:dyDescent="0.2">
      <c r="A3" s="47"/>
      <c r="B3" s="47"/>
      <c r="C3" s="47"/>
      <c r="D3" s="47"/>
      <c r="E3" s="47"/>
      <c r="F3" s="47"/>
      <c r="G3" s="47"/>
      <c r="H3" s="47"/>
      <c r="I3" s="47"/>
      <c r="J3" s="47"/>
    </row>
    <row r="4" spans="1:18" ht="27" customHeight="1" x14ac:dyDescent="0.2">
      <c r="A4" s="468" t="s">
        <v>308</v>
      </c>
      <c r="B4" s="468"/>
      <c r="C4" s="468"/>
      <c r="D4" s="468"/>
      <c r="E4" s="276"/>
      <c r="F4" s="468" t="s">
        <v>307</v>
      </c>
      <c r="G4" s="468"/>
      <c r="H4" s="468"/>
      <c r="I4" s="468"/>
      <c r="J4" s="468"/>
      <c r="K4" s="3"/>
      <c r="L4" s="395"/>
      <c r="M4" s="396"/>
      <c r="N4" s="396"/>
      <c r="O4" s="396"/>
      <c r="P4" s="396"/>
      <c r="Q4" s="396"/>
      <c r="R4" s="397"/>
    </row>
    <row r="5" spans="1:18" ht="32.25" customHeight="1" x14ac:dyDescent="0.2">
      <c r="A5" s="277" t="s">
        <v>13</v>
      </c>
      <c r="B5" s="278" t="s">
        <v>299</v>
      </c>
      <c r="C5" s="279" t="s">
        <v>300</v>
      </c>
      <c r="D5" s="280" t="s">
        <v>301</v>
      </c>
      <c r="E5" s="47"/>
      <c r="F5" s="481"/>
      <c r="G5" s="482"/>
      <c r="H5" s="281" t="s">
        <v>305</v>
      </c>
      <c r="I5" s="282" t="s">
        <v>306</v>
      </c>
      <c r="J5" s="280" t="s">
        <v>301</v>
      </c>
      <c r="K5" s="3"/>
      <c r="L5" s="396"/>
      <c r="M5" s="396"/>
      <c r="N5" s="396"/>
      <c r="O5" s="396"/>
      <c r="P5" s="396"/>
      <c r="Q5" s="396"/>
      <c r="R5" s="397"/>
    </row>
    <row r="6" spans="1:18" ht="56.25" customHeight="1" x14ac:dyDescent="0.2">
      <c r="A6" s="43" t="str">
        <f>'Annex 1 LV and HV charges_H'!A6</f>
        <v>Monday to Friday 
(Including Bank Holidays)
All Year</v>
      </c>
      <c r="B6" s="13" t="str">
        <f>'Annex 1 LV and HV charges_H'!B6</f>
        <v>16:30 - 19:30</v>
      </c>
      <c r="C6" s="283" t="str">
        <f>'Annex 1 LV and HV charges_H'!C6</f>
        <v/>
      </c>
      <c r="D6" s="252" t="str">
        <f>'Annex 1 LV and HV charges_H'!E6</f>
        <v/>
      </c>
      <c r="E6" s="47"/>
      <c r="F6" s="412" t="str">
        <f>'Annex 1 LV and HV charges_H'!G6</f>
        <v>Monday to Friday 
(Including Bank Holidays)
March to October Inclusive</v>
      </c>
      <c r="G6" s="412">
        <f>'Annex 1 LV and HV charges_H'!H6</f>
        <v>0</v>
      </c>
      <c r="H6" s="252" t="str">
        <f>'Annex 1 LV and HV charges_H'!I6</f>
        <v/>
      </c>
      <c r="I6" s="250" t="str">
        <f>'Annex 1 LV and HV charges_H'!J6</f>
        <v>07:00 - 22:00</v>
      </c>
      <c r="J6" s="252" t="str">
        <f>'Annex 1 LV and HV charges_H'!K6</f>
        <v/>
      </c>
      <c r="K6" s="3"/>
      <c r="L6" s="3"/>
    </row>
    <row r="7" spans="1:18" ht="56.25" customHeight="1" x14ac:dyDescent="0.2">
      <c r="A7" s="43" t="str">
        <f>'Annex 1 LV and HV charges_H'!A7</f>
        <v>Monday to Friday 
(Including Bank Holidays)
All Year</v>
      </c>
      <c r="B7" s="252" t="str">
        <f>'Annex 1 LV and HV charges_H'!B7</f>
        <v/>
      </c>
      <c r="C7" s="267" t="str">
        <f>'Annex 1 LV and HV charges_H'!C7</f>
        <v>07:00 - 16:30
19:30 - 22:00</v>
      </c>
      <c r="D7" s="252" t="str">
        <f>'Annex 1 LV and HV charges_H'!E7</f>
        <v/>
      </c>
      <c r="E7" s="47"/>
      <c r="F7" s="412" t="str">
        <f>'Annex 1 LV and HV charges_H'!G7</f>
        <v>Monday to Friday 
(Including Bank Holidays)
November to February Inclusive</v>
      </c>
      <c r="G7" s="412">
        <f>'Annex 1 LV and HV charges_H'!H7</f>
        <v>0</v>
      </c>
      <c r="H7" s="250" t="str">
        <f>'Annex 1 LV and HV charges_H'!I7</f>
        <v>16:30 - 19:30</v>
      </c>
      <c r="I7" s="250" t="str">
        <f>'Annex 1 LV and HV charges_H'!J7</f>
        <v>07:00 - 16:30
19:30 - 22:00</v>
      </c>
      <c r="J7" s="252" t="str">
        <f>'Annex 1 LV and HV charges_H'!K7</f>
        <v/>
      </c>
      <c r="K7" s="3"/>
      <c r="L7" s="3"/>
    </row>
    <row r="8" spans="1:18" ht="55.5" customHeight="1" x14ac:dyDescent="0.2">
      <c r="A8" s="259" t="str">
        <f>'Annex 1 LV and HV charges_H'!A8</f>
        <v>Monday to Friday 
(Including Bank Holidays)
All Year</v>
      </c>
      <c r="B8" s="252" t="str">
        <f>'Annex 1 LV and HV charges_H'!B8</f>
        <v/>
      </c>
      <c r="C8" s="283" t="str">
        <f>'Annex 1 LV and HV charges_H'!C8</f>
        <v/>
      </c>
      <c r="D8" s="97" t="str">
        <f>'Annex 1 LV and HV charges_H'!E8</f>
        <v>00:00 - 07:00
22:00 - 24:00</v>
      </c>
      <c r="E8" s="47"/>
      <c r="F8" s="412" t="str">
        <f>'Annex 1 LV and HV charges_H'!G8</f>
        <v>Monday to Friday 
(Including Bank Holidays)
April to March Inclusive</v>
      </c>
      <c r="G8" s="412">
        <f>'Annex 1 LV and HV charges_H'!H8</f>
        <v>0</v>
      </c>
      <c r="H8" s="252" t="str">
        <f>'Annex 1 LV and HV charges_H'!I8</f>
        <v/>
      </c>
      <c r="I8" s="252" t="str">
        <f>'Annex 1 LV and HV charges_H'!J8</f>
        <v/>
      </c>
      <c r="J8" s="97" t="str">
        <f>'Annex 1 LV and HV charges_H'!K8</f>
        <v>00:00 - 07:00
22:00 - 24:00</v>
      </c>
      <c r="K8" s="3"/>
      <c r="L8" s="3"/>
    </row>
    <row r="9" spans="1:18" s="41" customFormat="1" ht="55.5" customHeight="1" x14ac:dyDescent="0.2">
      <c r="A9" s="259" t="str">
        <f>'Annex 1 LV and HV charges_H'!A9</f>
        <v>Saturday and Sunday
All year</v>
      </c>
      <c r="B9" s="252" t="str">
        <f>'Annex 1 LV and HV charges_H'!B9</f>
        <v/>
      </c>
      <c r="C9" s="267" t="str">
        <f>'Annex 1 LV and HV charges_H'!C9</f>
        <v>09:30 - 21:30</v>
      </c>
      <c r="D9" s="97" t="str">
        <f>'Annex 1 LV and HV charges_H'!E9</f>
        <v>00:00 - 09:30
21:30 - 24:00</v>
      </c>
      <c r="E9" s="284"/>
      <c r="F9" s="412" t="str">
        <f>'Annex 1 LV and HV charges_H'!G9</f>
        <v>Saturday and Sunday
All year</v>
      </c>
      <c r="G9" s="412">
        <f>'Annex 1 LV and HV charges_H'!H9</f>
        <v>0</v>
      </c>
      <c r="H9" s="252" t="str">
        <f>'Annex 1 LV and HV charges_H'!I9</f>
        <v/>
      </c>
      <c r="I9" s="250" t="str">
        <f>'Annex 1 LV and HV charges_H'!J9</f>
        <v>09:30 - 21:30</v>
      </c>
      <c r="J9" s="97" t="str">
        <f>'Annex 1 LV and HV charges_H'!K9</f>
        <v>00:00 - 09:30
21:30 - 24:00</v>
      </c>
      <c r="K9" s="31"/>
      <c r="L9" s="31"/>
    </row>
    <row r="10" spans="1:18" s="41" customFormat="1" ht="12.75" x14ac:dyDescent="0.2">
      <c r="A10" s="259" t="str">
        <f>'Annex 1 LV and HV charges_H'!A10</f>
        <v>Notes</v>
      </c>
      <c r="B10" s="402" t="str">
        <f>'Annex 1 LV and HV charges_H'!B10</f>
        <v>All the above times are in UK Clock time</v>
      </c>
      <c r="C10" s="403">
        <f>'Annex 1 LV and HV charges_H'!C10</f>
        <v>0</v>
      </c>
      <c r="D10" s="404">
        <f>'Annex 1 LV and HV charges_H'!D10</f>
        <v>0</v>
      </c>
      <c r="F10" s="412" t="str">
        <f>'Annex 1 LV and HV charges_H'!G10</f>
        <v>Notes</v>
      </c>
      <c r="G10" s="412">
        <f>'Annex 1 LV and HV charges_H'!H10</f>
        <v>0</v>
      </c>
      <c r="H10" s="417" t="str">
        <f>'Annex 1 LV and HV charges_H'!I10</f>
        <v>All the above times are in UK Clock time</v>
      </c>
      <c r="I10" s="417">
        <f>'Annex 1 LV and HV charges_H'!J10</f>
        <v>0</v>
      </c>
      <c r="J10" s="417">
        <f>'Annex 1 LV and HV charges_H'!K10</f>
        <v>0</v>
      </c>
      <c r="K10" s="31"/>
      <c r="L10" s="31"/>
    </row>
    <row r="11" spans="1:18" s="41" customFormat="1" ht="39" customHeight="1" x14ac:dyDescent="0.2">
      <c r="B11" s="46"/>
      <c r="C11" s="46"/>
      <c r="D11" s="46"/>
      <c r="E11" s="31"/>
      <c r="F11" s="31"/>
      <c r="G11" s="31"/>
      <c r="H11" s="31"/>
      <c r="I11" s="31"/>
      <c r="J11" s="31"/>
      <c r="K11" s="31"/>
    </row>
    <row r="12" spans="1:18" s="41" customFormat="1" ht="12" customHeight="1" x14ac:dyDescent="0.2">
      <c r="A12" s="46"/>
      <c r="B12" s="46"/>
      <c r="C12" s="46"/>
      <c r="D12" s="46"/>
      <c r="E12" s="46"/>
      <c r="F12" s="49"/>
      <c r="G12" s="49"/>
      <c r="H12" s="50"/>
      <c r="I12" s="50"/>
      <c r="J12" s="50"/>
      <c r="K12" s="31"/>
    </row>
    <row r="13" spans="1:18" ht="66" customHeight="1" x14ac:dyDescent="0.2">
      <c r="A13" s="19" t="s">
        <v>458</v>
      </c>
      <c r="B13" s="19" t="s">
        <v>31</v>
      </c>
      <c r="C13" s="16" t="s">
        <v>24</v>
      </c>
      <c r="D13" s="16" t="s">
        <v>577</v>
      </c>
      <c r="E13" s="16" t="s">
        <v>578</v>
      </c>
      <c r="F13" s="16" t="s">
        <v>579</v>
      </c>
      <c r="G13" s="16" t="s">
        <v>25</v>
      </c>
      <c r="H13" s="16" t="s">
        <v>26</v>
      </c>
      <c r="I13" s="16" t="s">
        <v>459</v>
      </c>
      <c r="J13" s="16" t="s">
        <v>270</v>
      </c>
    </row>
    <row r="14" spans="1:18" ht="27" customHeight="1" x14ac:dyDescent="0.2">
      <c r="A14" s="324" t="s">
        <v>779</v>
      </c>
      <c r="B14" s="25"/>
      <c r="C14" s="326" t="s">
        <v>845</v>
      </c>
      <c r="D14" s="92">
        <v>8.8949999999999996</v>
      </c>
      <c r="E14" s="93">
        <v>1.1839999999999999</v>
      </c>
      <c r="F14" s="94">
        <v>0.06</v>
      </c>
      <c r="G14" s="319">
        <v>3.35</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8" ht="27" customHeight="1" x14ac:dyDescent="0.2">
      <c r="A15" s="324" t="s">
        <v>642</v>
      </c>
      <c r="B15" s="25"/>
      <c r="C15" s="326">
        <v>2</v>
      </c>
      <c r="D15" s="92">
        <v>8.8949999999999996</v>
      </c>
      <c r="E15" s="93">
        <v>1.1839999999999999</v>
      </c>
      <c r="F15" s="94">
        <v>0.06</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8" ht="27" customHeight="1" x14ac:dyDescent="0.2">
      <c r="A16" s="324" t="s">
        <v>786</v>
      </c>
      <c r="B16" s="25"/>
      <c r="C16" s="326" t="s">
        <v>846</v>
      </c>
      <c r="D16" s="92">
        <v>7.6539999999999999</v>
      </c>
      <c r="E16" s="93">
        <v>1.0189999999999999</v>
      </c>
      <c r="F16" s="94">
        <v>5.1999999999999998E-2</v>
      </c>
      <c r="G16" s="319">
        <v>9.81</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846</v>
      </c>
      <c r="D17" s="92">
        <v>7.6539999999999999</v>
      </c>
      <c r="E17" s="93">
        <v>1.0189999999999999</v>
      </c>
      <c r="F17" s="94">
        <v>5.1999999999999998E-2</v>
      </c>
      <c r="G17" s="319">
        <v>8.61</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846</v>
      </c>
      <c r="D18" s="92">
        <v>7.6539999999999999</v>
      </c>
      <c r="E18" s="93">
        <v>1.0189999999999999</v>
      </c>
      <c r="F18" s="94">
        <v>5.1999999999999998E-2</v>
      </c>
      <c r="G18" s="319">
        <v>2.36</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846</v>
      </c>
      <c r="D19" s="92">
        <v>7.4279999999999999</v>
      </c>
      <c r="E19" s="93">
        <v>0.79300000000000004</v>
      </c>
      <c r="F19" s="94" t="s">
        <v>840</v>
      </c>
      <c r="G19" s="319" t="s">
        <v>840</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846</v>
      </c>
      <c r="D20" s="92">
        <v>7.2480000000000002</v>
      </c>
      <c r="E20" s="93">
        <v>0.61299999999999999</v>
      </c>
      <c r="F20" s="94" t="s">
        <v>840</v>
      </c>
      <c r="G20" s="319" t="s">
        <v>840</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7.6539999999999999</v>
      </c>
      <c r="E21" s="93">
        <v>1.0189999999999999</v>
      </c>
      <c r="F21" s="94">
        <v>5.1999999999999998E-2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5.4130000000000003</v>
      </c>
      <c r="E22" s="93">
        <v>0.60699999999999998</v>
      </c>
      <c r="F22" s="94">
        <v>0.03</v>
      </c>
      <c r="G22" s="319">
        <v>17.899999999999999</v>
      </c>
      <c r="H22" s="319">
        <v>6.75</v>
      </c>
      <c r="I22" s="322">
        <v>6.75</v>
      </c>
      <c r="J22" s="26">
        <v>0.159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4.181</v>
      </c>
      <c r="E23" s="93">
        <v>0.32300000000000001</v>
      </c>
      <c r="F23" s="94">
        <v>1.7999999999999999E-2</v>
      </c>
      <c r="G23" s="319" t="s">
        <v>840</v>
      </c>
      <c r="H23" s="319">
        <v>6.75</v>
      </c>
      <c r="I23" s="322">
        <v>6.75</v>
      </c>
      <c r="J23" s="26">
        <v>0.159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3.9620000000000002</v>
      </c>
      <c r="E24" s="93">
        <v>0.32300000000000001</v>
      </c>
      <c r="F24" s="94">
        <v>1.7999999999999999E-2</v>
      </c>
      <c r="G24" s="319" t="s">
        <v>840</v>
      </c>
      <c r="H24" s="319">
        <v>6.75</v>
      </c>
      <c r="I24" s="322">
        <v>6.75</v>
      </c>
      <c r="J24" s="26">
        <v>0.159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3.7519999999999998</v>
      </c>
      <c r="E25" s="93">
        <v>0.32300000000000001</v>
      </c>
      <c r="F25" s="94">
        <v>1.7999999999999999E-2</v>
      </c>
      <c r="G25" s="319" t="s">
        <v>840</v>
      </c>
      <c r="H25" s="319">
        <v>6.75</v>
      </c>
      <c r="I25" s="322">
        <v>6.75</v>
      </c>
      <c r="J25" s="26">
        <v>0.159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3.472</v>
      </c>
      <c r="E26" s="93">
        <v>0.32300000000000001</v>
      </c>
      <c r="F26" s="94">
        <v>1.7999999999999999E-2</v>
      </c>
      <c r="G26" s="319" t="s">
        <v>840</v>
      </c>
      <c r="H26" s="319">
        <v>6.75</v>
      </c>
      <c r="I26" s="322">
        <v>6.75</v>
      </c>
      <c r="J26" s="26">
        <v>0.159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847</v>
      </c>
      <c r="D27" s="95">
        <v>17.884</v>
      </c>
      <c r="E27" s="96">
        <v>3.0030000000000001</v>
      </c>
      <c r="F27" s="94">
        <v>2.0859999999999999</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2118</v>
      </c>
      <c r="D28" s="92">
        <v>-8.4469999999999992</v>
      </c>
      <c r="E28" s="93">
        <v>-1.1240000000000001</v>
      </c>
      <c r="F28" s="94">
        <v>-5.7000000000000002E-2</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-8.4469999999999992</v>
      </c>
      <c r="E29" s="93">
        <v>-1.1240000000000001</v>
      </c>
      <c r="F29" s="94">
        <v>-5.7000000000000002E-2</v>
      </c>
      <c r="G29" s="319" t="s">
        <v>840</v>
      </c>
      <c r="H29" s="320" t="s">
        <v>840</v>
      </c>
      <c r="I29" s="321" t="s">
        <v>840</v>
      </c>
      <c r="J29" s="26">
        <v>0.313</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845</v>
      </c>
      <c r="D30" s="92">
        <v>6.3970000000000002</v>
      </c>
      <c r="E30" s="93">
        <v>0.85199999999999998</v>
      </c>
      <c r="F30" s="94">
        <v>4.2999999999999997E-2</v>
      </c>
      <c r="G30" s="319">
        <v>2.41</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6.3970000000000002</v>
      </c>
      <c r="E31" s="93">
        <v>0.85199999999999998</v>
      </c>
      <c r="F31" s="94">
        <v>4.2999999999999997E-2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846</v>
      </c>
      <c r="D32" s="92">
        <v>5.5049999999999999</v>
      </c>
      <c r="E32" s="93">
        <v>0.73299999999999998</v>
      </c>
      <c r="F32" s="94">
        <v>3.6999999999999998E-2</v>
      </c>
      <c r="G32" s="319">
        <v>7.06</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846</v>
      </c>
      <c r="D33" s="92">
        <v>5.5049999999999999</v>
      </c>
      <c r="E33" s="93">
        <v>0.73299999999999998</v>
      </c>
      <c r="F33" s="94">
        <v>3.6999999999999998E-2</v>
      </c>
      <c r="G33" s="319">
        <v>6.19</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846</v>
      </c>
      <c r="D34" s="92">
        <v>5.5049999999999999</v>
      </c>
      <c r="E34" s="93">
        <v>0.73299999999999998</v>
      </c>
      <c r="F34" s="94">
        <v>3.6999999999999998E-2</v>
      </c>
      <c r="G34" s="319">
        <v>1.69</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846</v>
      </c>
      <c r="D35" s="92">
        <v>5.3419999999999996</v>
      </c>
      <c r="E35" s="93">
        <v>0.56999999999999995</v>
      </c>
      <c r="F35" s="94" t="s">
        <v>840</v>
      </c>
      <c r="G35" s="319" t="s">
        <v>840</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846</v>
      </c>
      <c r="D36" s="92">
        <v>5.2130000000000001</v>
      </c>
      <c r="E36" s="93">
        <v>0.441</v>
      </c>
      <c r="F36" s="94" t="s">
        <v>840</v>
      </c>
      <c r="G36" s="319" t="s">
        <v>840</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5.5049999999999999</v>
      </c>
      <c r="E37" s="93">
        <v>0.73299999999999998</v>
      </c>
      <c r="F37" s="94">
        <v>3.6999999999999998E-2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3.8929999999999998</v>
      </c>
      <c r="E38" s="93">
        <v>0.436</v>
      </c>
      <c r="F38" s="94">
        <v>2.1000000000000001E-2</v>
      </c>
      <c r="G38" s="319">
        <v>12.87</v>
      </c>
      <c r="H38" s="319">
        <v>4.8499999999999996</v>
      </c>
      <c r="I38" s="322">
        <v>4.8499999999999996</v>
      </c>
      <c r="J38" s="26">
        <v>0.114</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3.0070000000000001</v>
      </c>
      <c r="E39" s="93">
        <v>0.23200000000000001</v>
      </c>
      <c r="F39" s="94">
        <v>1.2999999999999999E-2</v>
      </c>
      <c r="G39" s="319" t="s">
        <v>840</v>
      </c>
      <c r="H39" s="319">
        <v>4.8499999999999996</v>
      </c>
      <c r="I39" s="322">
        <v>4.8499999999999996</v>
      </c>
      <c r="J39" s="26">
        <v>0.114</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2.8490000000000002</v>
      </c>
      <c r="E40" s="93">
        <v>0.23200000000000001</v>
      </c>
      <c r="F40" s="94">
        <v>1.2999999999999999E-2</v>
      </c>
      <c r="G40" s="319" t="s">
        <v>840</v>
      </c>
      <c r="H40" s="319">
        <v>4.8499999999999996</v>
      </c>
      <c r="I40" s="322">
        <v>4.8499999999999996</v>
      </c>
      <c r="J40" s="26">
        <v>0.114</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2.698</v>
      </c>
      <c r="E41" s="93">
        <v>0.23200000000000001</v>
      </c>
      <c r="F41" s="94">
        <v>1.2999999999999999E-2</v>
      </c>
      <c r="G41" s="319" t="s">
        <v>840</v>
      </c>
      <c r="H41" s="319">
        <v>4.8499999999999996</v>
      </c>
      <c r="I41" s="322">
        <v>4.8499999999999996</v>
      </c>
      <c r="J41" s="26">
        <v>0.114</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2.4969999999999999</v>
      </c>
      <c r="E42" s="93">
        <v>0.23200000000000001</v>
      </c>
      <c r="F42" s="94">
        <v>1.2999999999999999E-2</v>
      </c>
      <c r="G42" s="319" t="s">
        <v>840</v>
      </c>
      <c r="H42" s="319">
        <v>4.8499999999999996</v>
      </c>
      <c r="I42" s="322">
        <v>4.8499999999999996</v>
      </c>
      <c r="J42" s="26">
        <v>0.114</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4.2759999999999998</v>
      </c>
      <c r="E43" s="93">
        <v>0.33</v>
      </c>
      <c r="F43" s="94">
        <v>1.4E-2</v>
      </c>
      <c r="G43" s="319">
        <v>46.8</v>
      </c>
      <c r="H43" s="319">
        <v>7.63</v>
      </c>
      <c r="I43" s="322">
        <v>7.63</v>
      </c>
      <c r="J43" s="26">
        <v>0.10199999999999999</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2.8460000000000001</v>
      </c>
      <c r="E44" s="93" t="s">
        <v>840</v>
      </c>
      <c r="F44" s="94" t="s">
        <v>840</v>
      </c>
      <c r="G44" s="319">
        <v>26.02</v>
      </c>
      <c r="H44" s="319">
        <v>7.63</v>
      </c>
      <c r="I44" s="322">
        <v>7.63</v>
      </c>
      <c r="J44" s="26">
        <v>0.10199999999999999</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2.5910000000000002</v>
      </c>
      <c r="E45" s="93" t="s">
        <v>840</v>
      </c>
      <c r="F45" s="94" t="s">
        <v>840</v>
      </c>
      <c r="G45" s="319">
        <v>26.02</v>
      </c>
      <c r="H45" s="319">
        <v>7.63</v>
      </c>
      <c r="I45" s="322">
        <v>7.63</v>
      </c>
      <c r="J45" s="26">
        <v>0.10199999999999999</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2.3479999999999999</v>
      </c>
      <c r="E46" s="93" t="s">
        <v>840</v>
      </c>
      <c r="F46" s="94" t="s">
        <v>840</v>
      </c>
      <c r="G46" s="319">
        <v>26.02</v>
      </c>
      <c r="H46" s="319">
        <v>7.63</v>
      </c>
      <c r="I46" s="322">
        <v>7.63</v>
      </c>
      <c r="J46" s="26">
        <v>0.10199999999999999</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2.0219999999999998</v>
      </c>
      <c r="E47" s="93" t="s">
        <v>840</v>
      </c>
      <c r="F47" s="94" t="s">
        <v>840</v>
      </c>
      <c r="G47" s="319">
        <v>26.02</v>
      </c>
      <c r="H47" s="319">
        <v>7.63</v>
      </c>
      <c r="I47" s="322">
        <v>7.63</v>
      </c>
      <c r="J47" s="26">
        <v>0.10199999999999999</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3.5470000000000002</v>
      </c>
      <c r="E48" s="93">
        <v>0.24399999999999999</v>
      </c>
      <c r="F48" s="94">
        <v>0.01</v>
      </c>
      <c r="G48" s="319">
        <v>205.92</v>
      </c>
      <c r="H48" s="319">
        <v>8.5</v>
      </c>
      <c r="I48" s="322">
        <v>8.5</v>
      </c>
      <c r="J48" s="26">
        <v>8.3000000000000004E-2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1.07</v>
      </c>
      <c r="E49" s="93" t="s">
        <v>840</v>
      </c>
      <c r="F49" s="94" t="s">
        <v>840</v>
      </c>
      <c r="G49" s="319" t="s">
        <v>840</v>
      </c>
      <c r="H49" s="319">
        <v>8.5</v>
      </c>
      <c r="I49" s="322">
        <v>8.5</v>
      </c>
      <c r="J49" s="26">
        <v>8.3000000000000004E-2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0.318</v>
      </c>
      <c r="E50" s="93" t="s">
        <v>840</v>
      </c>
      <c r="F50" s="94" t="s">
        <v>840</v>
      </c>
      <c r="G50" s="319" t="s">
        <v>840</v>
      </c>
      <c r="H50" s="319">
        <v>8.5</v>
      </c>
      <c r="I50" s="322">
        <v>8.5</v>
      </c>
      <c r="J50" s="26">
        <v>8.3000000000000004E-2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0.161</v>
      </c>
      <c r="E51" s="93" t="s">
        <v>840</v>
      </c>
      <c r="F51" s="94" t="s">
        <v>840</v>
      </c>
      <c r="G51" s="319" t="s">
        <v>840</v>
      </c>
      <c r="H51" s="319">
        <v>8.5</v>
      </c>
      <c r="I51" s="322">
        <v>8.5</v>
      </c>
      <c r="J51" s="26">
        <v>8.3000000000000004E-2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t="s">
        <v>840</v>
      </c>
      <c r="E52" s="93" t="s">
        <v>840</v>
      </c>
      <c r="F52" s="94" t="s">
        <v>840</v>
      </c>
      <c r="G52" s="319" t="s">
        <v>840</v>
      </c>
      <c r="H52" s="319">
        <v>8.5</v>
      </c>
      <c r="I52" s="322">
        <v>8.5</v>
      </c>
      <c r="J52" s="26">
        <v>8.3000000000000004E-2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847</v>
      </c>
      <c r="D53" s="95">
        <v>12.862</v>
      </c>
      <c r="E53" s="96">
        <v>2.1589999999999998</v>
      </c>
      <c r="F53" s="94">
        <v>1.5</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2118</v>
      </c>
      <c r="D54" s="92">
        <v>-8.4469999999999992</v>
      </c>
      <c r="E54" s="93">
        <v>-1.1240000000000001</v>
      </c>
      <c r="F54" s="94">
        <v>-5.7000000000000002E-2</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2118</v>
      </c>
      <c r="D55" s="92">
        <v>-7.2619999999999996</v>
      </c>
      <c r="E55" s="93">
        <v>-0.86099999999999999</v>
      </c>
      <c r="F55" s="94">
        <v>-4.2999999999999997E-2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-8.4469999999999992</v>
      </c>
      <c r="E56" s="93">
        <v>-1.1240000000000001</v>
      </c>
      <c r="F56" s="94">
        <v>-5.7000000000000002E-2</v>
      </c>
      <c r="G56" s="319" t="s">
        <v>840</v>
      </c>
      <c r="H56" s="320" t="s">
        <v>840</v>
      </c>
      <c r="I56" s="321" t="s">
        <v>840</v>
      </c>
      <c r="J56" s="26">
        <v>0.313</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-7.2619999999999996</v>
      </c>
      <c r="E57" s="93">
        <v>-0.86099999999999999</v>
      </c>
      <c r="F57" s="94">
        <v>-4.2999999999999997E-2</v>
      </c>
      <c r="G57" s="319" t="s">
        <v>840</v>
      </c>
      <c r="H57" s="320" t="s">
        <v>840</v>
      </c>
      <c r="I57" s="321" t="s">
        <v>840</v>
      </c>
      <c r="J57" s="26">
        <v>0.23</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-5.2389999999999999</v>
      </c>
      <c r="E58" s="93">
        <v>-0.40400000000000003</v>
      </c>
      <c r="F58" s="94">
        <v>-1.7000000000000001E-2</v>
      </c>
      <c r="G58" s="319" t="s">
        <v>840</v>
      </c>
      <c r="H58" s="320" t="s">
        <v>840</v>
      </c>
      <c r="I58" s="321" t="s">
        <v>840</v>
      </c>
      <c r="J58" s="26">
        <v>0.187</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845</v>
      </c>
      <c r="D59" s="92">
        <v>4.6459999999999999</v>
      </c>
      <c r="E59" s="93">
        <v>0.61799999999999999</v>
      </c>
      <c r="F59" s="94">
        <v>3.2000000000000001E-2</v>
      </c>
      <c r="G59" s="319">
        <v>1.75</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4.6459999999999999</v>
      </c>
      <c r="E60" s="93">
        <v>0.61799999999999999</v>
      </c>
      <c r="F60" s="94">
        <v>3.2000000000000001E-2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846</v>
      </c>
      <c r="D61" s="92">
        <v>3.9980000000000002</v>
      </c>
      <c r="E61" s="93">
        <v>0.53200000000000003</v>
      </c>
      <c r="F61" s="94">
        <v>2.7E-2</v>
      </c>
      <c r="G61" s="319">
        <v>5.13</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846</v>
      </c>
      <c r="D62" s="92">
        <v>3.9980000000000002</v>
      </c>
      <c r="E62" s="93">
        <v>0.53200000000000003</v>
      </c>
      <c r="F62" s="94">
        <v>2.7E-2</v>
      </c>
      <c r="G62" s="319">
        <v>4.5</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846</v>
      </c>
      <c r="D63" s="92">
        <v>3.9980000000000002</v>
      </c>
      <c r="E63" s="93">
        <v>0.53200000000000003</v>
      </c>
      <c r="F63" s="94">
        <v>2.7E-2</v>
      </c>
      <c r="G63" s="319">
        <v>1.23</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846</v>
      </c>
      <c r="D64" s="92">
        <v>3.88</v>
      </c>
      <c r="E64" s="93">
        <v>0.41399999999999998</v>
      </c>
      <c r="F64" s="94" t="s">
        <v>840</v>
      </c>
      <c r="G64" s="319" t="s">
        <v>840</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846</v>
      </c>
      <c r="D65" s="92">
        <v>3.786</v>
      </c>
      <c r="E65" s="93">
        <v>0.32</v>
      </c>
      <c r="F65" s="94" t="s">
        <v>840</v>
      </c>
      <c r="G65" s="319" t="s">
        <v>840</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3.9980000000000002</v>
      </c>
      <c r="E66" s="93">
        <v>0.53200000000000003</v>
      </c>
      <c r="F66" s="94">
        <v>2.7E-2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2.827</v>
      </c>
      <c r="E67" s="93">
        <v>0.317</v>
      </c>
      <c r="F67" s="94">
        <v>1.4999999999999999E-2</v>
      </c>
      <c r="G67" s="319">
        <v>9.35</v>
      </c>
      <c r="H67" s="319">
        <v>3.52</v>
      </c>
      <c r="I67" s="322">
        <v>3.52</v>
      </c>
      <c r="J67" s="26">
        <v>8.3000000000000004E-2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2.1840000000000002</v>
      </c>
      <c r="E68" s="93">
        <v>0.16900000000000001</v>
      </c>
      <c r="F68" s="94">
        <v>8.9999999999999993E-3</v>
      </c>
      <c r="G68" s="319" t="s">
        <v>840</v>
      </c>
      <c r="H68" s="319">
        <v>3.52</v>
      </c>
      <c r="I68" s="322">
        <v>3.52</v>
      </c>
      <c r="J68" s="26">
        <v>8.3000000000000004E-2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2.069</v>
      </c>
      <c r="E69" s="93">
        <v>0.16900000000000001</v>
      </c>
      <c r="F69" s="94">
        <v>8.9999999999999993E-3</v>
      </c>
      <c r="G69" s="319" t="s">
        <v>840</v>
      </c>
      <c r="H69" s="319">
        <v>3.52</v>
      </c>
      <c r="I69" s="322">
        <v>3.52</v>
      </c>
      <c r="J69" s="26">
        <v>8.3000000000000004E-2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1.96</v>
      </c>
      <c r="E70" s="93">
        <v>0.16900000000000001</v>
      </c>
      <c r="F70" s="94">
        <v>8.9999999999999993E-3</v>
      </c>
      <c r="G70" s="319" t="s">
        <v>840</v>
      </c>
      <c r="H70" s="319">
        <v>3.52</v>
      </c>
      <c r="I70" s="322">
        <v>3.52</v>
      </c>
      <c r="J70" s="26">
        <v>8.3000000000000004E-2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1.8129999999999999</v>
      </c>
      <c r="E71" s="93">
        <v>0.16900000000000001</v>
      </c>
      <c r="F71" s="94">
        <v>8.9999999999999993E-3</v>
      </c>
      <c r="G71" s="319" t="s">
        <v>840</v>
      </c>
      <c r="H71" s="319">
        <v>3.52</v>
      </c>
      <c r="I71" s="322">
        <v>3.52</v>
      </c>
      <c r="J71" s="26">
        <v>8.3000000000000004E-2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3.0310000000000001</v>
      </c>
      <c r="E72" s="93">
        <v>0.23400000000000001</v>
      </c>
      <c r="F72" s="94">
        <v>0.01</v>
      </c>
      <c r="G72" s="319">
        <v>33.18</v>
      </c>
      <c r="H72" s="319">
        <v>5.41</v>
      </c>
      <c r="I72" s="322">
        <v>5.41</v>
      </c>
      <c r="J72" s="26">
        <v>7.1999999999999995E-2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2.0169999999999999</v>
      </c>
      <c r="E73" s="93" t="s">
        <v>840</v>
      </c>
      <c r="F73" s="94" t="s">
        <v>840</v>
      </c>
      <c r="G73" s="319">
        <v>18.45</v>
      </c>
      <c r="H73" s="319">
        <v>5.41</v>
      </c>
      <c r="I73" s="322">
        <v>5.41</v>
      </c>
      <c r="J73" s="26">
        <v>7.1999999999999995E-2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1.837</v>
      </c>
      <c r="E74" s="93" t="s">
        <v>840</v>
      </c>
      <c r="F74" s="94" t="s">
        <v>840</v>
      </c>
      <c r="G74" s="319">
        <v>18.45</v>
      </c>
      <c r="H74" s="319">
        <v>5.41</v>
      </c>
      <c r="I74" s="322">
        <v>5.41</v>
      </c>
      <c r="J74" s="26">
        <v>7.1999999999999995E-2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1.6639999999999999</v>
      </c>
      <c r="E75" s="93" t="s">
        <v>840</v>
      </c>
      <c r="F75" s="94" t="s">
        <v>840</v>
      </c>
      <c r="G75" s="319">
        <v>18.45</v>
      </c>
      <c r="H75" s="319">
        <v>5.41</v>
      </c>
      <c r="I75" s="322">
        <v>5.41</v>
      </c>
      <c r="J75" s="26">
        <v>7.1999999999999995E-2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1.4330000000000001</v>
      </c>
      <c r="E76" s="93" t="s">
        <v>840</v>
      </c>
      <c r="F76" s="94" t="s">
        <v>840</v>
      </c>
      <c r="G76" s="319">
        <v>18.45</v>
      </c>
      <c r="H76" s="319">
        <v>5.41</v>
      </c>
      <c r="I76" s="322">
        <v>5.41</v>
      </c>
      <c r="J76" s="26">
        <v>7.1999999999999995E-2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2.488</v>
      </c>
      <c r="E77" s="93">
        <v>0.17100000000000001</v>
      </c>
      <c r="F77" s="94">
        <v>7.0000000000000001E-3</v>
      </c>
      <c r="G77" s="319">
        <v>144.44</v>
      </c>
      <c r="H77" s="319">
        <v>5.96</v>
      </c>
      <c r="I77" s="322">
        <v>5.96</v>
      </c>
      <c r="J77" s="26">
        <v>5.8000000000000003E-2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0.751</v>
      </c>
      <c r="E78" s="93" t="s">
        <v>840</v>
      </c>
      <c r="F78" s="94" t="s">
        <v>840</v>
      </c>
      <c r="G78" s="319" t="s">
        <v>840</v>
      </c>
      <c r="H78" s="319">
        <v>5.96</v>
      </c>
      <c r="I78" s="322">
        <v>5.96</v>
      </c>
      <c r="J78" s="26">
        <v>5.8000000000000003E-2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0.223</v>
      </c>
      <c r="E79" s="93" t="s">
        <v>840</v>
      </c>
      <c r="F79" s="94" t="s">
        <v>840</v>
      </c>
      <c r="G79" s="319" t="s">
        <v>840</v>
      </c>
      <c r="H79" s="319">
        <v>5.96</v>
      </c>
      <c r="I79" s="322">
        <v>5.96</v>
      </c>
      <c r="J79" s="26">
        <v>5.8000000000000003E-2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0.113</v>
      </c>
      <c r="E80" s="93" t="s">
        <v>840</v>
      </c>
      <c r="F80" s="94" t="s">
        <v>840</v>
      </c>
      <c r="G80" s="319" t="s">
        <v>840</v>
      </c>
      <c r="H80" s="319">
        <v>5.96</v>
      </c>
      <c r="I80" s="322">
        <v>5.96</v>
      </c>
      <c r="J80" s="26">
        <v>5.8000000000000003E-2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t="s">
        <v>840</v>
      </c>
      <c r="E81" s="93" t="s">
        <v>840</v>
      </c>
      <c r="F81" s="94" t="s">
        <v>840</v>
      </c>
      <c r="G81" s="319" t="s">
        <v>840</v>
      </c>
      <c r="H81" s="319">
        <v>5.96</v>
      </c>
      <c r="I81" s="322">
        <v>5.96</v>
      </c>
      <c r="J81" s="26">
        <v>5.8000000000000003E-2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847</v>
      </c>
      <c r="D82" s="95">
        <v>9.3409999999999993</v>
      </c>
      <c r="E82" s="96">
        <v>1.5680000000000001</v>
      </c>
      <c r="F82" s="94">
        <v>1.0900000000000001</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2118</v>
      </c>
      <c r="D83" s="92">
        <v>-4.4119999999999999</v>
      </c>
      <c r="E83" s="93">
        <v>-0.58699999999999997</v>
      </c>
      <c r="F83" s="94">
        <v>-0.03</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2118</v>
      </c>
      <c r="D84" s="92">
        <v>-4.3040000000000003</v>
      </c>
      <c r="E84" s="93">
        <v>-0.51</v>
      </c>
      <c r="F84" s="94">
        <v>-2.5000000000000001E-2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-4.4119999999999999</v>
      </c>
      <c r="E85" s="93">
        <v>-0.58699999999999997</v>
      </c>
      <c r="F85" s="94">
        <v>-0.03</v>
      </c>
      <c r="G85" s="319" t="s">
        <v>840</v>
      </c>
      <c r="H85" s="320" t="s">
        <v>840</v>
      </c>
      <c r="I85" s="321" t="s">
        <v>840</v>
      </c>
      <c r="J85" s="26">
        <v>0.16300000000000001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-4.3040000000000003</v>
      </c>
      <c r="E86" s="93">
        <v>-0.51</v>
      </c>
      <c r="F86" s="94">
        <v>-2.5000000000000001E-2</v>
      </c>
      <c r="G86" s="319" t="s">
        <v>840</v>
      </c>
      <c r="H86" s="320" t="s">
        <v>840</v>
      </c>
      <c r="I86" s="321" t="s">
        <v>840</v>
      </c>
      <c r="J86" s="26">
        <v>0.13600000000000001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-5.2389999999999999</v>
      </c>
      <c r="E87" s="93">
        <v>-0.40400000000000003</v>
      </c>
      <c r="F87" s="94">
        <v>-1.7000000000000001E-2</v>
      </c>
      <c r="G87" s="319">
        <v>471.07</v>
      </c>
      <c r="H87" s="320" t="s">
        <v>840</v>
      </c>
      <c r="I87" s="321" t="s">
        <v>840</v>
      </c>
      <c r="J87" s="26">
        <v>0.187</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845</v>
      </c>
      <c r="D88" s="92">
        <v>3.601</v>
      </c>
      <c r="E88" s="93">
        <v>0.47899999999999998</v>
      </c>
      <c r="F88" s="94">
        <v>2.4E-2</v>
      </c>
      <c r="G88" s="319">
        <v>1.36</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3.601</v>
      </c>
      <c r="E89" s="93">
        <v>0.47899999999999998</v>
      </c>
      <c r="F89" s="94">
        <v>2.4E-2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846</v>
      </c>
      <c r="D90" s="92">
        <v>3.0990000000000002</v>
      </c>
      <c r="E90" s="93">
        <v>0.41199999999999998</v>
      </c>
      <c r="F90" s="94">
        <v>2.1000000000000001E-2</v>
      </c>
      <c r="G90" s="319">
        <v>3.97</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846</v>
      </c>
      <c r="D91" s="92">
        <v>3.0990000000000002</v>
      </c>
      <c r="E91" s="93">
        <v>0.41199999999999998</v>
      </c>
      <c r="F91" s="94">
        <v>2.1000000000000001E-2</v>
      </c>
      <c r="G91" s="319">
        <v>3.49</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846</v>
      </c>
      <c r="D92" s="92">
        <v>3.0990000000000002</v>
      </c>
      <c r="E92" s="93">
        <v>0.41199999999999998</v>
      </c>
      <c r="F92" s="94">
        <v>2.1000000000000001E-2</v>
      </c>
      <c r="G92" s="319">
        <v>0.95</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846</v>
      </c>
      <c r="D93" s="92">
        <v>3.0070000000000001</v>
      </c>
      <c r="E93" s="93">
        <v>0.32100000000000001</v>
      </c>
      <c r="F93" s="94" t="s">
        <v>840</v>
      </c>
      <c r="G93" s="319" t="s">
        <v>840</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846</v>
      </c>
      <c r="D94" s="92">
        <v>2.9340000000000002</v>
      </c>
      <c r="E94" s="93">
        <v>0.248</v>
      </c>
      <c r="F94" s="94" t="s">
        <v>840</v>
      </c>
      <c r="G94" s="319" t="s">
        <v>840</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3.0990000000000002</v>
      </c>
      <c r="E95" s="93">
        <v>0.41199999999999998</v>
      </c>
      <c r="F95" s="94">
        <v>2.1000000000000001E-2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2.1909999999999998</v>
      </c>
      <c r="E96" s="93">
        <v>0.246</v>
      </c>
      <c r="F96" s="94">
        <v>1.2E-2</v>
      </c>
      <c r="G96" s="319">
        <v>7.24</v>
      </c>
      <c r="H96" s="319">
        <v>2.73</v>
      </c>
      <c r="I96" s="322">
        <v>2.73</v>
      </c>
      <c r="J96" s="26">
        <v>6.4000000000000001E-2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1.6930000000000001</v>
      </c>
      <c r="E97" s="93">
        <v>0.13100000000000001</v>
      </c>
      <c r="F97" s="94">
        <v>7.0000000000000001E-3</v>
      </c>
      <c r="G97" s="319" t="s">
        <v>840</v>
      </c>
      <c r="H97" s="319">
        <v>2.73</v>
      </c>
      <c r="I97" s="322">
        <v>2.73</v>
      </c>
      <c r="J97" s="26">
        <v>6.4000000000000001E-2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1.6040000000000001</v>
      </c>
      <c r="E98" s="93">
        <v>0.13100000000000001</v>
      </c>
      <c r="F98" s="94">
        <v>7.0000000000000001E-3</v>
      </c>
      <c r="G98" s="319" t="s">
        <v>840</v>
      </c>
      <c r="H98" s="319">
        <v>2.73</v>
      </c>
      <c r="I98" s="322">
        <v>2.73</v>
      </c>
      <c r="J98" s="26">
        <v>6.4000000000000001E-2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1.5189999999999999</v>
      </c>
      <c r="E99" s="93">
        <v>0.13100000000000001</v>
      </c>
      <c r="F99" s="94">
        <v>7.0000000000000001E-3</v>
      </c>
      <c r="G99" s="319" t="s">
        <v>840</v>
      </c>
      <c r="H99" s="319">
        <v>2.73</v>
      </c>
      <c r="I99" s="322">
        <v>2.73</v>
      </c>
      <c r="J99" s="26">
        <v>6.4000000000000001E-2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1.405</v>
      </c>
      <c r="E100" s="93">
        <v>0.13100000000000001</v>
      </c>
      <c r="F100" s="94">
        <v>7.0000000000000001E-3</v>
      </c>
      <c r="G100" s="319" t="s">
        <v>840</v>
      </c>
      <c r="H100" s="319">
        <v>2.73</v>
      </c>
      <c r="I100" s="322">
        <v>2.73</v>
      </c>
      <c r="J100" s="26">
        <v>6.4000000000000001E-2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2.3490000000000002</v>
      </c>
      <c r="E101" s="93">
        <v>0.18099999999999999</v>
      </c>
      <c r="F101" s="94">
        <v>8.0000000000000002E-3</v>
      </c>
      <c r="G101" s="319">
        <v>25.71</v>
      </c>
      <c r="H101" s="319">
        <v>4.1900000000000004</v>
      </c>
      <c r="I101" s="322">
        <v>4.1900000000000004</v>
      </c>
      <c r="J101" s="26">
        <v>5.6000000000000001E-2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1.5640000000000001</v>
      </c>
      <c r="E102" s="93" t="s">
        <v>840</v>
      </c>
      <c r="F102" s="94" t="s">
        <v>840</v>
      </c>
      <c r="G102" s="319">
        <v>14.3</v>
      </c>
      <c r="H102" s="319">
        <v>4.1900000000000004</v>
      </c>
      <c r="I102" s="322">
        <v>4.1900000000000004</v>
      </c>
      <c r="J102" s="26">
        <v>5.6000000000000001E-2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1.423</v>
      </c>
      <c r="E103" s="93" t="s">
        <v>840</v>
      </c>
      <c r="F103" s="94" t="s">
        <v>840</v>
      </c>
      <c r="G103" s="319">
        <v>14.3</v>
      </c>
      <c r="H103" s="319">
        <v>4.1900000000000004</v>
      </c>
      <c r="I103" s="322">
        <v>4.1900000000000004</v>
      </c>
      <c r="J103" s="26">
        <v>5.6000000000000001E-2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1.29</v>
      </c>
      <c r="E104" s="93" t="s">
        <v>840</v>
      </c>
      <c r="F104" s="94" t="s">
        <v>840</v>
      </c>
      <c r="G104" s="319">
        <v>14.3</v>
      </c>
      <c r="H104" s="319">
        <v>4.1900000000000004</v>
      </c>
      <c r="I104" s="322">
        <v>4.1900000000000004</v>
      </c>
      <c r="J104" s="26">
        <v>5.6000000000000001E-2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1.111</v>
      </c>
      <c r="E105" s="93" t="s">
        <v>840</v>
      </c>
      <c r="F105" s="94" t="s">
        <v>840</v>
      </c>
      <c r="G105" s="319">
        <v>14.3</v>
      </c>
      <c r="H105" s="319">
        <v>4.1900000000000004</v>
      </c>
      <c r="I105" s="322">
        <v>4.1900000000000004</v>
      </c>
      <c r="J105" s="26">
        <v>5.6000000000000001E-2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1.9279999999999999</v>
      </c>
      <c r="E106" s="93">
        <v>0.13200000000000001</v>
      </c>
      <c r="F106" s="94">
        <v>5.0000000000000001E-3</v>
      </c>
      <c r="G106" s="319">
        <v>111.95</v>
      </c>
      <c r="H106" s="319">
        <v>4.62</v>
      </c>
      <c r="I106" s="322">
        <v>4.62</v>
      </c>
      <c r="J106" s="26">
        <v>4.4999999999999998E-2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0.58199999999999996</v>
      </c>
      <c r="E107" s="93" t="s">
        <v>840</v>
      </c>
      <c r="F107" s="94" t="s">
        <v>840</v>
      </c>
      <c r="G107" s="319" t="s">
        <v>840</v>
      </c>
      <c r="H107" s="319">
        <v>4.62</v>
      </c>
      <c r="I107" s="322">
        <v>4.62</v>
      </c>
      <c r="J107" s="26">
        <v>4.4999999999999998E-2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0.17299999999999999</v>
      </c>
      <c r="E108" s="93" t="s">
        <v>840</v>
      </c>
      <c r="F108" s="94" t="s">
        <v>840</v>
      </c>
      <c r="G108" s="319" t="s">
        <v>840</v>
      </c>
      <c r="H108" s="319">
        <v>4.62</v>
      </c>
      <c r="I108" s="322">
        <v>4.62</v>
      </c>
      <c r="J108" s="26">
        <v>4.4999999999999998E-2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8.7999999999999995E-2</v>
      </c>
      <c r="E109" s="93" t="s">
        <v>840</v>
      </c>
      <c r="F109" s="94" t="s">
        <v>840</v>
      </c>
      <c r="G109" s="319" t="s">
        <v>840</v>
      </c>
      <c r="H109" s="319">
        <v>4.62</v>
      </c>
      <c r="I109" s="322">
        <v>4.62</v>
      </c>
      <c r="J109" s="26">
        <v>4.4999999999999998E-2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t="s">
        <v>840</v>
      </c>
      <c r="E110" s="93" t="s">
        <v>840</v>
      </c>
      <c r="F110" s="94" t="s">
        <v>840</v>
      </c>
      <c r="G110" s="319" t="s">
        <v>840</v>
      </c>
      <c r="H110" s="319">
        <v>4.62</v>
      </c>
      <c r="I110" s="322">
        <v>4.62</v>
      </c>
      <c r="J110" s="26">
        <v>4.4999999999999998E-2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847</v>
      </c>
      <c r="D111" s="95">
        <v>7.24</v>
      </c>
      <c r="E111" s="96">
        <v>1.2150000000000001</v>
      </c>
      <c r="F111" s="94">
        <v>0.84399999999999997</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2118</v>
      </c>
      <c r="D112" s="92">
        <v>-3.419</v>
      </c>
      <c r="E112" s="93">
        <v>-0.45500000000000002</v>
      </c>
      <c r="F112" s="94">
        <v>-2.3E-2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2118</v>
      </c>
      <c r="D113" s="92">
        <v>-3.3359999999999999</v>
      </c>
      <c r="E113" s="93">
        <v>-0.39600000000000002</v>
      </c>
      <c r="F113" s="94">
        <v>-0.02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-3.419</v>
      </c>
      <c r="E114" s="93">
        <v>-0.45500000000000002</v>
      </c>
      <c r="F114" s="94">
        <v>-2.3E-2</v>
      </c>
      <c r="G114" s="319" t="s">
        <v>840</v>
      </c>
      <c r="H114" s="320" t="s">
        <v>840</v>
      </c>
      <c r="I114" s="321" t="s">
        <v>840</v>
      </c>
      <c r="J114" s="26">
        <v>0.127</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-3.3359999999999999</v>
      </c>
      <c r="E115" s="93">
        <v>-0.39600000000000002</v>
      </c>
      <c r="F115" s="94">
        <v>-0.02</v>
      </c>
      <c r="G115" s="319" t="s">
        <v>840</v>
      </c>
      <c r="H115" s="320" t="s">
        <v>840</v>
      </c>
      <c r="I115" s="321" t="s">
        <v>840</v>
      </c>
      <c r="J115" s="26">
        <v>0.105</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-4.0599999999999996</v>
      </c>
      <c r="E116" s="93">
        <v>-0.313</v>
      </c>
      <c r="F116" s="94">
        <v>-1.2999999999999999E-2</v>
      </c>
      <c r="G116" s="319">
        <v>365.11</v>
      </c>
      <c r="H116" s="320" t="s">
        <v>840</v>
      </c>
      <c r="I116" s="321" t="s">
        <v>840</v>
      </c>
      <c r="J116" s="26">
        <v>0.14499999999999999</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845</v>
      </c>
      <c r="D117" s="92">
        <v>2.6890000000000001</v>
      </c>
      <c r="E117" s="93">
        <v>0.35799999999999998</v>
      </c>
      <c r="F117" s="94">
        <v>1.7999999999999999E-2</v>
      </c>
      <c r="G117" s="319">
        <v>1.01</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2.6890000000000001</v>
      </c>
      <c r="E118" s="93">
        <v>0.35799999999999998</v>
      </c>
      <c r="F118" s="94">
        <v>1.7999999999999999E-2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846</v>
      </c>
      <c r="D119" s="92">
        <v>2.3140000000000001</v>
      </c>
      <c r="E119" s="93">
        <v>0.308</v>
      </c>
      <c r="F119" s="94">
        <v>1.6E-2</v>
      </c>
      <c r="G119" s="319">
        <v>2.97</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846</v>
      </c>
      <c r="D120" s="92">
        <v>2.3140000000000001</v>
      </c>
      <c r="E120" s="93">
        <v>0.308</v>
      </c>
      <c r="F120" s="94">
        <v>1.6E-2</v>
      </c>
      <c r="G120" s="319">
        <v>2.6</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846</v>
      </c>
      <c r="D121" s="92">
        <v>2.3140000000000001</v>
      </c>
      <c r="E121" s="93">
        <v>0.308</v>
      </c>
      <c r="F121" s="94">
        <v>1.6E-2</v>
      </c>
      <c r="G121" s="319">
        <v>0.71</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846</v>
      </c>
      <c r="D122" s="92">
        <v>2.2450000000000001</v>
      </c>
      <c r="E122" s="93">
        <v>0.24</v>
      </c>
      <c r="F122" s="94" t="s">
        <v>840</v>
      </c>
      <c r="G122" s="319" t="s">
        <v>840</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846</v>
      </c>
      <c r="D123" s="92">
        <v>2.1909999999999998</v>
      </c>
      <c r="E123" s="93">
        <v>0.185</v>
      </c>
      <c r="F123" s="94" t="s">
        <v>840</v>
      </c>
      <c r="G123" s="319" t="s">
        <v>840</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2.3140000000000001</v>
      </c>
      <c r="E124" s="93">
        <v>0.308</v>
      </c>
      <c r="F124" s="94">
        <v>1.6E-2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1.6359999999999999</v>
      </c>
      <c r="E125" s="93">
        <v>0.183</v>
      </c>
      <c r="F125" s="94">
        <v>8.9999999999999993E-3</v>
      </c>
      <c r="G125" s="319">
        <v>5.41</v>
      </c>
      <c r="H125" s="319">
        <v>2.04</v>
      </c>
      <c r="I125" s="322">
        <v>2.04</v>
      </c>
      <c r="J125" s="26">
        <v>4.8000000000000001E-2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1.264</v>
      </c>
      <c r="E126" s="93">
        <v>9.8000000000000004E-2</v>
      </c>
      <c r="F126" s="94">
        <v>5.0000000000000001E-3</v>
      </c>
      <c r="G126" s="319" t="s">
        <v>840</v>
      </c>
      <c r="H126" s="319">
        <v>2.04</v>
      </c>
      <c r="I126" s="322">
        <v>2.04</v>
      </c>
      <c r="J126" s="26">
        <v>4.8000000000000001E-2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1.1970000000000001</v>
      </c>
      <c r="E127" s="93">
        <v>9.8000000000000004E-2</v>
      </c>
      <c r="F127" s="94">
        <v>5.0000000000000001E-3</v>
      </c>
      <c r="G127" s="319" t="s">
        <v>840</v>
      </c>
      <c r="H127" s="319">
        <v>2.04</v>
      </c>
      <c r="I127" s="322">
        <v>2.04</v>
      </c>
      <c r="J127" s="26">
        <v>4.8000000000000001E-2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1.1339999999999999</v>
      </c>
      <c r="E128" s="93">
        <v>9.8000000000000004E-2</v>
      </c>
      <c r="F128" s="94">
        <v>5.0000000000000001E-3</v>
      </c>
      <c r="G128" s="319" t="s">
        <v>840</v>
      </c>
      <c r="H128" s="319">
        <v>2.04</v>
      </c>
      <c r="I128" s="322">
        <v>2.04</v>
      </c>
      <c r="J128" s="26">
        <v>4.8000000000000001E-2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1.0489999999999999</v>
      </c>
      <c r="E129" s="93">
        <v>9.8000000000000004E-2</v>
      </c>
      <c r="F129" s="94">
        <v>5.0000000000000001E-3</v>
      </c>
      <c r="G129" s="319" t="s">
        <v>840</v>
      </c>
      <c r="H129" s="319">
        <v>2.04</v>
      </c>
      <c r="I129" s="322">
        <v>2.04</v>
      </c>
      <c r="J129" s="26">
        <v>4.8000000000000001E-2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1.754</v>
      </c>
      <c r="E130" s="93">
        <v>0.13500000000000001</v>
      </c>
      <c r="F130" s="94">
        <v>6.0000000000000001E-3</v>
      </c>
      <c r="G130" s="319">
        <v>19.2</v>
      </c>
      <c r="H130" s="319">
        <v>3.13</v>
      </c>
      <c r="I130" s="322">
        <v>3.13</v>
      </c>
      <c r="J130" s="26">
        <v>4.2000000000000003E-2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1.1679999999999999</v>
      </c>
      <c r="E131" s="93" t="s">
        <v>840</v>
      </c>
      <c r="F131" s="94" t="s">
        <v>840</v>
      </c>
      <c r="G131" s="319">
        <v>10.68</v>
      </c>
      <c r="H131" s="319">
        <v>3.13</v>
      </c>
      <c r="I131" s="322">
        <v>3.13</v>
      </c>
      <c r="J131" s="26">
        <v>4.2000000000000003E-2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1.0629999999999999</v>
      </c>
      <c r="E132" s="93" t="s">
        <v>840</v>
      </c>
      <c r="F132" s="94" t="s">
        <v>840</v>
      </c>
      <c r="G132" s="319">
        <v>10.68</v>
      </c>
      <c r="H132" s="319">
        <v>3.13</v>
      </c>
      <c r="I132" s="322">
        <v>3.13</v>
      </c>
      <c r="J132" s="26">
        <v>4.2000000000000003E-2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0.96299999999999997</v>
      </c>
      <c r="E133" s="93" t="s">
        <v>840</v>
      </c>
      <c r="F133" s="94" t="s">
        <v>840</v>
      </c>
      <c r="G133" s="319">
        <v>10.68</v>
      </c>
      <c r="H133" s="319">
        <v>3.13</v>
      </c>
      <c r="I133" s="322">
        <v>3.13</v>
      </c>
      <c r="J133" s="26">
        <v>4.2000000000000003E-2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0.83</v>
      </c>
      <c r="E134" s="93" t="s">
        <v>840</v>
      </c>
      <c r="F134" s="94" t="s">
        <v>840</v>
      </c>
      <c r="G134" s="319">
        <v>10.68</v>
      </c>
      <c r="H134" s="319">
        <v>3.13</v>
      </c>
      <c r="I134" s="322">
        <v>3.13</v>
      </c>
      <c r="J134" s="26">
        <v>4.2000000000000003E-2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1.44</v>
      </c>
      <c r="E135" s="93">
        <v>9.9000000000000005E-2</v>
      </c>
      <c r="F135" s="94">
        <v>4.0000000000000001E-3</v>
      </c>
      <c r="G135" s="319">
        <v>83.59</v>
      </c>
      <c r="H135" s="319">
        <v>3.45</v>
      </c>
      <c r="I135" s="322">
        <v>3.45</v>
      </c>
      <c r="J135" s="26">
        <v>3.4000000000000002E-2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0.434</v>
      </c>
      <c r="E136" s="93" t="s">
        <v>840</v>
      </c>
      <c r="F136" s="94" t="s">
        <v>840</v>
      </c>
      <c r="G136" s="319" t="s">
        <v>840</v>
      </c>
      <c r="H136" s="319">
        <v>3.45</v>
      </c>
      <c r="I136" s="322">
        <v>3.45</v>
      </c>
      <c r="J136" s="26">
        <v>3.4000000000000002E-2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0.129</v>
      </c>
      <c r="E137" s="93" t="s">
        <v>840</v>
      </c>
      <c r="F137" s="94" t="s">
        <v>840</v>
      </c>
      <c r="G137" s="319" t="s">
        <v>840</v>
      </c>
      <c r="H137" s="319">
        <v>3.45</v>
      </c>
      <c r="I137" s="322">
        <v>3.45</v>
      </c>
      <c r="J137" s="26">
        <v>3.4000000000000002E-2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6.5000000000000002E-2</v>
      </c>
      <c r="E138" s="93" t="s">
        <v>840</v>
      </c>
      <c r="F138" s="94" t="s">
        <v>840</v>
      </c>
      <c r="G138" s="319" t="s">
        <v>840</v>
      </c>
      <c r="H138" s="319">
        <v>3.45</v>
      </c>
      <c r="I138" s="322">
        <v>3.45</v>
      </c>
      <c r="J138" s="26">
        <v>3.4000000000000002E-2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t="s">
        <v>840</v>
      </c>
      <c r="E139" s="93" t="s">
        <v>840</v>
      </c>
      <c r="F139" s="94" t="s">
        <v>840</v>
      </c>
      <c r="G139" s="319" t="s">
        <v>840</v>
      </c>
      <c r="H139" s="319">
        <v>3.45</v>
      </c>
      <c r="I139" s="322">
        <v>3.45</v>
      </c>
      <c r="J139" s="26">
        <v>3.4000000000000002E-2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847</v>
      </c>
      <c r="D140" s="95">
        <v>5.4059999999999997</v>
      </c>
      <c r="E140" s="96">
        <v>0.90800000000000003</v>
      </c>
      <c r="F140" s="94">
        <v>0.63100000000000001</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2118</v>
      </c>
      <c r="D141" s="92">
        <v>-2.5529999999999999</v>
      </c>
      <c r="E141" s="93">
        <v>-0.34</v>
      </c>
      <c r="F141" s="94">
        <v>-1.7000000000000001E-2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2118</v>
      </c>
      <c r="D142" s="92">
        <v>-2.4910000000000001</v>
      </c>
      <c r="E142" s="93">
        <v>-0.29499999999999998</v>
      </c>
      <c r="F142" s="94">
        <v>-1.4999999999999999E-2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-2.5529999999999999</v>
      </c>
      <c r="E143" s="93">
        <v>-0.34</v>
      </c>
      <c r="F143" s="94">
        <v>-1.7000000000000001E-2</v>
      </c>
      <c r="G143" s="319" t="s">
        <v>840</v>
      </c>
      <c r="H143" s="320" t="s">
        <v>840</v>
      </c>
      <c r="I143" s="321" t="s">
        <v>840</v>
      </c>
      <c r="J143" s="26">
        <v>9.5000000000000001E-2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-2.4910000000000001</v>
      </c>
      <c r="E144" s="93">
        <v>-0.29499999999999998</v>
      </c>
      <c r="F144" s="94">
        <v>-1.4999999999999999E-2</v>
      </c>
      <c r="G144" s="319" t="s">
        <v>840</v>
      </c>
      <c r="H144" s="320" t="s">
        <v>840</v>
      </c>
      <c r="I144" s="321" t="s">
        <v>840</v>
      </c>
      <c r="J144" s="26">
        <v>7.9000000000000001E-2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-3.032</v>
      </c>
      <c r="E145" s="93">
        <v>-0.23400000000000001</v>
      </c>
      <c r="F145" s="94">
        <v>-0.01</v>
      </c>
      <c r="G145" s="319">
        <v>272.61</v>
      </c>
      <c r="H145" s="320" t="s">
        <v>840</v>
      </c>
      <c r="I145" s="321" t="s">
        <v>840</v>
      </c>
      <c r="J145" s="26">
        <v>0.108</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1.9410000000000001</v>
      </c>
      <c r="E146" s="93">
        <v>0.25800000000000001</v>
      </c>
      <c r="F146" s="94">
        <v>1.2999999999999999E-2</v>
      </c>
      <c r="G146" s="319">
        <v>0.73</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1.9410000000000001</v>
      </c>
      <c r="E147" s="93">
        <v>0.25800000000000001</v>
      </c>
      <c r="F147" s="94">
        <v>1.2999999999999999E-2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1.671</v>
      </c>
      <c r="E148" s="93">
        <v>0.222</v>
      </c>
      <c r="F148" s="94">
        <v>1.0999999999999999E-2</v>
      </c>
      <c r="G148" s="319">
        <v>2.14</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1.671</v>
      </c>
      <c r="E149" s="93">
        <v>0.222</v>
      </c>
      <c r="F149" s="94">
        <v>1.0999999999999999E-2</v>
      </c>
      <c r="G149" s="319">
        <v>1.88</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1.671</v>
      </c>
      <c r="E150" s="93">
        <v>0.222</v>
      </c>
      <c r="F150" s="94">
        <v>1.0999999999999999E-2</v>
      </c>
      <c r="G150" s="319">
        <v>0.51</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1.621</v>
      </c>
      <c r="E151" s="93">
        <v>0.17299999999999999</v>
      </c>
      <c r="F151" s="94" t="s">
        <v>840</v>
      </c>
      <c r="G151" s="319" t="s">
        <v>840</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1.5820000000000001</v>
      </c>
      <c r="E152" s="93">
        <v>0.13400000000000001</v>
      </c>
      <c r="F152" s="94" t="s">
        <v>840</v>
      </c>
      <c r="G152" s="319" t="s">
        <v>840</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1.671</v>
      </c>
      <c r="E153" s="93">
        <v>0.222</v>
      </c>
      <c r="F153" s="94">
        <v>1.0999999999999999E-2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1.181</v>
      </c>
      <c r="E154" s="93">
        <v>0.13200000000000001</v>
      </c>
      <c r="F154" s="94">
        <v>6.0000000000000001E-3</v>
      </c>
      <c r="G154" s="319">
        <v>3.91</v>
      </c>
      <c r="H154" s="319">
        <v>1.47</v>
      </c>
      <c r="I154" s="322">
        <v>1.47</v>
      </c>
      <c r="J154" s="26">
        <v>3.5000000000000003E-2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0.91300000000000003</v>
      </c>
      <c r="E155" s="93">
        <v>7.0000000000000007E-2</v>
      </c>
      <c r="F155" s="94">
        <v>4.0000000000000001E-3</v>
      </c>
      <c r="G155" s="319" t="s">
        <v>840</v>
      </c>
      <c r="H155" s="319">
        <v>1.47</v>
      </c>
      <c r="I155" s="322">
        <v>1.47</v>
      </c>
      <c r="J155" s="26">
        <v>3.5000000000000003E-2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0.86499999999999999</v>
      </c>
      <c r="E156" s="93">
        <v>7.0000000000000007E-2</v>
      </c>
      <c r="F156" s="94">
        <v>4.0000000000000001E-3</v>
      </c>
      <c r="G156" s="319" t="s">
        <v>840</v>
      </c>
      <c r="H156" s="319">
        <v>1.47</v>
      </c>
      <c r="I156" s="322">
        <v>1.47</v>
      </c>
      <c r="J156" s="26">
        <v>3.5000000000000003E-2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0.81899999999999995</v>
      </c>
      <c r="E157" s="93">
        <v>7.0000000000000007E-2</v>
      </c>
      <c r="F157" s="94">
        <v>4.0000000000000001E-3</v>
      </c>
      <c r="G157" s="319" t="s">
        <v>840</v>
      </c>
      <c r="H157" s="319">
        <v>1.47</v>
      </c>
      <c r="I157" s="322">
        <v>1.47</v>
      </c>
      <c r="J157" s="26">
        <v>3.5000000000000003E-2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0.75800000000000001</v>
      </c>
      <c r="E158" s="93">
        <v>7.0000000000000007E-2</v>
      </c>
      <c r="F158" s="94">
        <v>4.0000000000000001E-3</v>
      </c>
      <c r="G158" s="319" t="s">
        <v>840</v>
      </c>
      <c r="H158" s="319">
        <v>1.47</v>
      </c>
      <c r="I158" s="322">
        <v>1.47</v>
      </c>
      <c r="J158" s="26">
        <v>3.5000000000000003E-2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1.2669999999999999</v>
      </c>
      <c r="E159" s="93">
        <v>9.8000000000000004E-2</v>
      </c>
      <c r="F159" s="94">
        <v>4.0000000000000001E-3</v>
      </c>
      <c r="G159" s="319">
        <v>13.86</v>
      </c>
      <c r="H159" s="319">
        <v>2.2599999999999998</v>
      </c>
      <c r="I159" s="322">
        <v>2.2599999999999998</v>
      </c>
      <c r="J159" s="26">
        <v>0.03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0.84299999999999997</v>
      </c>
      <c r="E160" s="93" t="s">
        <v>840</v>
      </c>
      <c r="F160" s="94" t="s">
        <v>840</v>
      </c>
      <c r="G160" s="319">
        <v>7.71</v>
      </c>
      <c r="H160" s="319">
        <v>2.2599999999999998</v>
      </c>
      <c r="I160" s="322">
        <v>2.2599999999999998</v>
      </c>
      <c r="J160" s="26">
        <v>0.03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0.76700000000000002</v>
      </c>
      <c r="E161" s="93" t="s">
        <v>840</v>
      </c>
      <c r="F161" s="94" t="s">
        <v>840</v>
      </c>
      <c r="G161" s="319">
        <v>7.71</v>
      </c>
      <c r="H161" s="319">
        <v>2.2599999999999998</v>
      </c>
      <c r="I161" s="322">
        <v>2.2599999999999998</v>
      </c>
      <c r="J161" s="26">
        <v>0.03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0.69499999999999995</v>
      </c>
      <c r="E162" s="93" t="s">
        <v>840</v>
      </c>
      <c r="F162" s="94" t="s">
        <v>840</v>
      </c>
      <c r="G162" s="319">
        <v>7.71</v>
      </c>
      <c r="H162" s="319">
        <v>2.2599999999999998</v>
      </c>
      <c r="I162" s="322">
        <v>2.2599999999999998</v>
      </c>
      <c r="J162" s="26">
        <v>0.03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0.59899999999999998</v>
      </c>
      <c r="E163" s="93" t="s">
        <v>840</v>
      </c>
      <c r="F163" s="94" t="s">
        <v>840</v>
      </c>
      <c r="G163" s="319">
        <v>7.71</v>
      </c>
      <c r="H163" s="319">
        <v>2.2599999999999998</v>
      </c>
      <c r="I163" s="322">
        <v>2.2599999999999998</v>
      </c>
      <c r="J163" s="26">
        <v>0.03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1.04</v>
      </c>
      <c r="E164" s="93">
        <v>7.0999999999999994E-2</v>
      </c>
      <c r="F164" s="94">
        <v>3.0000000000000001E-3</v>
      </c>
      <c r="G164" s="319">
        <v>60.36</v>
      </c>
      <c r="H164" s="319">
        <v>2.4900000000000002</v>
      </c>
      <c r="I164" s="322">
        <v>2.4900000000000002</v>
      </c>
      <c r="J164" s="26">
        <v>2.4E-2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0.314</v>
      </c>
      <c r="E165" s="93" t="s">
        <v>840</v>
      </c>
      <c r="F165" s="94" t="s">
        <v>840</v>
      </c>
      <c r="G165" s="319" t="s">
        <v>840</v>
      </c>
      <c r="H165" s="319">
        <v>2.4900000000000002</v>
      </c>
      <c r="I165" s="322">
        <v>2.4900000000000002</v>
      </c>
      <c r="J165" s="26">
        <v>2.4E-2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9.2999999999999999E-2</v>
      </c>
      <c r="E166" s="93" t="s">
        <v>840</v>
      </c>
      <c r="F166" s="94" t="s">
        <v>840</v>
      </c>
      <c r="G166" s="319" t="s">
        <v>840</v>
      </c>
      <c r="H166" s="319">
        <v>2.4900000000000002</v>
      </c>
      <c r="I166" s="322">
        <v>2.4900000000000002</v>
      </c>
      <c r="J166" s="26">
        <v>2.4E-2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4.7E-2</v>
      </c>
      <c r="E167" s="93" t="s">
        <v>840</v>
      </c>
      <c r="F167" s="94" t="s">
        <v>840</v>
      </c>
      <c r="G167" s="319" t="s">
        <v>840</v>
      </c>
      <c r="H167" s="319">
        <v>2.4900000000000002</v>
      </c>
      <c r="I167" s="322">
        <v>2.4900000000000002</v>
      </c>
      <c r="J167" s="26">
        <v>2.4E-2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840</v>
      </c>
      <c r="E168" s="93" t="s">
        <v>840</v>
      </c>
      <c r="F168" s="94" t="s">
        <v>840</v>
      </c>
      <c r="G168" s="319" t="s">
        <v>840</v>
      </c>
      <c r="H168" s="319">
        <v>2.4900000000000002</v>
      </c>
      <c r="I168" s="322">
        <v>2.4900000000000002</v>
      </c>
      <c r="J168" s="26">
        <v>2.4E-2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3.903</v>
      </c>
      <c r="E169" s="96">
        <v>0.65500000000000003</v>
      </c>
      <c r="F169" s="94">
        <v>0.45500000000000002</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2118</v>
      </c>
      <c r="D170" s="92">
        <v>-1.843</v>
      </c>
      <c r="E170" s="93">
        <v>-0.245</v>
      </c>
      <c r="F170" s="94">
        <v>-1.2999999999999999E-2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2118</v>
      </c>
      <c r="D171" s="92">
        <v>-1.7989999999999999</v>
      </c>
      <c r="E171" s="93">
        <v>-0.21299999999999999</v>
      </c>
      <c r="F171" s="94">
        <v>-1.0999999999999999E-2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-1.843</v>
      </c>
      <c r="E172" s="93">
        <v>-0.245</v>
      </c>
      <c r="F172" s="94">
        <v>-1.2999999999999999E-2</v>
      </c>
      <c r="G172" s="319" t="s">
        <v>840</v>
      </c>
      <c r="H172" s="320" t="s">
        <v>840</v>
      </c>
      <c r="I172" s="321" t="s">
        <v>840</v>
      </c>
      <c r="J172" s="26">
        <v>6.8000000000000005E-2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-1.7989999999999999</v>
      </c>
      <c r="E173" s="93">
        <v>-0.21299999999999999</v>
      </c>
      <c r="F173" s="94">
        <v>-1.0999999999999999E-2</v>
      </c>
      <c r="G173" s="319" t="s">
        <v>840</v>
      </c>
      <c r="H173" s="320" t="s">
        <v>840</v>
      </c>
      <c r="I173" s="321" t="s">
        <v>840</v>
      </c>
      <c r="J173" s="26">
        <v>5.7000000000000002E-2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-2.1890000000000001</v>
      </c>
      <c r="E174" s="93">
        <v>-0.16900000000000001</v>
      </c>
      <c r="F174" s="94">
        <v>-7.0000000000000001E-3</v>
      </c>
      <c r="G174" s="319">
        <v>196.85</v>
      </c>
      <c r="H174" s="320" t="s">
        <v>840</v>
      </c>
      <c r="I174" s="321" t="s">
        <v>840</v>
      </c>
      <c r="J174" s="26">
        <v>7.8E-2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0.53900000000000003</v>
      </c>
      <c r="E175" s="93">
        <v>7.1999999999999995E-2</v>
      </c>
      <c r="F175" s="94">
        <v>4.0000000000000001E-3</v>
      </c>
      <c r="G175" s="319">
        <v>0.2</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0.53900000000000003</v>
      </c>
      <c r="E176" s="93">
        <v>7.1999999999999995E-2</v>
      </c>
      <c r="F176" s="94">
        <v>4.0000000000000001E-3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0.46400000000000002</v>
      </c>
      <c r="E177" s="93">
        <v>6.2E-2</v>
      </c>
      <c r="F177" s="94">
        <v>3.0000000000000001E-3</v>
      </c>
      <c r="G177" s="319">
        <v>0.59</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0.46400000000000002</v>
      </c>
      <c r="E178" s="93">
        <v>6.2E-2</v>
      </c>
      <c r="F178" s="94">
        <v>3.0000000000000001E-3</v>
      </c>
      <c r="G178" s="319">
        <v>0.52</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0.46400000000000002</v>
      </c>
      <c r="E179" s="93">
        <v>6.2E-2</v>
      </c>
      <c r="F179" s="94">
        <v>3.0000000000000001E-3</v>
      </c>
      <c r="G179" s="319">
        <v>0.14000000000000001</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0.45</v>
      </c>
      <c r="E180" s="93">
        <v>4.8000000000000001E-2</v>
      </c>
      <c r="F180" s="94" t="s">
        <v>840</v>
      </c>
      <c r="G180" s="319" t="s">
        <v>840</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0.439</v>
      </c>
      <c r="E181" s="93">
        <v>3.6999999999999998E-2</v>
      </c>
      <c r="F181" s="94" t="s">
        <v>840</v>
      </c>
      <c r="G181" s="319" t="s">
        <v>840</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0.46400000000000002</v>
      </c>
      <c r="E182" s="93">
        <v>6.2E-2</v>
      </c>
      <c r="F182" s="94">
        <v>3.0000000000000001E-3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0.32800000000000001</v>
      </c>
      <c r="E183" s="93">
        <v>3.6999999999999998E-2</v>
      </c>
      <c r="F183" s="94">
        <v>2E-3</v>
      </c>
      <c r="G183" s="319">
        <v>1.08</v>
      </c>
      <c r="H183" s="319">
        <v>0.41</v>
      </c>
      <c r="I183" s="322">
        <v>0.41</v>
      </c>
      <c r="J183" s="26">
        <v>0.01</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0.253</v>
      </c>
      <c r="E184" s="93">
        <v>0.02</v>
      </c>
      <c r="F184" s="94">
        <v>1E-3</v>
      </c>
      <c r="G184" s="319" t="s">
        <v>840</v>
      </c>
      <c r="H184" s="319">
        <v>0.41</v>
      </c>
      <c r="I184" s="322">
        <v>0.41</v>
      </c>
      <c r="J184" s="26">
        <v>0.01</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0.24</v>
      </c>
      <c r="E185" s="93">
        <v>0.02</v>
      </c>
      <c r="F185" s="94">
        <v>1E-3</v>
      </c>
      <c r="G185" s="319" t="s">
        <v>840</v>
      </c>
      <c r="H185" s="319">
        <v>0.41</v>
      </c>
      <c r="I185" s="322">
        <v>0.41</v>
      </c>
      <c r="J185" s="26">
        <v>0.01</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0.22700000000000001</v>
      </c>
      <c r="E186" s="93">
        <v>0.02</v>
      </c>
      <c r="F186" s="94">
        <v>1E-3</v>
      </c>
      <c r="G186" s="319" t="s">
        <v>840</v>
      </c>
      <c r="H186" s="319">
        <v>0.41</v>
      </c>
      <c r="I186" s="322">
        <v>0.41</v>
      </c>
      <c r="J186" s="26">
        <v>0.01</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0.21</v>
      </c>
      <c r="E187" s="93">
        <v>0.02</v>
      </c>
      <c r="F187" s="94">
        <v>1E-3</v>
      </c>
      <c r="G187" s="319" t="s">
        <v>840</v>
      </c>
      <c r="H187" s="319">
        <v>0.41</v>
      </c>
      <c r="I187" s="322">
        <v>0.41</v>
      </c>
      <c r="J187" s="26">
        <v>0.01</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0.35199999999999998</v>
      </c>
      <c r="E188" s="93">
        <v>2.7E-2</v>
      </c>
      <c r="F188" s="94">
        <v>1E-3</v>
      </c>
      <c r="G188" s="319">
        <v>3.85</v>
      </c>
      <c r="H188" s="319">
        <v>0.63</v>
      </c>
      <c r="I188" s="322">
        <v>0.63</v>
      </c>
      <c r="J188" s="26">
        <v>8.0000000000000002E-3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0.23400000000000001</v>
      </c>
      <c r="E189" s="93" t="s">
        <v>840</v>
      </c>
      <c r="F189" s="94" t="s">
        <v>840</v>
      </c>
      <c r="G189" s="319">
        <v>2.14</v>
      </c>
      <c r="H189" s="319">
        <v>0.63</v>
      </c>
      <c r="I189" s="322">
        <v>0.63</v>
      </c>
      <c r="J189" s="26">
        <v>8.0000000000000002E-3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0.21299999999999999</v>
      </c>
      <c r="E190" s="93" t="s">
        <v>840</v>
      </c>
      <c r="F190" s="94" t="s">
        <v>840</v>
      </c>
      <c r="G190" s="319">
        <v>2.14</v>
      </c>
      <c r="H190" s="319">
        <v>0.63</v>
      </c>
      <c r="I190" s="322">
        <v>0.63</v>
      </c>
      <c r="J190" s="26">
        <v>8.0000000000000002E-3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0.193</v>
      </c>
      <c r="E191" s="93" t="s">
        <v>840</v>
      </c>
      <c r="F191" s="94" t="s">
        <v>840</v>
      </c>
      <c r="G191" s="319">
        <v>2.14</v>
      </c>
      <c r="H191" s="319">
        <v>0.63</v>
      </c>
      <c r="I191" s="322">
        <v>0.63</v>
      </c>
      <c r="J191" s="26">
        <v>8.0000000000000002E-3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0.16600000000000001</v>
      </c>
      <c r="E192" s="93" t="s">
        <v>840</v>
      </c>
      <c r="F192" s="94" t="s">
        <v>840</v>
      </c>
      <c r="G192" s="319">
        <v>2.14</v>
      </c>
      <c r="H192" s="319">
        <v>0.63</v>
      </c>
      <c r="I192" s="322">
        <v>0.63</v>
      </c>
      <c r="J192" s="26">
        <v>8.0000000000000002E-3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0.28899999999999998</v>
      </c>
      <c r="E193" s="93">
        <v>0.02</v>
      </c>
      <c r="F193" s="94">
        <v>1E-3</v>
      </c>
      <c r="G193" s="319">
        <v>16.760000000000002</v>
      </c>
      <c r="H193" s="319">
        <v>0.69</v>
      </c>
      <c r="I193" s="322">
        <v>0.69</v>
      </c>
      <c r="J193" s="26">
        <v>7.0000000000000001E-3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8.6999999999999994E-2</v>
      </c>
      <c r="E194" s="93" t="s">
        <v>840</v>
      </c>
      <c r="F194" s="94" t="s">
        <v>840</v>
      </c>
      <c r="G194" s="319" t="s">
        <v>840</v>
      </c>
      <c r="H194" s="319">
        <v>0.69</v>
      </c>
      <c r="I194" s="322">
        <v>0.69</v>
      </c>
      <c r="J194" s="26">
        <v>7.0000000000000001E-3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2.5999999999999999E-2</v>
      </c>
      <c r="E195" s="93" t="s">
        <v>840</v>
      </c>
      <c r="F195" s="94" t="s">
        <v>840</v>
      </c>
      <c r="G195" s="319" t="s">
        <v>840</v>
      </c>
      <c r="H195" s="319">
        <v>0.69</v>
      </c>
      <c r="I195" s="322">
        <v>0.69</v>
      </c>
      <c r="J195" s="26">
        <v>7.0000000000000001E-3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1.2999999999999999E-2</v>
      </c>
      <c r="E196" s="93" t="s">
        <v>840</v>
      </c>
      <c r="F196" s="94" t="s">
        <v>840</v>
      </c>
      <c r="G196" s="319" t="s">
        <v>840</v>
      </c>
      <c r="H196" s="319">
        <v>0.69</v>
      </c>
      <c r="I196" s="322">
        <v>0.69</v>
      </c>
      <c r="J196" s="26">
        <v>7.0000000000000001E-3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840</v>
      </c>
      <c r="E197" s="93" t="s">
        <v>840</v>
      </c>
      <c r="F197" s="94" t="s">
        <v>840</v>
      </c>
      <c r="G197" s="319" t="s">
        <v>840</v>
      </c>
      <c r="H197" s="319">
        <v>0.69</v>
      </c>
      <c r="I197" s="322">
        <v>0.69</v>
      </c>
      <c r="J197" s="26">
        <v>7.0000000000000001E-3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1.0840000000000001</v>
      </c>
      <c r="E198" s="96">
        <v>0.182</v>
      </c>
      <c r="F198" s="94">
        <v>0.126</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2118</v>
      </c>
      <c r="D199" s="92">
        <v>-0.51200000000000001</v>
      </c>
      <c r="E199" s="93">
        <v>-6.8000000000000005E-2</v>
      </c>
      <c r="F199" s="94">
        <v>-3.0000000000000001E-3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2118</v>
      </c>
      <c r="D200" s="92">
        <v>-0.5</v>
      </c>
      <c r="E200" s="93">
        <v>-5.8999999999999997E-2</v>
      </c>
      <c r="F200" s="94">
        <v>-3.0000000000000001E-3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-0.51200000000000001</v>
      </c>
      <c r="E201" s="93">
        <v>-6.8000000000000005E-2</v>
      </c>
      <c r="F201" s="94">
        <v>-3.0000000000000001E-3</v>
      </c>
      <c r="G201" s="319" t="s">
        <v>840</v>
      </c>
      <c r="H201" s="320" t="s">
        <v>840</v>
      </c>
      <c r="I201" s="321" t="s">
        <v>840</v>
      </c>
      <c r="J201" s="26">
        <v>1.9E-2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-0.5</v>
      </c>
      <c r="E202" s="93">
        <v>-5.8999999999999997E-2</v>
      </c>
      <c r="F202" s="94">
        <v>-3.0000000000000001E-3</v>
      </c>
      <c r="G202" s="319" t="s">
        <v>840</v>
      </c>
      <c r="H202" s="320" t="s">
        <v>840</v>
      </c>
      <c r="I202" s="321" t="s">
        <v>840</v>
      </c>
      <c r="J202" s="26">
        <v>1.6E-2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-0.60799999999999998</v>
      </c>
      <c r="E203" s="93">
        <v>-4.7E-2</v>
      </c>
      <c r="F203" s="94">
        <v>-2E-3</v>
      </c>
      <c r="G203" s="319">
        <v>54.67</v>
      </c>
      <c r="H203" s="320" t="s">
        <v>840</v>
      </c>
      <c r="I203" s="321" t="s">
        <v>840</v>
      </c>
      <c r="J203" s="26">
        <v>2.1999999999999999E-2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2">
    <mergeCell ref="L4:R5"/>
    <mergeCell ref="F8:G8"/>
    <mergeCell ref="F9:G9"/>
    <mergeCell ref="F10:G10"/>
    <mergeCell ref="B10:D10"/>
    <mergeCell ref="H10:J10"/>
    <mergeCell ref="F7:G7"/>
    <mergeCell ref="A2:J2"/>
    <mergeCell ref="A4:D4"/>
    <mergeCell ref="F4:J4"/>
    <mergeCell ref="F5:G5"/>
    <mergeCell ref="F6:G6"/>
  </mergeCells>
  <conditionalFormatting sqref="K14:Q203">
    <cfRule type="cellIs" dxfId="50" priority="2" operator="equal">
      <formula>0</formula>
    </cfRule>
    <cfRule type="cellIs" dxfId="49" priority="3" operator="lessThan">
      <formula>0</formula>
    </cfRule>
    <cfRule type="cellIs" dxfId="48" priority="4" operator="greaterThan">
      <formula>0</formula>
    </cfRule>
  </conditionalFormatting>
  <conditionalFormatting sqref="K14:R203">
    <cfRule type="expression" dxfId="47" priority="1">
      <formula>$K14&lt;&gt;""</formula>
    </cfRule>
  </conditionalFormatting>
  <hyperlinks>
    <hyperlink ref="A1" location="Overview!A1" display="Back to Overview" xr:uid="{6D096F48-F13C-497A-93F4-7CF068377DB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1"/>
      <c r="F1" s="1"/>
      <c r="G1" s="1"/>
      <c r="H1" s="1"/>
      <c r="I1" s="3"/>
      <c r="J1" s="1"/>
    </row>
    <row r="2" spans="1:17" ht="31.5" customHeight="1" x14ac:dyDescent="0.2">
      <c r="A2" s="468" t="str">
        <f>Overview!B4&amp;" - Effective from "&amp;TEXT(Overview!$D$4,"d mmmm yyyy")&amp;" - Final LDNO tariffs in UKPN SPN Area (GSP Group_J)"</f>
        <v>Leep Electricity Networks Limited - Effective from 1 April 2026 - Final LDNO tariffs in UKPN SPN Area (GSP Group_J)</v>
      </c>
      <c r="B2" s="468"/>
      <c r="C2" s="468"/>
      <c r="D2" s="468"/>
      <c r="E2" s="468"/>
      <c r="F2" s="468"/>
      <c r="G2" s="468"/>
      <c r="H2" s="468"/>
      <c r="I2" s="468"/>
      <c r="J2" s="468"/>
    </row>
    <row r="3" spans="1:17" ht="8.25" customHeight="1" x14ac:dyDescent="0.2">
      <c r="A3" s="47"/>
      <c r="B3" s="47"/>
      <c r="C3" s="47"/>
      <c r="D3" s="47"/>
      <c r="E3" s="47"/>
      <c r="F3" s="47"/>
      <c r="G3" s="47"/>
      <c r="H3" s="47"/>
      <c r="I3" s="47"/>
      <c r="J3" s="47"/>
    </row>
    <row r="4" spans="1:17" ht="27" customHeight="1" x14ac:dyDescent="0.2">
      <c r="A4" s="371" t="s">
        <v>308</v>
      </c>
      <c r="B4" s="371"/>
      <c r="C4" s="371"/>
      <c r="D4" s="371"/>
      <c r="E4" s="51"/>
      <c r="F4" s="371" t="s">
        <v>307</v>
      </c>
      <c r="G4" s="371"/>
      <c r="H4" s="371"/>
      <c r="I4" s="371"/>
      <c r="J4" s="371"/>
      <c r="K4" s="3"/>
    </row>
    <row r="5" spans="1:17" ht="32.25" customHeight="1" x14ac:dyDescent="0.2">
      <c r="A5" s="40" t="s">
        <v>13</v>
      </c>
      <c r="B5" s="258" t="s">
        <v>299</v>
      </c>
      <c r="C5" s="182" t="s">
        <v>300</v>
      </c>
      <c r="D5" s="42" t="s">
        <v>301</v>
      </c>
      <c r="E5" s="46"/>
      <c r="F5" s="368"/>
      <c r="G5" s="369"/>
      <c r="H5" s="44" t="s">
        <v>305</v>
      </c>
      <c r="I5" s="45" t="s">
        <v>306</v>
      </c>
      <c r="J5" s="42" t="s">
        <v>301</v>
      </c>
      <c r="K5" s="3"/>
      <c r="L5" s="3"/>
    </row>
    <row r="6" spans="1:17" ht="54.75" customHeight="1" x14ac:dyDescent="0.2">
      <c r="A6" s="43" t="str">
        <f>'Annex 1 LV and HV charges_J'!A6</f>
        <v>Monday to Friday 
(Including Bank Holidays)
All Year</v>
      </c>
      <c r="B6" s="250" t="str">
        <f>'Annex 1 LV and HV charges_J'!B6</f>
        <v>16:00 - 19:00</v>
      </c>
      <c r="C6" s="250" t="str">
        <f>'Annex 1 LV and HV charges_J'!C6</f>
        <v>07:00 - 16:00
19:00 - 23:00</v>
      </c>
      <c r="D6" s="97" t="str">
        <f>'Annex 1 LV and HV charges_J'!E6</f>
        <v>00:00 - 07:00
23:00 - 24:00</v>
      </c>
      <c r="E6" s="46"/>
      <c r="F6" s="380" t="str">
        <f>'Annex 1 LV and HV charges_J'!G6</f>
        <v>Monday to Friday 
(Including Bank Holidays)
November to February Inclusive</v>
      </c>
      <c r="G6" s="381">
        <f>'Annex 1 LV and HV charges_J'!H6</f>
        <v>0</v>
      </c>
      <c r="H6" s="250" t="str">
        <f>'Annex 1 LV and HV charges_J'!I6</f>
        <v>16:00 - 19:00</v>
      </c>
      <c r="I6" s="250" t="str">
        <f>'Annex 1 LV and HV charges_J'!J6</f>
        <v>07:00 - 16:00
19:00 - 23:00</v>
      </c>
      <c r="J6" s="97" t="str">
        <f>'Annex 1 LV and HV charges_J'!K6</f>
        <v>00:00 - 07:00
23:00 - 24:00</v>
      </c>
      <c r="K6" s="3"/>
      <c r="L6" s="3"/>
    </row>
    <row r="7" spans="1:17" ht="50.25" customHeight="1" x14ac:dyDescent="0.2">
      <c r="A7" s="43" t="str">
        <f>'Annex 1 LV and HV charges_J'!A7</f>
        <v>Saturday and Sunday
All Year</v>
      </c>
      <c r="B7" s="252" t="str">
        <f>'Annex 1 LV and HV charges_J'!B7</f>
        <v/>
      </c>
      <c r="C7" s="183" t="str">
        <f>'Annex 1 LV and HV charges_J'!C7</f>
        <v/>
      </c>
      <c r="D7" s="250" t="str">
        <f>'Annex 1 LV and HV charges_J'!E7</f>
        <v>00:00 - 24:00</v>
      </c>
      <c r="E7" s="46"/>
      <c r="F7" s="380" t="str">
        <f>'Annex 1 LV and HV charges_J'!G7</f>
        <v>Monday to Friday 
(Including Bank Holidays)
March to October Inclusive</v>
      </c>
      <c r="G7" s="381">
        <f>'Annex 1 LV and HV charges_J'!H7</f>
        <v>0</v>
      </c>
      <c r="H7" s="252" t="str">
        <f>'Annex 1 LV and HV charges_J'!I7</f>
        <v/>
      </c>
      <c r="I7" s="250" t="str">
        <f>'Annex 1 LV and HV charges_J'!J7</f>
        <v>07:00 - 23:00</v>
      </c>
      <c r="J7" s="97" t="str">
        <f>'Annex 1 LV and HV charges_J'!K7</f>
        <v>00:00 - 07:00
23:00 - 24:00</v>
      </c>
      <c r="K7" s="3"/>
      <c r="L7" s="3"/>
    </row>
    <row r="8" spans="1:17" ht="55.5" customHeight="1" x14ac:dyDescent="0.2">
      <c r="A8" s="259" t="str">
        <f>'Annex 1 LV and HV charges_J'!A8</f>
        <v>Notes</v>
      </c>
      <c r="B8" s="380" t="str">
        <f>'Annex 1 LV and HV charges_J'!B8</f>
        <v>All the above times are in UK Clock time</v>
      </c>
      <c r="C8" s="394">
        <f>'Annex 1 LV and HV charges_J'!C8</f>
        <v>0</v>
      </c>
      <c r="D8" s="381">
        <f>'Annex 1 LV and HV charges_J'!D8</f>
        <v>0</v>
      </c>
      <c r="E8" s="46"/>
      <c r="F8" s="380" t="str">
        <f>'Annex 1 LV and HV charges_J'!G8</f>
        <v>Saturday and Sunday
All Year</v>
      </c>
      <c r="G8" s="381">
        <f>'Annex 1 LV and HV charges_J'!H8</f>
        <v>0</v>
      </c>
      <c r="H8" s="252" t="str">
        <f>'Annex 1 LV and HV charges_J'!I8</f>
        <v/>
      </c>
      <c r="I8" s="252" t="str">
        <f>'Annex 1 LV and HV charges_J'!J8</f>
        <v/>
      </c>
      <c r="J8" s="250" t="str">
        <f>'Annex 1 LV and HV charges_J'!K8</f>
        <v>00:00 - 24:00</v>
      </c>
      <c r="K8" s="3"/>
      <c r="L8" s="3"/>
    </row>
    <row r="9" spans="1:17" s="41" customFormat="1" ht="34.5" customHeight="1" x14ac:dyDescent="0.2">
      <c r="B9" s="46"/>
      <c r="C9" s="46"/>
      <c r="D9" s="46"/>
      <c r="E9" s="48"/>
      <c r="F9" s="412" t="str">
        <f>'Annex 1 LV and HV charges_J'!G9</f>
        <v>Notes</v>
      </c>
      <c r="G9" s="412">
        <f>'Annex 1 LV and HV charges_J'!H9</f>
        <v>0</v>
      </c>
      <c r="H9" s="380" t="str">
        <f>'Annex 1 LV and HV charges_J'!I9</f>
        <v>All the above times are in UK Clock time</v>
      </c>
      <c r="I9" s="394">
        <f>'Annex 1 LV and HV charges_J'!J9</f>
        <v>0</v>
      </c>
      <c r="J9" s="381">
        <f>'Annex 1 LV and HV charges_J'!K9</f>
        <v>0</v>
      </c>
      <c r="K9" s="31"/>
    </row>
    <row r="10" spans="1:17" s="41" customFormat="1" ht="12" customHeight="1" x14ac:dyDescent="0.2">
      <c r="A10" s="46"/>
      <c r="B10" s="46"/>
      <c r="C10" s="46"/>
      <c r="D10" s="46"/>
      <c r="E10" s="46"/>
      <c r="F10" s="49"/>
      <c r="G10" s="49"/>
      <c r="H10" s="50"/>
      <c r="I10" s="50"/>
      <c r="J10" s="50"/>
      <c r="K10" s="31"/>
    </row>
    <row r="11" spans="1:17" s="41" customFormat="1" ht="12" customHeight="1" x14ac:dyDescent="0.2">
      <c r="A11" s="46"/>
      <c r="B11" s="46"/>
      <c r="C11" s="46"/>
      <c r="D11" s="46"/>
      <c r="E11" s="46"/>
      <c r="F11" s="49"/>
      <c r="G11" s="49"/>
      <c r="H11" s="50"/>
      <c r="I11" s="50"/>
      <c r="J11" s="50"/>
      <c r="K11" s="31"/>
    </row>
    <row r="12" spans="1:17" s="41" customFormat="1" ht="12" customHeight="1" x14ac:dyDescent="0.2">
      <c r="A12" s="46"/>
      <c r="B12" s="46"/>
      <c r="C12" s="46"/>
      <c r="D12" s="46"/>
      <c r="E12" s="46"/>
      <c r="F12" s="49"/>
      <c r="G12" s="49"/>
      <c r="H12" s="50"/>
      <c r="I12" s="50"/>
      <c r="J12" s="50"/>
      <c r="K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845</v>
      </c>
      <c r="D14" s="92">
        <v>14.003</v>
      </c>
      <c r="E14" s="93">
        <v>0.50700000000000001</v>
      </c>
      <c r="F14" s="94">
        <v>0.157</v>
      </c>
      <c r="G14" s="319">
        <v>6.31</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14.003</v>
      </c>
      <c r="E15" s="93">
        <v>0.50700000000000001</v>
      </c>
      <c r="F15" s="94">
        <v>0.157</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846</v>
      </c>
      <c r="D16" s="92">
        <v>10.464</v>
      </c>
      <c r="E16" s="93">
        <v>0.379</v>
      </c>
      <c r="F16" s="94">
        <v>0.11700000000000001</v>
      </c>
      <c r="G16" s="319">
        <v>6.13</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846</v>
      </c>
      <c r="D17" s="92">
        <v>10.464</v>
      </c>
      <c r="E17" s="93">
        <v>0.379</v>
      </c>
      <c r="F17" s="94">
        <v>0.11700000000000001</v>
      </c>
      <c r="G17" s="319">
        <v>6.62</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846</v>
      </c>
      <c r="D18" s="92">
        <v>10.464</v>
      </c>
      <c r="E18" s="93">
        <v>0.379</v>
      </c>
      <c r="F18" s="94">
        <v>0.11700000000000001</v>
      </c>
      <c r="G18" s="319">
        <v>7.58</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846</v>
      </c>
      <c r="D19" s="92">
        <v>10.464</v>
      </c>
      <c r="E19" s="93">
        <v>0.379</v>
      </c>
      <c r="F19" s="94">
        <v>0.11700000000000001</v>
      </c>
      <c r="G19" s="319">
        <v>9.17</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846</v>
      </c>
      <c r="D20" s="92">
        <v>10.464</v>
      </c>
      <c r="E20" s="93">
        <v>0.379</v>
      </c>
      <c r="F20" s="94">
        <v>0.11700000000000001</v>
      </c>
      <c r="G20" s="319">
        <v>14.64</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10.464</v>
      </c>
      <c r="E21" s="93">
        <v>0.379</v>
      </c>
      <c r="F21" s="94">
        <v>0.11700000000000001</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7.4610000000000003</v>
      </c>
      <c r="E22" s="93">
        <v>0.25600000000000001</v>
      </c>
      <c r="F22" s="94">
        <v>0.08</v>
      </c>
      <c r="G22" s="319">
        <v>13.72</v>
      </c>
      <c r="H22" s="319">
        <v>5.65</v>
      </c>
      <c r="I22" s="322">
        <v>5.65</v>
      </c>
      <c r="J22" s="26">
        <v>0.23799999999999999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7.4610000000000003</v>
      </c>
      <c r="E23" s="93">
        <v>0.25600000000000001</v>
      </c>
      <c r="F23" s="94">
        <v>0.08</v>
      </c>
      <c r="G23" s="319">
        <v>30.71</v>
      </c>
      <c r="H23" s="319">
        <v>5.65</v>
      </c>
      <c r="I23" s="322">
        <v>5.65</v>
      </c>
      <c r="J23" s="26">
        <v>0.23799999999999999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7.4610000000000003</v>
      </c>
      <c r="E24" s="93">
        <v>0.25600000000000001</v>
      </c>
      <c r="F24" s="94">
        <v>0.08</v>
      </c>
      <c r="G24" s="319">
        <v>43.41</v>
      </c>
      <c r="H24" s="319">
        <v>5.65</v>
      </c>
      <c r="I24" s="322">
        <v>5.65</v>
      </c>
      <c r="J24" s="26">
        <v>0.23799999999999999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7.4610000000000003</v>
      </c>
      <c r="E25" s="93">
        <v>0.25600000000000001</v>
      </c>
      <c r="F25" s="94">
        <v>0.08</v>
      </c>
      <c r="G25" s="319">
        <v>59.28</v>
      </c>
      <c r="H25" s="319">
        <v>5.65</v>
      </c>
      <c r="I25" s="322">
        <v>5.65</v>
      </c>
      <c r="J25" s="26">
        <v>0.23799999999999999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7.4610000000000003</v>
      </c>
      <c r="E26" s="93">
        <v>0.25600000000000001</v>
      </c>
      <c r="F26" s="94">
        <v>0.08</v>
      </c>
      <c r="G26" s="319">
        <v>120.23</v>
      </c>
      <c r="H26" s="319">
        <v>5.65</v>
      </c>
      <c r="I26" s="322">
        <v>5.65</v>
      </c>
      <c r="J26" s="26">
        <v>0.23799999999999999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847</v>
      </c>
      <c r="D27" s="95">
        <v>37.993000000000002</v>
      </c>
      <c r="E27" s="96">
        <v>1.6919999999999999</v>
      </c>
      <c r="F27" s="94">
        <v>1.3460000000000001</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848</v>
      </c>
      <c r="D28" s="92">
        <v>-12.382</v>
      </c>
      <c r="E28" s="93">
        <v>-0.44800000000000001</v>
      </c>
      <c r="F28" s="94">
        <v>-0.13900000000000001</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-12.382</v>
      </c>
      <c r="E29" s="93">
        <v>-0.44800000000000001</v>
      </c>
      <c r="F29" s="94">
        <v>-0.13900000000000001</v>
      </c>
      <c r="G29" s="319" t="s">
        <v>840</v>
      </c>
      <c r="H29" s="320" t="s">
        <v>840</v>
      </c>
      <c r="I29" s="321" t="s">
        <v>840</v>
      </c>
      <c r="J29" s="26">
        <v>0.41199999999999998</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845</v>
      </c>
      <c r="D30" s="92">
        <v>10.7</v>
      </c>
      <c r="E30" s="93">
        <v>0.38700000000000001</v>
      </c>
      <c r="F30" s="94">
        <v>0.12</v>
      </c>
      <c r="G30" s="319">
        <v>4.82</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10.7</v>
      </c>
      <c r="E31" s="93">
        <v>0.38700000000000001</v>
      </c>
      <c r="F31" s="94">
        <v>0.12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846</v>
      </c>
      <c r="D32" s="92">
        <v>7.9960000000000004</v>
      </c>
      <c r="E32" s="93">
        <v>0.28899999999999998</v>
      </c>
      <c r="F32" s="94">
        <v>0.09</v>
      </c>
      <c r="G32" s="319">
        <v>4.6900000000000004</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846</v>
      </c>
      <c r="D33" s="92">
        <v>7.9960000000000004</v>
      </c>
      <c r="E33" s="93">
        <v>0.28899999999999998</v>
      </c>
      <c r="F33" s="94">
        <v>0.09</v>
      </c>
      <c r="G33" s="319">
        <v>5.0599999999999996</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846</v>
      </c>
      <c r="D34" s="92">
        <v>7.9960000000000004</v>
      </c>
      <c r="E34" s="93">
        <v>0.28899999999999998</v>
      </c>
      <c r="F34" s="94">
        <v>0.09</v>
      </c>
      <c r="G34" s="319">
        <v>5.79</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846</v>
      </c>
      <c r="D35" s="92">
        <v>7.9960000000000004</v>
      </c>
      <c r="E35" s="93">
        <v>0.28899999999999998</v>
      </c>
      <c r="F35" s="94">
        <v>0.09</v>
      </c>
      <c r="G35" s="319">
        <v>7.01</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846</v>
      </c>
      <c r="D36" s="92">
        <v>7.9960000000000004</v>
      </c>
      <c r="E36" s="93">
        <v>0.28899999999999998</v>
      </c>
      <c r="F36" s="94">
        <v>0.09</v>
      </c>
      <c r="G36" s="319">
        <v>11.19</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7.9960000000000004</v>
      </c>
      <c r="E37" s="93">
        <v>0.28899999999999998</v>
      </c>
      <c r="F37" s="94">
        <v>0.09</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5.7009999999999996</v>
      </c>
      <c r="E38" s="93">
        <v>0.19600000000000001</v>
      </c>
      <c r="F38" s="94">
        <v>6.0999999999999999E-2</v>
      </c>
      <c r="G38" s="319">
        <v>10.49</v>
      </c>
      <c r="H38" s="319">
        <v>4.32</v>
      </c>
      <c r="I38" s="322">
        <v>4.32</v>
      </c>
      <c r="J38" s="26">
        <v>0.182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5.7009999999999996</v>
      </c>
      <c r="E39" s="93">
        <v>0.19600000000000001</v>
      </c>
      <c r="F39" s="94">
        <v>6.0999999999999999E-2</v>
      </c>
      <c r="G39" s="319">
        <v>23.47</v>
      </c>
      <c r="H39" s="319">
        <v>4.32</v>
      </c>
      <c r="I39" s="322">
        <v>4.32</v>
      </c>
      <c r="J39" s="26">
        <v>0.182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5.7009999999999996</v>
      </c>
      <c r="E40" s="93">
        <v>0.19600000000000001</v>
      </c>
      <c r="F40" s="94">
        <v>6.0999999999999999E-2</v>
      </c>
      <c r="G40" s="319">
        <v>33.17</v>
      </c>
      <c r="H40" s="319">
        <v>4.32</v>
      </c>
      <c r="I40" s="322">
        <v>4.32</v>
      </c>
      <c r="J40" s="26">
        <v>0.182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5.7009999999999996</v>
      </c>
      <c r="E41" s="93">
        <v>0.19600000000000001</v>
      </c>
      <c r="F41" s="94">
        <v>6.0999999999999999E-2</v>
      </c>
      <c r="G41" s="319">
        <v>45.3</v>
      </c>
      <c r="H41" s="319">
        <v>4.32</v>
      </c>
      <c r="I41" s="322">
        <v>4.32</v>
      </c>
      <c r="J41" s="26">
        <v>0.182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5.7009999999999996</v>
      </c>
      <c r="E42" s="93">
        <v>0.19600000000000001</v>
      </c>
      <c r="F42" s="94">
        <v>6.0999999999999999E-2</v>
      </c>
      <c r="G42" s="319">
        <v>91.87</v>
      </c>
      <c r="H42" s="319">
        <v>4.32</v>
      </c>
      <c r="I42" s="322">
        <v>4.32</v>
      </c>
      <c r="J42" s="26">
        <v>0.182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5.3540000000000001</v>
      </c>
      <c r="E43" s="93">
        <v>0.16600000000000001</v>
      </c>
      <c r="F43" s="94">
        <v>5.2999999999999999E-2</v>
      </c>
      <c r="G43" s="319">
        <v>13.44</v>
      </c>
      <c r="H43" s="319">
        <v>5.71</v>
      </c>
      <c r="I43" s="322">
        <v>5.71</v>
      </c>
      <c r="J43" s="26">
        <v>0.16600000000000001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5.3540000000000001</v>
      </c>
      <c r="E44" s="93">
        <v>0.16600000000000001</v>
      </c>
      <c r="F44" s="94">
        <v>5.2999999999999999E-2</v>
      </c>
      <c r="G44" s="319">
        <v>33.35</v>
      </c>
      <c r="H44" s="319">
        <v>5.71</v>
      </c>
      <c r="I44" s="322">
        <v>5.71</v>
      </c>
      <c r="J44" s="26">
        <v>0.16600000000000001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5.3540000000000001</v>
      </c>
      <c r="E45" s="93">
        <v>0.16600000000000001</v>
      </c>
      <c r="F45" s="94">
        <v>5.2999999999999999E-2</v>
      </c>
      <c r="G45" s="319">
        <v>48.24</v>
      </c>
      <c r="H45" s="319">
        <v>5.71</v>
      </c>
      <c r="I45" s="322">
        <v>5.71</v>
      </c>
      <c r="J45" s="26">
        <v>0.16600000000000001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5.3540000000000001</v>
      </c>
      <c r="E46" s="93">
        <v>0.16600000000000001</v>
      </c>
      <c r="F46" s="94">
        <v>5.2999999999999999E-2</v>
      </c>
      <c r="G46" s="319">
        <v>66.849999999999994</v>
      </c>
      <c r="H46" s="319">
        <v>5.71</v>
      </c>
      <c r="I46" s="322">
        <v>5.71</v>
      </c>
      <c r="J46" s="26">
        <v>0.16600000000000001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5.3540000000000001</v>
      </c>
      <c r="E47" s="93">
        <v>0.16600000000000001</v>
      </c>
      <c r="F47" s="94">
        <v>5.2999999999999999E-2</v>
      </c>
      <c r="G47" s="319">
        <v>138.32</v>
      </c>
      <c r="H47" s="319">
        <v>5.71</v>
      </c>
      <c r="I47" s="322">
        <v>5.71</v>
      </c>
      <c r="J47" s="26">
        <v>0.16600000000000001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5.2110000000000003</v>
      </c>
      <c r="E48" s="93">
        <v>0.153</v>
      </c>
      <c r="F48" s="94">
        <v>4.9000000000000002E-2</v>
      </c>
      <c r="G48" s="319">
        <v>152.44</v>
      </c>
      <c r="H48" s="319">
        <v>5.77</v>
      </c>
      <c r="I48" s="322">
        <v>5.77</v>
      </c>
      <c r="J48" s="26">
        <v>0.16200000000000001</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5.2110000000000003</v>
      </c>
      <c r="E49" s="93">
        <v>0.153</v>
      </c>
      <c r="F49" s="94">
        <v>4.9000000000000002E-2</v>
      </c>
      <c r="G49" s="319">
        <v>312.70999999999998</v>
      </c>
      <c r="H49" s="319">
        <v>5.77</v>
      </c>
      <c r="I49" s="322">
        <v>5.77</v>
      </c>
      <c r="J49" s="26">
        <v>0.16200000000000001</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5.2110000000000003</v>
      </c>
      <c r="E50" s="93">
        <v>0.153</v>
      </c>
      <c r="F50" s="94">
        <v>4.9000000000000002E-2</v>
      </c>
      <c r="G50" s="319">
        <v>552.13</v>
      </c>
      <c r="H50" s="319">
        <v>5.77</v>
      </c>
      <c r="I50" s="322">
        <v>5.77</v>
      </c>
      <c r="J50" s="26">
        <v>0.16200000000000001</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5.2110000000000003</v>
      </c>
      <c r="E51" s="93">
        <v>0.153</v>
      </c>
      <c r="F51" s="94">
        <v>4.9000000000000002E-2</v>
      </c>
      <c r="G51" s="319">
        <v>721.65</v>
      </c>
      <c r="H51" s="319">
        <v>5.77</v>
      </c>
      <c r="I51" s="322">
        <v>5.77</v>
      </c>
      <c r="J51" s="26">
        <v>0.16200000000000001</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5.2110000000000003</v>
      </c>
      <c r="E52" s="93">
        <v>0.153</v>
      </c>
      <c r="F52" s="94">
        <v>4.9000000000000002E-2</v>
      </c>
      <c r="G52" s="319">
        <v>1796.21</v>
      </c>
      <c r="H52" s="319">
        <v>5.77</v>
      </c>
      <c r="I52" s="322">
        <v>5.77</v>
      </c>
      <c r="J52" s="26">
        <v>0.16200000000000001</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847</v>
      </c>
      <c r="D53" s="95">
        <v>29.032</v>
      </c>
      <c r="E53" s="96">
        <v>1.2929999999999999</v>
      </c>
      <c r="F53" s="94">
        <v>1.0289999999999999</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848</v>
      </c>
      <c r="D54" s="92">
        <v>-12.382</v>
      </c>
      <c r="E54" s="93">
        <v>-0.44800000000000001</v>
      </c>
      <c r="F54" s="94">
        <v>-0.13900000000000001</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0</v>
      </c>
      <c r="D55" s="92">
        <v>-10.023999999999999</v>
      </c>
      <c r="E55" s="93">
        <v>-0.35</v>
      </c>
      <c r="F55" s="94">
        <v>-0.109</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-12.382</v>
      </c>
      <c r="E56" s="93">
        <v>-0.44800000000000001</v>
      </c>
      <c r="F56" s="94">
        <v>-0.13900000000000001</v>
      </c>
      <c r="G56" s="319" t="s">
        <v>840</v>
      </c>
      <c r="H56" s="320" t="s">
        <v>840</v>
      </c>
      <c r="I56" s="321" t="s">
        <v>840</v>
      </c>
      <c r="J56" s="26">
        <v>0.41199999999999998</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-10.023999999999999</v>
      </c>
      <c r="E57" s="93">
        <v>-0.35</v>
      </c>
      <c r="F57" s="94">
        <v>-0.109</v>
      </c>
      <c r="G57" s="319" t="s">
        <v>840</v>
      </c>
      <c r="H57" s="320" t="s">
        <v>840</v>
      </c>
      <c r="I57" s="321" t="s">
        <v>840</v>
      </c>
      <c r="J57" s="26">
        <v>0.312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-7.0069999999999997</v>
      </c>
      <c r="E58" s="93">
        <v>-0.218</v>
      </c>
      <c r="F58" s="94">
        <v>-6.9000000000000006E-2</v>
      </c>
      <c r="G58" s="319" t="s">
        <v>840</v>
      </c>
      <c r="H58" s="320" t="s">
        <v>840</v>
      </c>
      <c r="I58" s="321" t="s">
        <v>840</v>
      </c>
      <c r="J58" s="26">
        <v>0.27100000000000002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845</v>
      </c>
      <c r="D59" s="92">
        <v>7.71</v>
      </c>
      <c r="E59" s="93">
        <v>0.27900000000000003</v>
      </c>
      <c r="F59" s="94">
        <v>8.5999999999999993E-2</v>
      </c>
      <c r="G59" s="319">
        <v>3.47</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7.71</v>
      </c>
      <c r="E60" s="93">
        <v>0.27900000000000003</v>
      </c>
      <c r="F60" s="94">
        <v>8.5999999999999993E-2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846</v>
      </c>
      <c r="D61" s="92">
        <v>5.7619999999999996</v>
      </c>
      <c r="E61" s="93">
        <v>0.20799999999999999</v>
      </c>
      <c r="F61" s="94">
        <v>6.5000000000000002E-2</v>
      </c>
      <c r="G61" s="319">
        <v>3.38</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846</v>
      </c>
      <c r="D62" s="92">
        <v>5.7619999999999996</v>
      </c>
      <c r="E62" s="93">
        <v>0.20799999999999999</v>
      </c>
      <c r="F62" s="94">
        <v>6.5000000000000002E-2</v>
      </c>
      <c r="G62" s="319">
        <v>3.65</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846</v>
      </c>
      <c r="D63" s="92">
        <v>5.7619999999999996</v>
      </c>
      <c r="E63" s="93">
        <v>0.20799999999999999</v>
      </c>
      <c r="F63" s="94">
        <v>6.5000000000000002E-2</v>
      </c>
      <c r="G63" s="319">
        <v>4.18</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846</v>
      </c>
      <c r="D64" s="92">
        <v>5.7619999999999996</v>
      </c>
      <c r="E64" s="93">
        <v>0.20799999999999999</v>
      </c>
      <c r="F64" s="94">
        <v>6.5000000000000002E-2</v>
      </c>
      <c r="G64" s="319">
        <v>5.05</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846</v>
      </c>
      <c r="D65" s="92">
        <v>5.7619999999999996</v>
      </c>
      <c r="E65" s="93">
        <v>0.20799999999999999</v>
      </c>
      <c r="F65" s="94">
        <v>6.5000000000000002E-2</v>
      </c>
      <c r="G65" s="319">
        <v>8.06</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5.7619999999999996</v>
      </c>
      <c r="E66" s="93">
        <v>0.20799999999999999</v>
      </c>
      <c r="F66" s="94">
        <v>6.5000000000000002E-2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4.1079999999999997</v>
      </c>
      <c r="E67" s="93">
        <v>0.14099999999999999</v>
      </c>
      <c r="F67" s="94">
        <v>4.3999999999999997E-2</v>
      </c>
      <c r="G67" s="319">
        <v>7.56</v>
      </c>
      <c r="H67" s="319">
        <v>3.11</v>
      </c>
      <c r="I67" s="322">
        <v>3.11</v>
      </c>
      <c r="J67" s="26">
        <v>0.13100000000000001</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4.1079999999999997</v>
      </c>
      <c r="E68" s="93">
        <v>0.14099999999999999</v>
      </c>
      <c r="F68" s="94">
        <v>4.3999999999999997E-2</v>
      </c>
      <c r="G68" s="319">
        <v>16.91</v>
      </c>
      <c r="H68" s="319">
        <v>3.11</v>
      </c>
      <c r="I68" s="322">
        <v>3.11</v>
      </c>
      <c r="J68" s="26">
        <v>0.13100000000000001</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4.1079999999999997</v>
      </c>
      <c r="E69" s="93">
        <v>0.14099999999999999</v>
      </c>
      <c r="F69" s="94">
        <v>4.3999999999999997E-2</v>
      </c>
      <c r="G69" s="319">
        <v>23.9</v>
      </c>
      <c r="H69" s="319">
        <v>3.11</v>
      </c>
      <c r="I69" s="322">
        <v>3.11</v>
      </c>
      <c r="J69" s="26">
        <v>0.13100000000000001</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4.1079999999999997</v>
      </c>
      <c r="E70" s="93">
        <v>0.14099999999999999</v>
      </c>
      <c r="F70" s="94">
        <v>4.3999999999999997E-2</v>
      </c>
      <c r="G70" s="319">
        <v>32.64</v>
      </c>
      <c r="H70" s="319">
        <v>3.11</v>
      </c>
      <c r="I70" s="322">
        <v>3.11</v>
      </c>
      <c r="J70" s="26">
        <v>0.13100000000000001</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4.1079999999999997</v>
      </c>
      <c r="E71" s="93">
        <v>0.14099999999999999</v>
      </c>
      <c r="F71" s="94">
        <v>4.3999999999999997E-2</v>
      </c>
      <c r="G71" s="319">
        <v>66.2</v>
      </c>
      <c r="H71" s="319">
        <v>3.11</v>
      </c>
      <c r="I71" s="322">
        <v>3.11</v>
      </c>
      <c r="J71" s="26">
        <v>0.13100000000000001</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3.8039999999999998</v>
      </c>
      <c r="E72" s="93">
        <v>0.11799999999999999</v>
      </c>
      <c r="F72" s="94">
        <v>3.6999999999999998E-2</v>
      </c>
      <c r="G72" s="319">
        <v>9.5500000000000007</v>
      </c>
      <c r="H72" s="319">
        <v>4.0599999999999996</v>
      </c>
      <c r="I72" s="322">
        <v>4.0599999999999996</v>
      </c>
      <c r="J72" s="26">
        <v>0.11799999999999999</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3.8039999999999998</v>
      </c>
      <c r="E73" s="93">
        <v>0.11799999999999999</v>
      </c>
      <c r="F73" s="94">
        <v>3.6999999999999998E-2</v>
      </c>
      <c r="G73" s="319">
        <v>23.7</v>
      </c>
      <c r="H73" s="319">
        <v>4.0599999999999996</v>
      </c>
      <c r="I73" s="322">
        <v>4.0599999999999996</v>
      </c>
      <c r="J73" s="26">
        <v>0.11799999999999999</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3.8039999999999998</v>
      </c>
      <c r="E74" s="93">
        <v>0.11799999999999999</v>
      </c>
      <c r="F74" s="94">
        <v>3.6999999999999998E-2</v>
      </c>
      <c r="G74" s="319">
        <v>34.28</v>
      </c>
      <c r="H74" s="319">
        <v>4.0599999999999996</v>
      </c>
      <c r="I74" s="322">
        <v>4.0599999999999996</v>
      </c>
      <c r="J74" s="26">
        <v>0.11799999999999999</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3.8039999999999998</v>
      </c>
      <c r="E75" s="93">
        <v>0.11799999999999999</v>
      </c>
      <c r="F75" s="94">
        <v>3.6999999999999998E-2</v>
      </c>
      <c r="G75" s="319">
        <v>47.5</v>
      </c>
      <c r="H75" s="319">
        <v>4.0599999999999996</v>
      </c>
      <c r="I75" s="322">
        <v>4.0599999999999996</v>
      </c>
      <c r="J75" s="26">
        <v>0.11799999999999999</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3.8039999999999998</v>
      </c>
      <c r="E76" s="93">
        <v>0.11799999999999999</v>
      </c>
      <c r="F76" s="94">
        <v>3.6999999999999998E-2</v>
      </c>
      <c r="G76" s="319">
        <v>98.28</v>
      </c>
      <c r="H76" s="319">
        <v>4.0599999999999996</v>
      </c>
      <c r="I76" s="322">
        <v>4.0599999999999996</v>
      </c>
      <c r="J76" s="26">
        <v>0.11799999999999999</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3.6829999999999998</v>
      </c>
      <c r="E77" s="93">
        <v>0.108</v>
      </c>
      <c r="F77" s="94">
        <v>3.4000000000000002E-2</v>
      </c>
      <c r="G77" s="319">
        <v>107.75</v>
      </c>
      <c r="H77" s="319">
        <v>4.08</v>
      </c>
      <c r="I77" s="322">
        <v>4.08</v>
      </c>
      <c r="J77" s="26">
        <v>0.114</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3.6829999999999998</v>
      </c>
      <c r="E78" s="93">
        <v>0.108</v>
      </c>
      <c r="F78" s="94">
        <v>3.4000000000000002E-2</v>
      </c>
      <c r="G78" s="319">
        <v>221.04</v>
      </c>
      <c r="H78" s="319">
        <v>4.08</v>
      </c>
      <c r="I78" s="322">
        <v>4.08</v>
      </c>
      <c r="J78" s="26">
        <v>0.114</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3.6829999999999998</v>
      </c>
      <c r="E79" s="93">
        <v>0.108</v>
      </c>
      <c r="F79" s="94">
        <v>3.4000000000000002E-2</v>
      </c>
      <c r="G79" s="319">
        <v>390.28</v>
      </c>
      <c r="H79" s="319">
        <v>4.08</v>
      </c>
      <c r="I79" s="322">
        <v>4.08</v>
      </c>
      <c r="J79" s="26">
        <v>0.114</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3.6829999999999998</v>
      </c>
      <c r="E80" s="93">
        <v>0.108</v>
      </c>
      <c r="F80" s="94">
        <v>3.4000000000000002E-2</v>
      </c>
      <c r="G80" s="319">
        <v>510.1</v>
      </c>
      <c r="H80" s="319">
        <v>4.08</v>
      </c>
      <c r="I80" s="322">
        <v>4.08</v>
      </c>
      <c r="J80" s="26">
        <v>0.114</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3.6829999999999998</v>
      </c>
      <c r="E81" s="93">
        <v>0.108</v>
      </c>
      <c r="F81" s="94">
        <v>3.4000000000000002E-2</v>
      </c>
      <c r="G81" s="319">
        <v>1269.6600000000001</v>
      </c>
      <c r="H81" s="319">
        <v>4.08</v>
      </c>
      <c r="I81" s="322">
        <v>4.08</v>
      </c>
      <c r="J81" s="26">
        <v>0.114</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847</v>
      </c>
      <c r="D82" s="95">
        <v>20.92</v>
      </c>
      <c r="E82" s="96">
        <v>0.93200000000000005</v>
      </c>
      <c r="F82" s="94">
        <v>0.74099999999999999</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848</v>
      </c>
      <c r="D83" s="92">
        <v>-6.8040000000000003</v>
      </c>
      <c r="E83" s="93">
        <v>-0.246</v>
      </c>
      <c r="F83" s="94">
        <v>-7.5999999999999998E-2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0</v>
      </c>
      <c r="D84" s="92">
        <v>-6.1429999999999998</v>
      </c>
      <c r="E84" s="93">
        <v>-0.215</v>
      </c>
      <c r="F84" s="94">
        <v>-6.7000000000000004E-2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-6.8040000000000003</v>
      </c>
      <c r="E85" s="93">
        <v>-0.246</v>
      </c>
      <c r="F85" s="94">
        <v>-7.5999999999999998E-2</v>
      </c>
      <c r="G85" s="319" t="s">
        <v>840</v>
      </c>
      <c r="H85" s="320" t="s">
        <v>840</v>
      </c>
      <c r="I85" s="321" t="s">
        <v>840</v>
      </c>
      <c r="J85" s="26">
        <v>0.22600000000000001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-6.1429999999999998</v>
      </c>
      <c r="E86" s="93">
        <v>-0.215</v>
      </c>
      <c r="F86" s="94">
        <v>-6.7000000000000004E-2</v>
      </c>
      <c r="G86" s="319" t="s">
        <v>840</v>
      </c>
      <c r="H86" s="320" t="s">
        <v>840</v>
      </c>
      <c r="I86" s="321" t="s">
        <v>840</v>
      </c>
      <c r="J86" s="26">
        <v>0.191</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-7.0069999999999997</v>
      </c>
      <c r="E87" s="93">
        <v>-0.218</v>
      </c>
      <c r="F87" s="94">
        <v>-6.9000000000000006E-2</v>
      </c>
      <c r="G87" s="319">
        <v>12.47</v>
      </c>
      <c r="H87" s="320" t="s">
        <v>840</v>
      </c>
      <c r="I87" s="321" t="s">
        <v>840</v>
      </c>
      <c r="J87" s="26">
        <v>0.27100000000000002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845</v>
      </c>
      <c r="D88" s="92">
        <v>6.1710000000000003</v>
      </c>
      <c r="E88" s="93">
        <v>0.223</v>
      </c>
      <c r="F88" s="94">
        <v>6.9000000000000006E-2</v>
      </c>
      <c r="G88" s="319">
        <v>2.78</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6.1710000000000003</v>
      </c>
      <c r="E89" s="93">
        <v>0.223</v>
      </c>
      <c r="F89" s="94">
        <v>6.9000000000000006E-2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846</v>
      </c>
      <c r="D90" s="92">
        <v>4.6109999999999998</v>
      </c>
      <c r="E90" s="93">
        <v>0.16700000000000001</v>
      </c>
      <c r="F90" s="94">
        <v>5.1999999999999998E-2</v>
      </c>
      <c r="G90" s="319">
        <v>2.7</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846</v>
      </c>
      <c r="D91" s="92">
        <v>4.6109999999999998</v>
      </c>
      <c r="E91" s="93">
        <v>0.16700000000000001</v>
      </c>
      <c r="F91" s="94">
        <v>5.1999999999999998E-2</v>
      </c>
      <c r="G91" s="319">
        <v>2.92</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846</v>
      </c>
      <c r="D92" s="92">
        <v>4.6109999999999998</v>
      </c>
      <c r="E92" s="93">
        <v>0.16700000000000001</v>
      </c>
      <c r="F92" s="94">
        <v>5.1999999999999998E-2</v>
      </c>
      <c r="G92" s="319">
        <v>3.34</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846</v>
      </c>
      <c r="D93" s="92">
        <v>4.6109999999999998</v>
      </c>
      <c r="E93" s="93">
        <v>0.16700000000000001</v>
      </c>
      <c r="F93" s="94">
        <v>5.1999999999999998E-2</v>
      </c>
      <c r="G93" s="319">
        <v>4.04</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846</v>
      </c>
      <c r="D94" s="92">
        <v>4.6109999999999998</v>
      </c>
      <c r="E94" s="93">
        <v>0.16700000000000001</v>
      </c>
      <c r="F94" s="94">
        <v>5.1999999999999998E-2</v>
      </c>
      <c r="G94" s="319">
        <v>6.45</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4.6109999999999998</v>
      </c>
      <c r="E95" s="93">
        <v>0.16700000000000001</v>
      </c>
      <c r="F95" s="94">
        <v>5.1999999999999998E-2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3.2879999999999998</v>
      </c>
      <c r="E96" s="93">
        <v>0.113</v>
      </c>
      <c r="F96" s="94">
        <v>3.5000000000000003E-2</v>
      </c>
      <c r="G96" s="319">
        <v>6.05</v>
      </c>
      <c r="H96" s="319">
        <v>2.4900000000000002</v>
      </c>
      <c r="I96" s="322">
        <v>2.4900000000000002</v>
      </c>
      <c r="J96" s="26">
        <v>0.105</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3.2879999999999998</v>
      </c>
      <c r="E97" s="93">
        <v>0.113</v>
      </c>
      <c r="F97" s="94">
        <v>3.5000000000000003E-2</v>
      </c>
      <c r="G97" s="319">
        <v>13.53</v>
      </c>
      <c r="H97" s="319">
        <v>2.4900000000000002</v>
      </c>
      <c r="I97" s="322">
        <v>2.4900000000000002</v>
      </c>
      <c r="J97" s="26">
        <v>0.105</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3.2879999999999998</v>
      </c>
      <c r="E98" s="93">
        <v>0.113</v>
      </c>
      <c r="F98" s="94">
        <v>3.5000000000000003E-2</v>
      </c>
      <c r="G98" s="319">
        <v>19.13</v>
      </c>
      <c r="H98" s="319">
        <v>2.4900000000000002</v>
      </c>
      <c r="I98" s="322">
        <v>2.4900000000000002</v>
      </c>
      <c r="J98" s="26">
        <v>0.105</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3.2879999999999998</v>
      </c>
      <c r="E99" s="93">
        <v>0.113</v>
      </c>
      <c r="F99" s="94">
        <v>3.5000000000000003E-2</v>
      </c>
      <c r="G99" s="319">
        <v>26.12</v>
      </c>
      <c r="H99" s="319">
        <v>2.4900000000000002</v>
      </c>
      <c r="I99" s="322">
        <v>2.4900000000000002</v>
      </c>
      <c r="J99" s="26">
        <v>0.105</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3.2879999999999998</v>
      </c>
      <c r="E100" s="93">
        <v>0.113</v>
      </c>
      <c r="F100" s="94">
        <v>3.5000000000000003E-2</v>
      </c>
      <c r="G100" s="319">
        <v>52.98</v>
      </c>
      <c r="H100" s="319">
        <v>2.4900000000000002</v>
      </c>
      <c r="I100" s="322">
        <v>2.4900000000000002</v>
      </c>
      <c r="J100" s="26">
        <v>0.105</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3.0449999999999999</v>
      </c>
      <c r="E101" s="93">
        <v>9.5000000000000001E-2</v>
      </c>
      <c r="F101" s="94">
        <v>0.03</v>
      </c>
      <c r="G101" s="319">
        <v>7.64</v>
      </c>
      <c r="H101" s="319">
        <v>3.25</v>
      </c>
      <c r="I101" s="322">
        <v>3.25</v>
      </c>
      <c r="J101" s="26">
        <v>9.4E-2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3.0449999999999999</v>
      </c>
      <c r="E102" s="93">
        <v>9.5000000000000001E-2</v>
      </c>
      <c r="F102" s="94">
        <v>0.03</v>
      </c>
      <c r="G102" s="319">
        <v>18.97</v>
      </c>
      <c r="H102" s="319">
        <v>3.25</v>
      </c>
      <c r="I102" s="322">
        <v>3.25</v>
      </c>
      <c r="J102" s="26">
        <v>9.4E-2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3.0449999999999999</v>
      </c>
      <c r="E103" s="93">
        <v>9.5000000000000001E-2</v>
      </c>
      <c r="F103" s="94">
        <v>0.03</v>
      </c>
      <c r="G103" s="319">
        <v>27.43</v>
      </c>
      <c r="H103" s="319">
        <v>3.25</v>
      </c>
      <c r="I103" s="322">
        <v>3.25</v>
      </c>
      <c r="J103" s="26">
        <v>9.4E-2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3.0449999999999999</v>
      </c>
      <c r="E104" s="93">
        <v>9.5000000000000001E-2</v>
      </c>
      <c r="F104" s="94">
        <v>0.03</v>
      </c>
      <c r="G104" s="319">
        <v>38.020000000000003</v>
      </c>
      <c r="H104" s="319">
        <v>3.25</v>
      </c>
      <c r="I104" s="322">
        <v>3.25</v>
      </c>
      <c r="J104" s="26">
        <v>9.4E-2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3.0449999999999999</v>
      </c>
      <c r="E105" s="93">
        <v>9.5000000000000001E-2</v>
      </c>
      <c r="F105" s="94">
        <v>0.03</v>
      </c>
      <c r="G105" s="319">
        <v>78.66</v>
      </c>
      <c r="H105" s="319">
        <v>3.25</v>
      </c>
      <c r="I105" s="322">
        <v>3.25</v>
      </c>
      <c r="J105" s="26">
        <v>9.4E-2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2.948</v>
      </c>
      <c r="E106" s="93">
        <v>8.6999999999999994E-2</v>
      </c>
      <c r="F106" s="94">
        <v>2.8000000000000001E-2</v>
      </c>
      <c r="G106" s="319">
        <v>86.24</v>
      </c>
      <c r="H106" s="319">
        <v>3.26</v>
      </c>
      <c r="I106" s="322">
        <v>3.26</v>
      </c>
      <c r="J106" s="26">
        <v>9.0999999999999998E-2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2.948</v>
      </c>
      <c r="E107" s="93">
        <v>8.6999999999999994E-2</v>
      </c>
      <c r="F107" s="94">
        <v>2.8000000000000001E-2</v>
      </c>
      <c r="G107" s="319">
        <v>176.92</v>
      </c>
      <c r="H107" s="319">
        <v>3.26</v>
      </c>
      <c r="I107" s="322">
        <v>3.26</v>
      </c>
      <c r="J107" s="26">
        <v>9.0999999999999998E-2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2.948</v>
      </c>
      <c r="E108" s="93">
        <v>8.6999999999999994E-2</v>
      </c>
      <c r="F108" s="94">
        <v>2.8000000000000001E-2</v>
      </c>
      <c r="G108" s="319">
        <v>312.37</v>
      </c>
      <c r="H108" s="319">
        <v>3.26</v>
      </c>
      <c r="I108" s="322">
        <v>3.26</v>
      </c>
      <c r="J108" s="26">
        <v>9.0999999999999998E-2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2.948</v>
      </c>
      <c r="E109" s="93">
        <v>8.6999999999999994E-2</v>
      </c>
      <c r="F109" s="94">
        <v>2.8000000000000001E-2</v>
      </c>
      <c r="G109" s="319">
        <v>408.27</v>
      </c>
      <c r="H109" s="319">
        <v>3.26</v>
      </c>
      <c r="I109" s="322">
        <v>3.26</v>
      </c>
      <c r="J109" s="26">
        <v>9.0999999999999998E-2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2.948</v>
      </c>
      <c r="E110" s="93">
        <v>8.6999999999999994E-2</v>
      </c>
      <c r="F110" s="94">
        <v>2.8000000000000001E-2</v>
      </c>
      <c r="G110" s="319">
        <v>1016.19</v>
      </c>
      <c r="H110" s="319">
        <v>3.26</v>
      </c>
      <c r="I110" s="322">
        <v>3.26</v>
      </c>
      <c r="J110" s="26">
        <v>9.0999999999999998E-2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847</v>
      </c>
      <c r="D111" s="95">
        <v>16.744</v>
      </c>
      <c r="E111" s="96">
        <v>0.746</v>
      </c>
      <c r="F111" s="94">
        <v>0.59299999999999997</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848</v>
      </c>
      <c r="D112" s="92">
        <v>-5.4459999999999997</v>
      </c>
      <c r="E112" s="93">
        <v>-0.19700000000000001</v>
      </c>
      <c r="F112" s="94">
        <v>-6.0999999999999999E-2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0</v>
      </c>
      <c r="D113" s="92">
        <v>-4.9160000000000004</v>
      </c>
      <c r="E113" s="93">
        <v>-0.17199999999999999</v>
      </c>
      <c r="F113" s="94">
        <v>-5.2999999999999999E-2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-5.4459999999999997</v>
      </c>
      <c r="E114" s="93">
        <v>-0.19700000000000001</v>
      </c>
      <c r="F114" s="94">
        <v>-6.0999999999999999E-2</v>
      </c>
      <c r="G114" s="319" t="s">
        <v>840</v>
      </c>
      <c r="H114" s="320" t="s">
        <v>840</v>
      </c>
      <c r="I114" s="321" t="s">
        <v>840</v>
      </c>
      <c r="J114" s="26">
        <v>0.18099999999999999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-4.9160000000000004</v>
      </c>
      <c r="E115" s="93">
        <v>-0.17199999999999999</v>
      </c>
      <c r="F115" s="94">
        <v>-5.2999999999999999E-2</v>
      </c>
      <c r="G115" s="319" t="s">
        <v>840</v>
      </c>
      <c r="H115" s="320" t="s">
        <v>840</v>
      </c>
      <c r="I115" s="321" t="s">
        <v>840</v>
      </c>
      <c r="J115" s="26">
        <v>0.153</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-5.6079999999999997</v>
      </c>
      <c r="E116" s="93">
        <v>-0.17399999999999999</v>
      </c>
      <c r="F116" s="94">
        <v>-5.5E-2</v>
      </c>
      <c r="G116" s="319">
        <v>9.98</v>
      </c>
      <c r="H116" s="320" t="s">
        <v>840</v>
      </c>
      <c r="I116" s="321" t="s">
        <v>840</v>
      </c>
      <c r="J116" s="26">
        <v>0.217</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845</v>
      </c>
      <c r="D117" s="92">
        <v>5.0819999999999999</v>
      </c>
      <c r="E117" s="93">
        <v>0.184</v>
      </c>
      <c r="F117" s="94">
        <v>5.7000000000000002E-2</v>
      </c>
      <c r="G117" s="319">
        <v>2.29</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5.0819999999999999</v>
      </c>
      <c r="E118" s="93">
        <v>0.184</v>
      </c>
      <c r="F118" s="94">
        <v>5.7000000000000002E-2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846</v>
      </c>
      <c r="D119" s="92">
        <v>3.798</v>
      </c>
      <c r="E119" s="93">
        <v>0.13700000000000001</v>
      </c>
      <c r="F119" s="94">
        <v>4.2999999999999997E-2</v>
      </c>
      <c r="G119" s="319">
        <v>2.23</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846</v>
      </c>
      <c r="D120" s="92">
        <v>3.798</v>
      </c>
      <c r="E120" s="93">
        <v>0.13700000000000001</v>
      </c>
      <c r="F120" s="94">
        <v>4.2999999999999997E-2</v>
      </c>
      <c r="G120" s="319">
        <v>2.4</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846</v>
      </c>
      <c r="D121" s="92">
        <v>3.798</v>
      </c>
      <c r="E121" s="93">
        <v>0.13700000000000001</v>
      </c>
      <c r="F121" s="94">
        <v>4.2999999999999997E-2</v>
      </c>
      <c r="G121" s="319">
        <v>2.75</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846</v>
      </c>
      <c r="D122" s="92">
        <v>3.798</v>
      </c>
      <c r="E122" s="93">
        <v>0.13700000000000001</v>
      </c>
      <c r="F122" s="94">
        <v>4.2999999999999997E-2</v>
      </c>
      <c r="G122" s="319">
        <v>3.33</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846</v>
      </c>
      <c r="D123" s="92">
        <v>3.798</v>
      </c>
      <c r="E123" s="93">
        <v>0.13700000000000001</v>
      </c>
      <c r="F123" s="94">
        <v>4.2999999999999997E-2</v>
      </c>
      <c r="G123" s="319">
        <v>5.31</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3.798</v>
      </c>
      <c r="E124" s="93">
        <v>0.13700000000000001</v>
      </c>
      <c r="F124" s="94">
        <v>4.2999999999999997E-2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2.7080000000000002</v>
      </c>
      <c r="E125" s="93">
        <v>9.2999999999999999E-2</v>
      </c>
      <c r="F125" s="94">
        <v>2.9000000000000001E-2</v>
      </c>
      <c r="G125" s="319">
        <v>4.9800000000000004</v>
      </c>
      <c r="H125" s="319">
        <v>2.0499999999999998</v>
      </c>
      <c r="I125" s="322">
        <v>2.0499999999999998</v>
      </c>
      <c r="J125" s="26">
        <v>8.5999999999999993E-2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2.7080000000000002</v>
      </c>
      <c r="E126" s="93">
        <v>9.2999999999999999E-2</v>
      </c>
      <c r="F126" s="94">
        <v>2.9000000000000001E-2</v>
      </c>
      <c r="G126" s="319">
        <v>11.15</v>
      </c>
      <c r="H126" s="319">
        <v>2.0499999999999998</v>
      </c>
      <c r="I126" s="322">
        <v>2.0499999999999998</v>
      </c>
      <c r="J126" s="26">
        <v>8.5999999999999993E-2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2.7080000000000002</v>
      </c>
      <c r="E127" s="93">
        <v>9.2999999999999999E-2</v>
      </c>
      <c r="F127" s="94">
        <v>2.9000000000000001E-2</v>
      </c>
      <c r="G127" s="319">
        <v>15.75</v>
      </c>
      <c r="H127" s="319">
        <v>2.0499999999999998</v>
      </c>
      <c r="I127" s="322">
        <v>2.0499999999999998</v>
      </c>
      <c r="J127" s="26">
        <v>8.5999999999999993E-2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2.7080000000000002</v>
      </c>
      <c r="E128" s="93">
        <v>9.2999999999999999E-2</v>
      </c>
      <c r="F128" s="94">
        <v>2.9000000000000001E-2</v>
      </c>
      <c r="G128" s="319">
        <v>21.51</v>
      </c>
      <c r="H128" s="319">
        <v>2.0499999999999998</v>
      </c>
      <c r="I128" s="322">
        <v>2.0499999999999998</v>
      </c>
      <c r="J128" s="26">
        <v>8.5999999999999993E-2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2.7080000000000002</v>
      </c>
      <c r="E129" s="93">
        <v>9.2999999999999999E-2</v>
      </c>
      <c r="F129" s="94">
        <v>2.9000000000000001E-2</v>
      </c>
      <c r="G129" s="319">
        <v>43.63</v>
      </c>
      <c r="H129" s="319">
        <v>2.0499999999999998</v>
      </c>
      <c r="I129" s="322">
        <v>2.0499999999999998</v>
      </c>
      <c r="J129" s="26">
        <v>8.5999999999999993E-2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2.5070000000000001</v>
      </c>
      <c r="E130" s="93">
        <v>7.8E-2</v>
      </c>
      <c r="F130" s="94">
        <v>2.5000000000000001E-2</v>
      </c>
      <c r="G130" s="319">
        <v>6.29</v>
      </c>
      <c r="H130" s="319">
        <v>2.68</v>
      </c>
      <c r="I130" s="322">
        <v>2.68</v>
      </c>
      <c r="J130" s="26">
        <v>7.8E-2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2.5070000000000001</v>
      </c>
      <c r="E131" s="93">
        <v>7.8E-2</v>
      </c>
      <c r="F131" s="94">
        <v>2.5000000000000001E-2</v>
      </c>
      <c r="G131" s="319">
        <v>15.62</v>
      </c>
      <c r="H131" s="319">
        <v>2.68</v>
      </c>
      <c r="I131" s="322">
        <v>2.68</v>
      </c>
      <c r="J131" s="26">
        <v>7.8E-2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2.5070000000000001</v>
      </c>
      <c r="E132" s="93">
        <v>7.8E-2</v>
      </c>
      <c r="F132" s="94">
        <v>2.5000000000000001E-2</v>
      </c>
      <c r="G132" s="319">
        <v>22.59</v>
      </c>
      <c r="H132" s="319">
        <v>2.68</v>
      </c>
      <c r="I132" s="322">
        <v>2.68</v>
      </c>
      <c r="J132" s="26">
        <v>7.8E-2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2.5070000000000001</v>
      </c>
      <c r="E133" s="93">
        <v>7.8E-2</v>
      </c>
      <c r="F133" s="94">
        <v>2.5000000000000001E-2</v>
      </c>
      <c r="G133" s="319">
        <v>31.31</v>
      </c>
      <c r="H133" s="319">
        <v>2.68</v>
      </c>
      <c r="I133" s="322">
        <v>2.68</v>
      </c>
      <c r="J133" s="26">
        <v>7.8E-2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2.5070000000000001</v>
      </c>
      <c r="E134" s="93">
        <v>7.8E-2</v>
      </c>
      <c r="F134" s="94">
        <v>2.5000000000000001E-2</v>
      </c>
      <c r="G134" s="319">
        <v>64.78</v>
      </c>
      <c r="H134" s="319">
        <v>2.68</v>
      </c>
      <c r="I134" s="322">
        <v>2.68</v>
      </c>
      <c r="J134" s="26">
        <v>7.8E-2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 customHeight="1" x14ac:dyDescent="0.2">
      <c r="A135" s="324" t="s">
        <v>707</v>
      </c>
      <c r="B135" s="18"/>
      <c r="C135" s="327">
        <v>0</v>
      </c>
      <c r="D135" s="92">
        <v>2.4279999999999999</v>
      </c>
      <c r="E135" s="93">
        <v>7.0999999999999994E-2</v>
      </c>
      <c r="F135" s="94">
        <v>2.3E-2</v>
      </c>
      <c r="G135" s="319">
        <v>71.02</v>
      </c>
      <c r="H135" s="319">
        <v>2.69</v>
      </c>
      <c r="I135" s="322">
        <v>2.69</v>
      </c>
      <c r="J135" s="26">
        <v>7.4999999999999997E-2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 customHeight="1" x14ac:dyDescent="0.2">
      <c r="A136" s="324" t="s">
        <v>708</v>
      </c>
      <c r="B136" s="25"/>
      <c r="C136" s="327">
        <v>0</v>
      </c>
      <c r="D136" s="92">
        <v>2.4279999999999999</v>
      </c>
      <c r="E136" s="93">
        <v>7.0999999999999994E-2</v>
      </c>
      <c r="F136" s="94">
        <v>2.3E-2</v>
      </c>
      <c r="G136" s="319">
        <v>145.69</v>
      </c>
      <c r="H136" s="319">
        <v>2.69</v>
      </c>
      <c r="I136" s="322">
        <v>2.69</v>
      </c>
      <c r="J136" s="26">
        <v>7.4999999999999997E-2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 customHeight="1" x14ac:dyDescent="0.2">
      <c r="A137" s="324" t="s">
        <v>709</v>
      </c>
      <c r="B137" s="18"/>
      <c r="C137" s="327">
        <v>0</v>
      </c>
      <c r="D137" s="92">
        <v>2.4279999999999999</v>
      </c>
      <c r="E137" s="93">
        <v>7.0999999999999994E-2</v>
      </c>
      <c r="F137" s="94">
        <v>2.3E-2</v>
      </c>
      <c r="G137" s="319">
        <v>257.24</v>
      </c>
      <c r="H137" s="319">
        <v>2.69</v>
      </c>
      <c r="I137" s="322">
        <v>2.69</v>
      </c>
      <c r="J137" s="26">
        <v>7.4999999999999997E-2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 customHeight="1" x14ac:dyDescent="0.2">
      <c r="A138" s="324" t="s">
        <v>710</v>
      </c>
      <c r="B138" s="18"/>
      <c r="C138" s="327">
        <v>0</v>
      </c>
      <c r="D138" s="92">
        <v>2.4279999999999999</v>
      </c>
      <c r="E138" s="93">
        <v>7.0999999999999994E-2</v>
      </c>
      <c r="F138" s="94">
        <v>2.3E-2</v>
      </c>
      <c r="G138" s="319">
        <v>336.21</v>
      </c>
      <c r="H138" s="319">
        <v>2.69</v>
      </c>
      <c r="I138" s="322">
        <v>2.69</v>
      </c>
      <c r="J138" s="26">
        <v>7.4999999999999997E-2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 customHeight="1" x14ac:dyDescent="0.2">
      <c r="A139" s="324" t="s">
        <v>711</v>
      </c>
      <c r="B139" s="18"/>
      <c r="C139" s="327">
        <v>0</v>
      </c>
      <c r="D139" s="92">
        <v>2.4279999999999999</v>
      </c>
      <c r="E139" s="93">
        <v>7.0999999999999994E-2</v>
      </c>
      <c r="F139" s="94">
        <v>2.3E-2</v>
      </c>
      <c r="G139" s="319">
        <v>836.84</v>
      </c>
      <c r="H139" s="319">
        <v>2.69</v>
      </c>
      <c r="I139" s="322">
        <v>2.69</v>
      </c>
      <c r="J139" s="26">
        <v>7.4999999999999997E-2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 customHeight="1" x14ac:dyDescent="0.2">
      <c r="A140" s="324" t="s">
        <v>589</v>
      </c>
      <c r="B140" s="25"/>
      <c r="C140" s="327" t="s">
        <v>847</v>
      </c>
      <c r="D140" s="95">
        <v>13.788</v>
      </c>
      <c r="E140" s="96">
        <v>0.61399999999999999</v>
      </c>
      <c r="F140" s="94">
        <v>0.48899999999999999</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848</v>
      </c>
      <c r="D141" s="92">
        <v>-4.4850000000000003</v>
      </c>
      <c r="E141" s="93">
        <v>-0.16200000000000001</v>
      </c>
      <c r="F141" s="94">
        <v>-0.05</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-4.0490000000000004</v>
      </c>
      <c r="E142" s="93">
        <v>-0.14099999999999999</v>
      </c>
      <c r="F142" s="94">
        <v>-4.3999999999999997E-2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-4.4850000000000003</v>
      </c>
      <c r="E143" s="93">
        <v>-0.16200000000000001</v>
      </c>
      <c r="F143" s="94">
        <v>-0.05</v>
      </c>
      <c r="G143" s="319" t="s">
        <v>840</v>
      </c>
      <c r="H143" s="320" t="s">
        <v>840</v>
      </c>
      <c r="I143" s="321" t="s">
        <v>840</v>
      </c>
      <c r="J143" s="26">
        <v>0.14899999999999999</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-4.0490000000000004</v>
      </c>
      <c r="E144" s="93">
        <v>-0.14099999999999999</v>
      </c>
      <c r="F144" s="94">
        <v>-4.3999999999999997E-2</v>
      </c>
      <c r="G144" s="319" t="s">
        <v>840</v>
      </c>
      <c r="H144" s="320" t="s">
        <v>840</v>
      </c>
      <c r="I144" s="321" t="s">
        <v>840</v>
      </c>
      <c r="J144" s="26">
        <v>0.126</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-4.6180000000000003</v>
      </c>
      <c r="E145" s="93">
        <v>-0.14399999999999999</v>
      </c>
      <c r="F145" s="94">
        <v>-4.5999999999999999E-2</v>
      </c>
      <c r="G145" s="319">
        <v>8.2200000000000006</v>
      </c>
      <c r="H145" s="320" t="s">
        <v>840</v>
      </c>
      <c r="I145" s="321" t="s">
        <v>840</v>
      </c>
      <c r="J145" s="26">
        <v>0.17899999999999999</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3.4790000000000001</v>
      </c>
      <c r="E146" s="93">
        <v>0.126</v>
      </c>
      <c r="F146" s="94">
        <v>3.9E-2</v>
      </c>
      <c r="G146" s="319">
        <v>1.57</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3.4790000000000001</v>
      </c>
      <c r="E147" s="93">
        <v>0.126</v>
      </c>
      <c r="F147" s="94">
        <v>3.9E-2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2.5990000000000002</v>
      </c>
      <c r="E148" s="93">
        <v>9.4E-2</v>
      </c>
      <c r="F148" s="94">
        <v>2.9000000000000001E-2</v>
      </c>
      <c r="G148" s="319">
        <v>1.52</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2.5990000000000002</v>
      </c>
      <c r="E149" s="93">
        <v>9.4E-2</v>
      </c>
      <c r="F149" s="94">
        <v>2.9000000000000001E-2</v>
      </c>
      <c r="G149" s="319">
        <v>1.64</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2.5990000000000002</v>
      </c>
      <c r="E150" s="93">
        <v>9.4E-2</v>
      </c>
      <c r="F150" s="94">
        <v>2.9000000000000001E-2</v>
      </c>
      <c r="G150" s="319">
        <v>1.88</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2.5990000000000002</v>
      </c>
      <c r="E151" s="93">
        <v>9.4E-2</v>
      </c>
      <c r="F151" s="94">
        <v>2.9000000000000001E-2</v>
      </c>
      <c r="G151" s="319">
        <v>2.2799999999999998</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2.5990000000000002</v>
      </c>
      <c r="E152" s="93">
        <v>9.4E-2</v>
      </c>
      <c r="F152" s="94">
        <v>2.9000000000000001E-2</v>
      </c>
      <c r="G152" s="319">
        <v>3.64</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2.5990000000000002</v>
      </c>
      <c r="E153" s="93">
        <v>9.4E-2</v>
      </c>
      <c r="F153" s="94">
        <v>2.9000000000000001E-2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1.853</v>
      </c>
      <c r="E154" s="93">
        <v>6.4000000000000001E-2</v>
      </c>
      <c r="F154" s="94">
        <v>0.02</v>
      </c>
      <c r="G154" s="319">
        <v>3.41</v>
      </c>
      <c r="H154" s="319">
        <v>1.4</v>
      </c>
      <c r="I154" s="322">
        <v>1.4</v>
      </c>
      <c r="J154" s="26">
        <v>5.8999999999999997E-2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1.853</v>
      </c>
      <c r="E155" s="93">
        <v>6.4000000000000001E-2</v>
      </c>
      <c r="F155" s="94">
        <v>0.02</v>
      </c>
      <c r="G155" s="319">
        <v>7.63</v>
      </c>
      <c r="H155" s="319">
        <v>1.4</v>
      </c>
      <c r="I155" s="322">
        <v>1.4</v>
      </c>
      <c r="J155" s="26">
        <v>5.8999999999999997E-2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1.853</v>
      </c>
      <c r="E156" s="93">
        <v>6.4000000000000001E-2</v>
      </c>
      <c r="F156" s="94">
        <v>0.02</v>
      </c>
      <c r="G156" s="319">
        <v>10.78</v>
      </c>
      <c r="H156" s="319">
        <v>1.4</v>
      </c>
      <c r="I156" s="322">
        <v>1.4</v>
      </c>
      <c r="J156" s="26">
        <v>5.8999999999999997E-2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1.853</v>
      </c>
      <c r="E157" s="93">
        <v>6.4000000000000001E-2</v>
      </c>
      <c r="F157" s="94">
        <v>0.02</v>
      </c>
      <c r="G157" s="319">
        <v>14.73</v>
      </c>
      <c r="H157" s="319">
        <v>1.4</v>
      </c>
      <c r="I157" s="322">
        <v>1.4</v>
      </c>
      <c r="J157" s="26">
        <v>5.8999999999999997E-2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1.853</v>
      </c>
      <c r="E158" s="93">
        <v>6.4000000000000001E-2</v>
      </c>
      <c r="F158" s="94">
        <v>0.02</v>
      </c>
      <c r="G158" s="319">
        <v>29.87</v>
      </c>
      <c r="H158" s="319">
        <v>1.4</v>
      </c>
      <c r="I158" s="322">
        <v>1.4</v>
      </c>
      <c r="J158" s="26">
        <v>5.8999999999999997E-2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1.716</v>
      </c>
      <c r="E159" s="93">
        <v>5.2999999999999999E-2</v>
      </c>
      <c r="F159" s="94">
        <v>1.7000000000000001E-2</v>
      </c>
      <c r="G159" s="319">
        <v>4.3099999999999996</v>
      </c>
      <c r="H159" s="319">
        <v>1.83</v>
      </c>
      <c r="I159" s="322">
        <v>1.83</v>
      </c>
      <c r="J159" s="26">
        <v>5.2999999999999999E-2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1.716</v>
      </c>
      <c r="E160" s="93">
        <v>5.2999999999999999E-2</v>
      </c>
      <c r="F160" s="94">
        <v>1.7000000000000001E-2</v>
      </c>
      <c r="G160" s="319">
        <v>10.69</v>
      </c>
      <c r="H160" s="319">
        <v>1.83</v>
      </c>
      <c r="I160" s="322">
        <v>1.83</v>
      </c>
      <c r="J160" s="26">
        <v>5.2999999999999999E-2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1.716</v>
      </c>
      <c r="E161" s="93">
        <v>5.2999999999999999E-2</v>
      </c>
      <c r="F161" s="94">
        <v>1.7000000000000001E-2</v>
      </c>
      <c r="G161" s="319">
        <v>15.46</v>
      </c>
      <c r="H161" s="319">
        <v>1.83</v>
      </c>
      <c r="I161" s="322">
        <v>1.83</v>
      </c>
      <c r="J161" s="26">
        <v>5.2999999999999999E-2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1.716</v>
      </c>
      <c r="E162" s="93">
        <v>5.2999999999999999E-2</v>
      </c>
      <c r="F162" s="94">
        <v>1.7000000000000001E-2</v>
      </c>
      <c r="G162" s="319">
        <v>21.43</v>
      </c>
      <c r="H162" s="319">
        <v>1.83</v>
      </c>
      <c r="I162" s="322">
        <v>1.83</v>
      </c>
      <c r="J162" s="26">
        <v>5.2999999999999999E-2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1.716</v>
      </c>
      <c r="E163" s="93">
        <v>5.2999999999999999E-2</v>
      </c>
      <c r="F163" s="94">
        <v>1.7000000000000001E-2</v>
      </c>
      <c r="G163" s="319">
        <v>44.34</v>
      </c>
      <c r="H163" s="319">
        <v>1.83</v>
      </c>
      <c r="I163" s="322">
        <v>1.83</v>
      </c>
      <c r="J163" s="26">
        <v>5.2999999999999999E-2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1.6619999999999999</v>
      </c>
      <c r="E164" s="93">
        <v>4.9000000000000002E-2</v>
      </c>
      <c r="F164" s="94">
        <v>1.6E-2</v>
      </c>
      <c r="G164" s="319">
        <v>48.61</v>
      </c>
      <c r="H164" s="319">
        <v>1.84</v>
      </c>
      <c r="I164" s="322">
        <v>1.84</v>
      </c>
      <c r="J164" s="26">
        <v>5.1999999999999998E-2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1.6619999999999999</v>
      </c>
      <c r="E165" s="93">
        <v>4.9000000000000002E-2</v>
      </c>
      <c r="F165" s="94">
        <v>1.6E-2</v>
      </c>
      <c r="G165" s="319">
        <v>99.73</v>
      </c>
      <c r="H165" s="319">
        <v>1.84</v>
      </c>
      <c r="I165" s="322">
        <v>1.84</v>
      </c>
      <c r="J165" s="26">
        <v>5.1999999999999998E-2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1.6619999999999999</v>
      </c>
      <c r="E166" s="93">
        <v>4.9000000000000002E-2</v>
      </c>
      <c r="F166" s="94">
        <v>1.6E-2</v>
      </c>
      <c r="G166" s="319">
        <v>176.08</v>
      </c>
      <c r="H166" s="319">
        <v>1.84</v>
      </c>
      <c r="I166" s="322">
        <v>1.84</v>
      </c>
      <c r="J166" s="26">
        <v>5.1999999999999998E-2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1.6619999999999999</v>
      </c>
      <c r="E167" s="93">
        <v>4.9000000000000002E-2</v>
      </c>
      <c r="F167" s="94">
        <v>1.6E-2</v>
      </c>
      <c r="G167" s="319">
        <v>230.14</v>
      </c>
      <c r="H167" s="319">
        <v>1.84</v>
      </c>
      <c r="I167" s="322">
        <v>1.84</v>
      </c>
      <c r="J167" s="26">
        <v>5.1999999999999998E-2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1.6619999999999999</v>
      </c>
      <c r="E168" s="93">
        <v>4.9000000000000002E-2</v>
      </c>
      <c r="F168" s="94">
        <v>1.6E-2</v>
      </c>
      <c r="G168" s="319">
        <v>572.83000000000004</v>
      </c>
      <c r="H168" s="319">
        <v>1.84</v>
      </c>
      <c r="I168" s="322">
        <v>1.84</v>
      </c>
      <c r="J168" s="26">
        <v>5.1999999999999998E-2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9.4380000000000006</v>
      </c>
      <c r="E169" s="96">
        <v>0.42</v>
      </c>
      <c r="F169" s="94">
        <v>0.33400000000000002</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848</v>
      </c>
      <c r="D170" s="92">
        <v>-3.07</v>
      </c>
      <c r="E170" s="93">
        <v>-0.111</v>
      </c>
      <c r="F170" s="94">
        <v>-3.4000000000000002E-2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-2.7709999999999999</v>
      </c>
      <c r="E171" s="93">
        <v>-9.7000000000000003E-2</v>
      </c>
      <c r="F171" s="94">
        <v>-0.03</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-3.07</v>
      </c>
      <c r="E172" s="93">
        <v>-0.111</v>
      </c>
      <c r="F172" s="94">
        <v>-3.4000000000000002E-2</v>
      </c>
      <c r="G172" s="319" t="s">
        <v>840</v>
      </c>
      <c r="H172" s="320" t="s">
        <v>840</v>
      </c>
      <c r="I172" s="321" t="s">
        <v>840</v>
      </c>
      <c r="J172" s="26">
        <v>0.10199999999999999</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-2.7709999999999999</v>
      </c>
      <c r="E173" s="93">
        <v>-9.7000000000000003E-2</v>
      </c>
      <c r="F173" s="94">
        <v>-0.03</v>
      </c>
      <c r="G173" s="319" t="s">
        <v>840</v>
      </c>
      <c r="H173" s="320" t="s">
        <v>840</v>
      </c>
      <c r="I173" s="321" t="s">
        <v>840</v>
      </c>
      <c r="J173" s="26">
        <v>8.5999999999999993E-2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-3.161</v>
      </c>
      <c r="E174" s="93">
        <v>-9.8000000000000004E-2</v>
      </c>
      <c r="F174" s="94">
        <v>-3.1E-2</v>
      </c>
      <c r="G174" s="319">
        <v>5.62</v>
      </c>
      <c r="H174" s="320" t="s">
        <v>840</v>
      </c>
      <c r="I174" s="321" t="s">
        <v>840</v>
      </c>
      <c r="J174" s="26">
        <v>0.122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0.98399999999999999</v>
      </c>
      <c r="E175" s="93">
        <v>3.5999999999999997E-2</v>
      </c>
      <c r="F175" s="94">
        <v>1.0999999999999999E-2</v>
      </c>
      <c r="G175" s="319">
        <v>0.44</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0.98399999999999999</v>
      </c>
      <c r="E176" s="93">
        <v>3.5999999999999997E-2</v>
      </c>
      <c r="F176" s="94">
        <v>1.0999999999999999E-2</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0.73499999999999999</v>
      </c>
      <c r="E177" s="93">
        <v>2.7E-2</v>
      </c>
      <c r="F177" s="94">
        <v>8.0000000000000002E-3</v>
      </c>
      <c r="G177" s="319">
        <v>0.43</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0.73499999999999999</v>
      </c>
      <c r="E178" s="93">
        <v>2.7E-2</v>
      </c>
      <c r="F178" s="94">
        <v>8.0000000000000002E-3</v>
      </c>
      <c r="G178" s="319">
        <v>0.47</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0.73499999999999999</v>
      </c>
      <c r="E179" s="93">
        <v>2.7E-2</v>
      </c>
      <c r="F179" s="94">
        <v>8.0000000000000002E-3</v>
      </c>
      <c r="G179" s="319">
        <v>0.53</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0.73499999999999999</v>
      </c>
      <c r="E180" s="93">
        <v>2.7E-2</v>
      </c>
      <c r="F180" s="94">
        <v>8.0000000000000002E-3</v>
      </c>
      <c r="G180" s="319">
        <v>0.64</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0.73499999999999999</v>
      </c>
      <c r="E181" s="93">
        <v>2.7E-2</v>
      </c>
      <c r="F181" s="94">
        <v>8.0000000000000002E-3</v>
      </c>
      <c r="G181" s="319">
        <v>1.03</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0.73499999999999999</v>
      </c>
      <c r="E182" s="93">
        <v>2.7E-2</v>
      </c>
      <c r="F182" s="94">
        <v>8.0000000000000002E-3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0.52400000000000002</v>
      </c>
      <c r="E183" s="93">
        <v>1.7999999999999999E-2</v>
      </c>
      <c r="F183" s="94">
        <v>6.0000000000000001E-3</v>
      </c>
      <c r="G183" s="319">
        <v>0.96</v>
      </c>
      <c r="H183" s="319">
        <v>0.4</v>
      </c>
      <c r="I183" s="322">
        <v>0.4</v>
      </c>
      <c r="J183" s="26">
        <v>1.7000000000000001E-2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0.52400000000000002</v>
      </c>
      <c r="E184" s="93">
        <v>1.7999999999999999E-2</v>
      </c>
      <c r="F184" s="94">
        <v>6.0000000000000001E-3</v>
      </c>
      <c r="G184" s="319">
        <v>2.16</v>
      </c>
      <c r="H184" s="319">
        <v>0.4</v>
      </c>
      <c r="I184" s="322">
        <v>0.4</v>
      </c>
      <c r="J184" s="26">
        <v>1.7000000000000001E-2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0.52400000000000002</v>
      </c>
      <c r="E185" s="93">
        <v>1.7999999999999999E-2</v>
      </c>
      <c r="F185" s="94">
        <v>6.0000000000000001E-3</v>
      </c>
      <c r="G185" s="319">
        <v>3.05</v>
      </c>
      <c r="H185" s="319">
        <v>0.4</v>
      </c>
      <c r="I185" s="322">
        <v>0.4</v>
      </c>
      <c r="J185" s="26">
        <v>1.7000000000000001E-2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0.52400000000000002</v>
      </c>
      <c r="E186" s="93">
        <v>1.7999999999999999E-2</v>
      </c>
      <c r="F186" s="94">
        <v>6.0000000000000001E-3</v>
      </c>
      <c r="G186" s="319">
        <v>4.17</v>
      </c>
      <c r="H186" s="319">
        <v>0.4</v>
      </c>
      <c r="I186" s="322">
        <v>0.4</v>
      </c>
      <c r="J186" s="26">
        <v>1.7000000000000001E-2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0.52400000000000002</v>
      </c>
      <c r="E187" s="93">
        <v>1.7999999999999999E-2</v>
      </c>
      <c r="F187" s="94">
        <v>6.0000000000000001E-3</v>
      </c>
      <c r="G187" s="319">
        <v>8.4499999999999993</v>
      </c>
      <c r="H187" s="319">
        <v>0.4</v>
      </c>
      <c r="I187" s="322">
        <v>0.4</v>
      </c>
      <c r="J187" s="26">
        <v>1.7000000000000001E-2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0.48499999999999999</v>
      </c>
      <c r="E188" s="93">
        <v>1.4999999999999999E-2</v>
      </c>
      <c r="F188" s="94">
        <v>5.0000000000000001E-3</v>
      </c>
      <c r="G188" s="319">
        <v>1.22</v>
      </c>
      <c r="H188" s="319">
        <v>0.52</v>
      </c>
      <c r="I188" s="322">
        <v>0.52</v>
      </c>
      <c r="J188" s="26">
        <v>1.4999999999999999E-2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0.48499999999999999</v>
      </c>
      <c r="E189" s="93">
        <v>1.4999999999999999E-2</v>
      </c>
      <c r="F189" s="94">
        <v>5.0000000000000001E-3</v>
      </c>
      <c r="G189" s="319">
        <v>3.02</v>
      </c>
      <c r="H189" s="319">
        <v>0.52</v>
      </c>
      <c r="I189" s="322">
        <v>0.52</v>
      </c>
      <c r="J189" s="26">
        <v>1.4999999999999999E-2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0.48499999999999999</v>
      </c>
      <c r="E190" s="93">
        <v>1.4999999999999999E-2</v>
      </c>
      <c r="F190" s="94">
        <v>5.0000000000000001E-3</v>
      </c>
      <c r="G190" s="319">
        <v>4.37</v>
      </c>
      <c r="H190" s="319">
        <v>0.52</v>
      </c>
      <c r="I190" s="322">
        <v>0.52</v>
      </c>
      <c r="J190" s="26">
        <v>1.4999999999999999E-2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0.48499999999999999</v>
      </c>
      <c r="E191" s="93">
        <v>1.4999999999999999E-2</v>
      </c>
      <c r="F191" s="94">
        <v>5.0000000000000001E-3</v>
      </c>
      <c r="G191" s="319">
        <v>6.06</v>
      </c>
      <c r="H191" s="319">
        <v>0.52</v>
      </c>
      <c r="I191" s="322">
        <v>0.52</v>
      </c>
      <c r="J191" s="26">
        <v>1.4999999999999999E-2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0.48499999999999999</v>
      </c>
      <c r="E192" s="93">
        <v>1.4999999999999999E-2</v>
      </c>
      <c r="F192" s="94">
        <v>5.0000000000000001E-3</v>
      </c>
      <c r="G192" s="319">
        <v>12.54</v>
      </c>
      <c r="H192" s="319">
        <v>0.52</v>
      </c>
      <c r="I192" s="322">
        <v>0.52</v>
      </c>
      <c r="J192" s="26">
        <v>1.4999999999999999E-2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0.47</v>
      </c>
      <c r="E193" s="93">
        <v>1.4E-2</v>
      </c>
      <c r="F193" s="94">
        <v>4.0000000000000001E-3</v>
      </c>
      <c r="G193" s="319">
        <v>13.75</v>
      </c>
      <c r="H193" s="319">
        <v>0.52</v>
      </c>
      <c r="I193" s="322">
        <v>0.52</v>
      </c>
      <c r="J193" s="26">
        <v>1.4999999999999999E-2</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0.47</v>
      </c>
      <c r="E194" s="93">
        <v>1.4E-2</v>
      </c>
      <c r="F194" s="94">
        <v>4.0000000000000001E-3</v>
      </c>
      <c r="G194" s="319">
        <v>28.21</v>
      </c>
      <c r="H194" s="319">
        <v>0.52</v>
      </c>
      <c r="I194" s="322">
        <v>0.52</v>
      </c>
      <c r="J194" s="26">
        <v>1.4999999999999999E-2</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0.47</v>
      </c>
      <c r="E195" s="93">
        <v>1.4E-2</v>
      </c>
      <c r="F195" s="94">
        <v>4.0000000000000001E-3</v>
      </c>
      <c r="G195" s="319">
        <v>49.8</v>
      </c>
      <c r="H195" s="319">
        <v>0.52</v>
      </c>
      <c r="I195" s="322">
        <v>0.52</v>
      </c>
      <c r="J195" s="26">
        <v>1.4999999999999999E-2</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0.47</v>
      </c>
      <c r="E196" s="93">
        <v>1.4E-2</v>
      </c>
      <c r="F196" s="94">
        <v>4.0000000000000001E-3</v>
      </c>
      <c r="G196" s="319">
        <v>65.09</v>
      </c>
      <c r="H196" s="319">
        <v>0.52</v>
      </c>
      <c r="I196" s="322">
        <v>0.52</v>
      </c>
      <c r="J196" s="26">
        <v>1.4999999999999999E-2</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0.47</v>
      </c>
      <c r="E197" s="93">
        <v>1.4E-2</v>
      </c>
      <c r="F197" s="94">
        <v>4.0000000000000001E-3</v>
      </c>
      <c r="G197" s="319">
        <v>162.02000000000001</v>
      </c>
      <c r="H197" s="319">
        <v>0.52</v>
      </c>
      <c r="I197" s="322">
        <v>0.52</v>
      </c>
      <c r="J197" s="26">
        <v>1.4999999999999999E-2</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2.67</v>
      </c>
      <c r="E198" s="96">
        <v>0.11899999999999999</v>
      </c>
      <c r="F198" s="94">
        <v>9.5000000000000001E-2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848</v>
      </c>
      <c r="D199" s="92">
        <v>-0.86799999999999999</v>
      </c>
      <c r="E199" s="93">
        <v>-3.1E-2</v>
      </c>
      <c r="F199" s="94">
        <v>-0.01</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-0.78400000000000003</v>
      </c>
      <c r="E200" s="93">
        <v>-2.7E-2</v>
      </c>
      <c r="F200" s="94">
        <v>-8.9999999999999993E-3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-0.86799999999999999</v>
      </c>
      <c r="E201" s="93">
        <v>-3.1E-2</v>
      </c>
      <c r="F201" s="94">
        <v>-0.01</v>
      </c>
      <c r="G201" s="319" t="s">
        <v>840</v>
      </c>
      <c r="H201" s="320" t="s">
        <v>840</v>
      </c>
      <c r="I201" s="321" t="s">
        <v>840</v>
      </c>
      <c r="J201" s="26">
        <v>2.9000000000000001E-2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-0.78400000000000003</v>
      </c>
      <c r="E202" s="93">
        <v>-2.7E-2</v>
      </c>
      <c r="F202" s="94">
        <v>-8.9999999999999993E-3</v>
      </c>
      <c r="G202" s="319" t="s">
        <v>840</v>
      </c>
      <c r="H202" s="320" t="s">
        <v>840</v>
      </c>
      <c r="I202" s="321" t="s">
        <v>840</v>
      </c>
      <c r="J202" s="26">
        <v>2.4E-2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-0.89400000000000002</v>
      </c>
      <c r="E203" s="93">
        <v>-2.8000000000000001E-2</v>
      </c>
      <c r="F203" s="94">
        <v>-8.9999999999999993E-3</v>
      </c>
      <c r="G203" s="319">
        <v>1.59</v>
      </c>
      <c r="H203" s="320" t="s">
        <v>840</v>
      </c>
      <c r="I203" s="321" t="s">
        <v>840</v>
      </c>
      <c r="J203" s="26">
        <v>3.5000000000000003E-2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46" priority="2" operator="equal">
      <formula>0</formula>
    </cfRule>
    <cfRule type="cellIs" dxfId="45" priority="3" operator="lessThan">
      <formula>0</formula>
    </cfRule>
    <cfRule type="cellIs" dxfId="44" priority="4" operator="greaterThan">
      <formula>0</formula>
    </cfRule>
  </conditionalFormatting>
  <conditionalFormatting sqref="K14:R203">
    <cfRule type="expression" dxfId="43" priority="1">
      <formula>$K14&lt;&gt;""</formula>
    </cfRule>
  </conditionalFormatting>
  <hyperlinks>
    <hyperlink ref="A1" location="Overview!A1" display="Back to Overview" xr:uid="{A2016596-B9ED-4092-A7B0-54EE87DD654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C1" s="2"/>
      <c r="D1" s="2"/>
      <c r="H1" s="2"/>
      <c r="I1" s="3"/>
      <c r="J1" s="1"/>
    </row>
    <row r="2" spans="1:17" ht="42" customHeight="1" x14ac:dyDescent="0.2">
      <c r="A2" s="468" t="str">
        <f>Overview!B4&amp;" - Effective from "&amp;TEXT(Overview!$D$4,"d mmmm yyyy")&amp;" - Final LDNO tariffs in WPD South Wales Area (GSP Group_K)"</f>
        <v>Leep Electricity Networks Limited - Effective from 1 April 2026 - Final LDNO tariffs in WPD South Wales Area (GSP Group_K)</v>
      </c>
      <c r="B2" s="468"/>
      <c r="C2" s="468"/>
      <c r="D2" s="468"/>
      <c r="E2" s="468"/>
      <c r="F2" s="468"/>
      <c r="G2" s="468"/>
      <c r="H2" s="468"/>
      <c r="I2" s="468"/>
      <c r="J2" s="468"/>
    </row>
    <row r="3" spans="1:17" ht="8.25" customHeight="1" x14ac:dyDescent="0.2">
      <c r="A3" s="47"/>
      <c r="B3" s="47"/>
      <c r="C3" s="47"/>
      <c r="D3" s="47"/>
      <c r="E3" s="47"/>
      <c r="F3" s="47"/>
      <c r="G3" s="47"/>
      <c r="H3" s="47"/>
      <c r="I3" s="47"/>
      <c r="J3" s="47"/>
      <c r="K3" s="3"/>
    </row>
    <row r="4" spans="1:17" ht="36" customHeight="1" x14ac:dyDescent="0.2">
      <c r="A4" s="371" t="s">
        <v>308</v>
      </c>
      <c r="B4" s="371"/>
      <c r="C4" s="371"/>
      <c r="D4" s="371"/>
      <c r="E4" s="51"/>
      <c r="F4" s="371" t="s">
        <v>307</v>
      </c>
      <c r="G4" s="371"/>
      <c r="H4" s="371"/>
      <c r="I4" s="371"/>
      <c r="J4" s="371"/>
      <c r="K4" s="3"/>
      <c r="L4" s="3"/>
    </row>
    <row r="5" spans="1:17" ht="53.25" customHeight="1" x14ac:dyDescent="0.2">
      <c r="A5" s="40" t="s">
        <v>13</v>
      </c>
      <c r="B5" s="258" t="s">
        <v>299</v>
      </c>
      <c r="C5" s="271" t="s">
        <v>300</v>
      </c>
      <c r="D5" s="42" t="s">
        <v>301</v>
      </c>
      <c r="E5" s="46"/>
      <c r="F5" s="368"/>
      <c r="G5" s="369"/>
      <c r="H5" s="44" t="s">
        <v>305</v>
      </c>
      <c r="I5" s="45" t="s">
        <v>306</v>
      </c>
      <c r="J5" s="42" t="s">
        <v>301</v>
      </c>
      <c r="K5" s="46"/>
      <c r="L5" s="3"/>
      <c r="M5" s="3"/>
    </row>
    <row r="6" spans="1:17" ht="36.75" customHeight="1" x14ac:dyDescent="0.2">
      <c r="A6" s="269" t="str">
        <f>'Annex 1 LV and HV charges_K'!A6</f>
        <v>Monday to Friday 
(Including Bank Holidays)
All Year</v>
      </c>
      <c r="B6" s="107" t="str">
        <f>'Annex 1 LV and HV charges_K'!B6</f>
        <v>17:00 to 19:30</v>
      </c>
      <c r="C6" s="264" t="str">
        <f>'Annex 1 LV and HV charges_K'!C6</f>
        <v>07:30 to 17:00
19:30 to 22:00</v>
      </c>
      <c r="D6" s="108" t="str">
        <f>'Annex 1 LV and HV charges_K'!E6</f>
        <v>00:00 to 07:30
22:00 to 24:00</v>
      </c>
      <c r="E6" s="46"/>
      <c r="F6" s="420" t="str">
        <f>'Annex 1 LV and HV charges_K'!G6</f>
        <v>Monday to Friday 
(Including Bank Holidays)
Nov to Feb Inclusive (excluding 22nd Dec to 4th Jan inclusive)</v>
      </c>
      <c r="G6" s="420">
        <f>'Annex 1 LV and HV charges_K'!H6</f>
        <v>0</v>
      </c>
      <c r="H6" s="107" t="str">
        <f>'Annex 1 LV and HV charges_K'!I6</f>
        <v>17:00 to 19:30</v>
      </c>
      <c r="I6" s="109" t="str">
        <f>'Annex 1 LV and HV charges_K'!J6</f>
        <v>07:30 to 17:00
19:30 to 22:00</v>
      </c>
      <c r="J6" s="109" t="str">
        <f>'Annex 1 LV and HV charges_K'!K6</f>
        <v>00:00 to 07:30
22:00 to 24:00</v>
      </c>
      <c r="K6" s="46"/>
      <c r="L6" s="3"/>
      <c r="M6" s="3"/>
    </row>
    <row r="7" spans="1:17" ht="49.5" customHeight="1" x14ac:dyDescent="0.2">
      <c r="A7" s="269" t="str">
        <f>'Annex 1 LV and HV charges_K'!A7</f>
        <v>Saturday and Sunday
All Year</v>
      </c>
      <c r="B7" s="110" t="str">
        <f>'Annex 1 LV and HV charges_K'!B7</f>
        <v/>
      </c>
      <c r="C7" s="264" t="str">
        <f>'Annex 1 LV and HV charges_K'!C7</f>
        <v>12:00 to 13:00
16:00 to 21:00</v>
      </c>
      <c r="D7" s="109" t="str">
        <f>'Annex 1 LV and HV charges_K'!E7</f>
        <v>00:00 to 12:00
13:00 to 16:00 
21:00 to 24:00</v>
      </c>
      <c r="E7" s="46"/>
      <c r="F7" s="420" t="str">
        <f>'Annex 1 LV and HV charges_K'!G7</f>
        <v>Monday to Friday 
(Including Bank Holidays)
Mar to Oct Inclusive (plus 22nd Dec to 4th Jan inclusive)</v>
      </c>
      <c r="G7" s="420">
        <f>'Annex 1 LV and HV charges_K'!H7</f>
        <v>0</v>
      </c>
      <c r="H7" s="110" t="str">
        <f>'Annex 1 LV and HV charges_K'!I7</f>
        <v/>
      </c>
      <c r="I7" s="109" t="str">
        <f>'Annex 1 LV and HV charges_K'!J7</f>
        <v>07:30 to 22:00</v>
      </c>
      <c r="J7" s="109" t="str">
        <f>'Annex 1 LV and HV charges_K'!K7</f>
        <v>00:00 to 07:30
22:00 to 24:00</v>
      </c>
      <c r="K7" s="46"/>
      <c r="L7" s="3"/>
      <c r="M7" s="3"/>
    </row>
    <row r="8" spans="1:17" ht="51.75" customHeight="1" x14ac:dyDescent="0.2">
      <c r="A8" s="255" t="str">
        <f>'Annex 1 LV and HV charges_K'!A8</f>
        <v>Notes</v>
      </c>
      <c r="B8" s="378" t="str">
        <f>'Annex 1 LV and HV charges_K'!B8</f>
        <v>All the above times are in UK Clock time</v>
      </c>
      <c r="C8" s="378">
        <f>'Annex 1 LV and HV charges_K'!C8</f>
        <v>0</v>
      </c>
      <c r="D8" s="378">
        <f>'Annex 1 LV and HV charges_K'!D8</f>
        <v>0</v>
      </c>
      <c r="E8" s="46"/>
      <c r="F8" s="420" t="str">
        <f>'Annex 1 LV and HV charges_K'!G8</f>
        <v>Saturday and Sunday
All year</v>
      </c>
      <c r="G8" s="420">
        <f>'Annex 1 LV and HV charges_K'!H8</f>
        <v>0</v>
      </c>
      <c r="H8" s="110" t="str">
        <f>'Annex 1 LV and HV charges_K'!I8</f>
        <v/>
      </c>
      <c r="I8" s="109" t="str">
        <f>'Annex 1 LV and HV charges_K'!J8</f>
        <v>12:00 to 13:00
16:00 to 21:00</v>
      </c>
      <c r="J8" s="109" t="str">
        <f>'Annex 1 LV and HV charges_K'!K8</f>
        <v>00:00 to 12:00
13:00 to 16:00
21:00 to 24:00</v>
      </c>
      <c r="K8" s="46"/>
      <c r="L8" s="3"/>
      <c r="M8" s="3"/>
    </row>
    <row r="9" spans="1:17" s="41" customFormat="1" ht="22.5" customHeight="1" x14ac:dyDescent="0.2">
      <c r="A9" s="186"/>
      <c r="B9" s="257"/>
      <c r="C9" s="187"/>
      <c r="D9" s="257"/>
      <c r="E9" s="48"/>
      <c r="F9" s="407" t="str">
        <f>'Annex 1 LV and HV charges_K'!G9</f>
        <v>Notes</v>
      </c>
      <c r="G9" s="407">
        <f>'Annex 1 LV and HV charges_K'!H9</f>
        <v>0</v>
      </c>
      <c r="H9" s="389" t="str">
        <f>'Annex 1 LV and HV charges_K'!I9</f>
        <v>All the above times are in UK Clock time</v>
      </c>
      <c r="I9" s="390">
        <f>'Annex 1 LV and HV charges_K'!J9</f>
        <v>0</v>
      </c>
      <c r="J9" s="391">
        <f>'Annex 1 LV and HV charges_K'!K9</f>
        <v>0</v>
      </c>
      <c r="K9" s="46"/>
      <c r="L9" s="31"/>
      <c r="M9" s="31"/>
    </row>
    <row r="10" spans="1:17" s="41" customFormat="1" ht="18" x14ac:dyDescent="0.2">
      <c r="A10" s="120"/>
      <c r="B10" s="476"/>
      <c r="C10" s="477"/>
      <c r="D10" s="478"/>
      <c r="E10" s="188"/>
      <c r="F10" s="483"/>
      <c r="G10" s="484"/>
      <c r="H10" s="189"/>
      <c r="I10" s="257"/>
      <c r="J10" s="257"/>
      <c r="K10" s="46"/>
      <c r="L10" s="31"/>
      <c r="M10" s="31"/>
    </row>
    <row r="11" spans="1:17" s="41" customFormat="1" ht="18" x14ac:dyDescent="0.2">
      <c r="A11" s="46"/>
      <c r="B11" s="46"/>
      <c r="C11" s="46"/>
      <c r="D11" s="46"/>
      <c r="E11" s="46"/>
      <c r="F11" s="485"/>
      <c r="G11" s="486"/>
      <c r="H11" s="487"/>
      <c r="I11" s="406"/>
      <c r="J11" s="406"/>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845</v>
      </c>
      <c r="D14" s="92">
        <v>12.339</v>
      </c>
      <c r="E14" s="93">
        <v>1.018</v>
      </c>
      <c r="F14" s="94">
        <v>0.19500000000000001</v>
      </c>
      <c r="G14" s="319">
        <v>7.99</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2075</v>
      </c>
      <c r="D15" s="92">
        <v>12.339</v>
      </c>
      <c r="E15" s="93">
        <v>1.018</v>
      </c>
      <c r="F15" s="94">
        <v>0.19500000000000001</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846</v>
      </c>
      <c r="D16" s="92">
        <v>13.503</v>
      </c>
      <c r="E16" s="93">
        <v>1.1140000000000001</v>
      </c>
      <c r="F16" s="94">
        <v>0.214</v>
      </c>
      <c r="G16" s="319">
        <v>10.19</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846</v>
      </c>
      <c r="D17" s="92">
        <v>13.503</v>
      </c>
      <c r="E17" s="93">
        <v>1.1140000000000001</v>
      </c>
      <c r="F17" s="94">
        <v>0.214</v>
      </c>
      <c r="G17" s="319">
        <v>12.08</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846</v>
      </c>
      <c r="D18" s="92">
        <v>13.503</v>
      </c>
      <c r="E18" s="93">
        <v>1.1140000000000001</v>
      </c>
      <c r="F18" s="94">
        <v>0.214</v>
      </c>
      <c r="G18" s="319">
        <v>15.43</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846</v>
      </c>
      <c r="D19" s="92">
        <v>13.503</v>
      </c>
      <c r="E19" s="93">
        <v>1.1140000000000001</v>
      </c>
      <c r="F19" s="94">
        <v>0.214</v>
      </c>
      <c r="G19" s="319">
        <v>21.21</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846</v>
      </c>
      <c r="D20" s="92">
        <v>13.503</v>
      </c>
      <c r="E20" s="93">
        <v>1.1140000000000001</v>
      </c>
      <c r="F20" s="94">
        <v>0.214</v>
      </c>
      <c r="G20" s="319">
        <v>38.630000000000003</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2076</v>
      </c>
      <c r="D21" s="92">
        <v>13.503</v>
      </c>
      <c r="E21" s="93">
        <v>1.1140000000000001</v>
      </c>
      <c r="F21" s="94">
        <v>0.214</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8.5760000000000005</v>
      </c>
      <c r="E22" s="93">
        <v>0.65800000000000003</v>
      </c>
      <c r="F22" s="94">
        <v>0.13700000000000001</v>
      </c>
      <c r="G22" s="319">
        <v>11.9</v>
      </c>
      <c r="H22" s="319">
        <v>6.98</v>
      </c>
      <c r="I22" s="322">
        <v>6.98</v>
      </c>
      <c r="J22" s="26">
        <v>0.191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8.5760000000000005</v>
      </c>
      <c r="E23" s="93">
        <v>0.65800000000000003</v>
      </c>
      <c r="F23" s="94">
        <v>0.13700000000000001</v>
      </c>
      <c r="G23" s="319">
        <v>62.98</v>
      </c>
      <c r="H23" s="319">
        <v>6.98</v>
      </c>
      <c r="I23" s="322">
        <v>6.98</v>
      </c>
      <c r="J23" s="26">
        <v>0.191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8.5760000000000005</v>
      </c>
      <c r="E24" s="93">
        <v>0.65800000000000003</v>
      </c>
      <c r="F24" s="94">
        <v>0.13700000000000001</v>
      </c>
      <c r="G24" s="319">
        <v>110.18</v>
      </c>
      <c r="H24" s="319">
        <v>6.98</v>
      </c>
      <c r="I24" s="322">
        <v>6.98</v>
      </c>
      <c r="J24" s="26">
        <v>0.191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8.5760000000000005</v>
      </c>
      <c r="E25" s="93">
        <v>0.65800000000000003</v>
      </c>
      <c r="F25" s="94">
        <v>0.13700000000000001</v>
      </c>
      <c r="G25" s="319">
        <v>178.71</v>
      </c>
      <c r="H25" s="319">
        <v>6.98</v>
      </c>
      <c r="I25" s="322">
        <v>6.98</v>
      </c>
      <c r="J25" s="26">
        <v>0.191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8.5760000000000005</v>
      </c>
      <c r="E26" s="93">
        <v>0.65800000000000003</v>
      </c>
      <c r="F26" s="94">
        <v>0.13700000000000001</v>
      </c>
      <c r="G26" s="319">
        <v>399.78</v>
      </c>
      <c r="H26" s="319">
        <v>6.98</v>
      </c>
      <c r="I26" s="322">
        <v>6.98</v>
      </c>
      <c r="J26" s="26">
        <v>0.191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847</v>
      </c>
      <c r="D27" s="95">
        <v>43.517000000000003</v>
      </c>
      <c r="E27" s="96">
        <v>2.1459999999999999</v>
      </c>
      <c r="F27" s="94">
        <v>1.2529999999999999</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-12.885999999999999</v>
      </c>
      <c r="E28" s="93">
        <v>-1.0629999999999999</v>
      </c>
      <c r="F28" s="94">
        <v>-0.20399999999999999</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-12.885999999999999</v>
      </c>
      <c r="E29" s="93">
        <v>-1.0629999999999999</v>
      </c>
      <c r="F29" s="94">
        <v>-0.20399999999999999</v>
      </c>
      <c r="G29" s="319" t="s">
        <v>840</v>
      </c>
      <c r="H29" s="320" t="s">
        <v>840</v>
      </c>
      <c r="I29" s="321" t="s">
        <v>840</v>
      </c>
      <c r="J29" s="26">
        <v>0.35499999999999998</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845</v>
      </c>
      <c r="D30" s="92">
        <v>7.5359999999999996</v>
      </c>
      <c r="E30" s="93">
        <v>0.622</v>
      </c>
      <c r="F30" s="94">
        <v>0.11899999999999999</v>
      </c>
      <c r="G30" s="319">
        <v>4.88</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2075</v>
      </c>
      <c r="D31" s="92">
        <v>7.5359999999999996</v>
      </c>
      <c r="E31" s="93">
        <v>0.622</v>
      </c>
      <c r="F31" s="94">
        <v>0.11899999999999999</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846</v>
      </c>
      <c r="D32" s="92">
        <v>8.2469999999999999</v>
      </c>
      <c r="E32" s="93">
        <v>0.68100000000000005</v>
      </c>
      <c r="F32" s="94">
        <v>0.13100000000000001</v>
      </c>
      <c r="G32" s="319">
        <v>6.22</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846</v>
      </c>
      <c r="D33" s="92">
        <v>8.2469999999999999</v>
      </c>
      <c r="E33" s="93">
        <v>0.68100000000000005</v>
      </c>
      <c r="F33" s="94">
        <v>0.13100000000000001</v>
      </c>
      <c r="G33" s="319">
        <v>7.38</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846</v>
      </c>
      <c r="D34" s="92">
        <v>8.2469999999999999</v>
      </c>
      <c r="E34" s="93">
        <v>0.68100000000000005</v>
      </c>
      <c r="F34" s="94">
        <v>0.13100000000000001</v>
      </c>
      <c r="G34" s="319">
        <v>9.42</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846</v>
      </c>
      <c r="D35" s="92">
        <v>8.2469999999999999</v>
      </c>
      <c r="E35" s="93">
        <v>0.68100000000000005</v>
      </c>
      <c r="F35" s="94">
        <v>0.13100000000000001</v>
      </c>
      <c r="G35" s="319">
        <v>12.96</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846</v>
      </c>
      <c r="D36" s="92">
        <v>8.2469999999999999</v>
      </c>
      <c r="E36" s="93">
        <v>0.68100000000000005</v>
      </c>
      <c r="F36" s="94">
        <v>0.13100000000000001</v>
      </c>
      <c r="G36" s="319">
        <v>23.6</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2076</v>
      </c>
      <c r="D37" s="92">
        <v>8.2469999999999999</v>
      </c>
      <c r="E37" s="93">
        <v>0.68100000000000005</v>
      </c>
      <c r="F37" s="94">
        <v>0.13100000000000001</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5.2380000000000004</v>
      </c>
      <c r="E38" s="93">
        <v>0.40200000000000002</v>
      </c>
      <c r="F38" s="94">
        <v>8.4000000000000005E-2</v>
      </c>
      <c r="G38" s="319">
        <v>7.27</v>
      </c>
      <c r="H38" s="319">
        <v>4.26</v>
      </c>
      <c r="I38" s="322">
        <v>4.26</v>
      </c>
      <c r="J38" s="26">
        <v>0.11700000000000001</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5.2380000000000004</v>
      </c>
      <c r="E39" s="93">
        <v>0.40200000000000002</v>
      </c>
      <c r="F39" s="94">
        <v>8.4000000000000005E-2</v>
      </c>
      <c r="G39" s="319">
        <v>38.46</v>
      </c>
      <c r="H39" s="319">
        <v>4.26</v>
      </c>
      <c r="I39" s="322">
        <v>4.26</v>
      </c>
      <c r="J39" s="26">
        <v>0.11700000000000001</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5.2380000000000004</v>
      </c>
      <c r="E40" s="93">
        <v>0.40200000000000002</v>
      </c>
      <c r="F40" s="94">
        <v>8.4000000000000005E-2</v>
      </c>
      <c r="G40" s="319">
        <v>67.290000000000006</v>
      </c>
      <c r="H40" s="319">
        <v>4.26</v>
      </c>
      <c r="I40" s="322">
        <v>4.26</v>
      </c>
      <c r="J40" s="26">
        <v>0.11700000000000001</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5.2380000000000004</v>
      </c>
      <c r="E41" s="93">
        <v>0.40200000000000002</v>
      </c>
      <c r="F41" s="94">
        <v>8.4000000000000005E-2</v>
      </c>
      <c r="G41" s="319">
        <v>109.15</v>
      </c>
      <c r="H41" s="319">
        <v>4.26</v>
      </c>
      <c r="I41" s="322">
        <v>4.26</v>
      </c>
      <c r="J41" s="26">
        <v>0.11700000000000001</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5.2380000000000004</v>
      </c>
      <c r="E42" s="93">
        <v>0.40200000000000002</v>
      </c>
      <c r="F42" s="94">
        <v>8.4000000000000005E-2</v>
      </c>
      <c r="G42" s="319">
        <v>244.17</v>
      </c>
      <c r="H42" s="319">
        <v>4.26</v>
      </c>
      <c r="I42" s="322">
        <v>4.26</v>
      </c>
      <c r="J42" s="26">
        <v>0.11700000000000001</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5.4240000000000004</v>
      </c>
      <c r="E43" s="93">
        <v>0.33400000000000002</v>
      </c>
      <c r="F43" s="94">
        <v>8.8999999999999996E-2</v>
      </c>
      <c r="G43" s="319">
        <v>8.86</v>
      </c>
      <c r="H43" s="319">
        <v>6.4</v>
      </c>
      <c r="I43" s="322">
        <v>6.4</v>
      </c>
      <c r="J43" s="26">
        <v>0.114</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5.4240000000000004</v>
      </c>
      <c r="E44" s="93">
        <v>0.33400000000000002</v>
      </c>
      <c r="F44" s="94">
        <v>8.8999999999999996E-2</v>
      </c>
      <c r="G44" s="319">
        <v>57.57</v>
      </c>
      <c r="H44" s="319">
        <v>6.4</v>
      </c>
      <c r="I44" s="322">
        <v>6.4</v>
      </c>
      <c r="J44" s="26">
        <v>0.114</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5.4240000000000004</v>
      </c>
      <c r="E45" s="93">
        <v>0.33400000000000002</v>
      </c>
      <c r="F45" s="94">
        <v>8.8999999999999996E-2</v>
      </c>
      <c r="G45" s="319">
        <v>102.59</v>
      </c>
      <c r="H45" s="319">
        <v>6.4</v>
      </c>
      <c r="I45" s="322">
        <v>6.4</v>
      </c>
      <c r="J45" s="26">
        <v>0.114</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5.4240000000000004</v>
      </c>
      <c r="E46" s="93">
        <v>0.33400000000000002</v>
      </c>
      <c r="F46" s="94">
        <v>8.8999999999999996E-2</v>
      </c>
      <c r="G46" s="319">
        <v>167.95</v>
      </c>
      <c r="H46" s="319">
        <v>6.4</v>
      </c>
      <c r="I46" s="322">
        <v>6.4</v>
      </c>
      <c r="J46" s="26">
        <v>0.114</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5.4240000000000004</v>
      </c>
      <c r="E47" s="93">
        <v>0.33400000000000002</v>
      </c>
      <c r="F47" s="94">
        <v>8.8999999999999996E-2</v>
      </c>
      <c r="G47" s="319">
        <v>378.79</v>
      </c>
      <c r="H47" s="319">
        <v>6.4</v>
      </c>
      <c r="I47" s="322">
        <v>6.4</v>
      </c>
      <c r="J47" s="26">
        <v>0.114</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4.5709999999999997</v>
      </c>
      <c r="E48" s="93">
        <v>0.251</v>
      </c>
      <c r="F48" s="94">
        <v>7.3999999999999996E-2</v>
      </c>
      <c r="G48" s="319">
        <v>98.93</v>
      </c>
      <c r="H48" s="319">
        <v>8.01</v>
      </c>
      <c r="I48" s="322">
        <v>8.01</v>
      </c>
      <c r="J48" s="26">
        <v>8.7999999999999995E-2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4.5709999999999997</v>
      </c>
      <c r="E49" s="93">
        <v>0.251</v>
      </c>
      <c r="F49" s="94">
        <v>7.3999999999999996E-2</v>
      </c>
      <c r="G49" s="319">
        <v>531.52</v>
      </c>
      <c r="H49" s="319">
        <v>8.01</v>
      </c>
      <c r="I49" s="322">
        <v>8.01</v>
      </c>
      <c r="J49" s="26">
        <v>8.7999999999999995E-2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4.5709999999999997</v>
      </c>
      <c r="E50" s="93">
        <v>0.251</v>
      </c>
      <c r="F50" s="94">
        <v>7.3999999999999996E-2</v>
      </c>
      <c r="G50" s="319">
        <v>1221.6500000000001</v>
      </c>
      <c r="H50" s="319">
        <v>8.01</v>
      </c>
      <c r="I50" s="322">
        <v>8.01</v>
      </c>
      <c r="J50" s="26">
        <v>8.7999999999999995E-2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4.5709999999999997</v>
      </c>
      <c r="E51" s="93">
        <v>0.251</v>
      </c>
      <c r="F51" s="94">
        <v>7.3999999999999996E-2</v>
      </c>
      <c r="G51" s="319">
        <v>2205.17</v>
      </c>
      <c r="H51" s="319">
        <v>8.01</v>
      </c>
      <c r="I51" s="322">
        <v>8.01</v>
      </c>
      <c r="J51" s="26">
        <v>8.7999999999999995E-2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4.5709999999999997</v>
      </c>
      <c r="E52" s="93">
        <v>0.251</v>
      </c>
      <c r="F52" s="94">
        <v>7.3999999999999996E-2</v>
      </c>
      <c r="G52" s="319">
        <v>5042.22</v>
      </c>
      <c r="H52" s="319">
        <v>8.01</v>
      </c>
      <c r="I52" s="322">
        <v>8.01</v>
      </c>
      <c r="J52" s="26">
        <v>8.7999999999999995E-2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847</v>
      </c>
      <c r="D53" s="95">
        <v>26.577999999999999</v>
      </c>
      <c r="E53" s="96">
        <v>1.3109999999999999</v>
      </c>
      <c r="F53" s="94">
        <v>0.76500000000000001</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-12.885999999999999</v>
      </c>
      <c r="E54" s="93">
        <v>-1.0629999999999999</v>
      </c>
      <c r="F54" s="94">
        <v>-0.20399999999999999</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-11.227</v>
      </c>
      <c r="E55" s="93">
        <v>-0.88800000000000001</v>
      </c>
      <c r="F55" s="94">
        <v>-0.17899999999999999</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-12.885999999999999</v>
      </c>
      <c r="E56" s="93">
        <v>-1.0629999999999999</v>
      </c>
      <c r="F56" s="94">
        <v>-0.20399999999999999</v>
      </c>
      <c r="G56" s="319" t="s">
        <v>840</v>
      </c>
      <c r="H56" s="320" t="s">
        <v>840</v>
      </c>
      <c r="I56" s="321" t="s">
        <v>840</v>
      </c>
      <c r="J56" s="26">
        <v>0.35499999999999998</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-11.227</v>
      </c>
      <c r="E57" s="93">
        <v>-0.88800000000000001</v>
      </c>
      <c r="F57" s="94">
        <v>-0.17899999999999999</v>
      </c>
      <c r="G57" s="319" t="s">
        <v>840</v>
      </c>
      <c r="H57" s="320" t="s">
        <v>840</v>
      </c>
      <c r="I57" s="321" t="s">
        <v>840</v>
      </c>
      <c r="J57" s="26">
        <v>0.26600000000000001</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-6.8109999999999999</v>
      </c>
      <c r="E58" s="93">
        <v>-0.41899999999999998</v>
      </c>
      <c r="F58" s="94">
        <v>-0.112</v>
      </c>
      <c r="G58" s="319" t="s">
        <v>840</v>
      </c>
      <c r="H58" s="320" t="s">
        <v>840</v>
      </c>
      <c r="I58" s="321" t="s">
        <v>840</v>
      </c>
      <c r="J58" s="26">
        <v>0.22700000000000001</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845</v>
      </c>
      <c r="D59" s="92">
        <v>4.6950000000000003</v>
      </c>
      <c r="E59" s="93">
        <v>0.38700000000000001</v>
      </c>
      <c r="F59" s="94">
        <v>7.3999999999999996E-2</v>
      </c>
      <c r="G59" s="319">
        <v>3.04</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2075</v>
      </c>
      <c r="D60" s="92">
        <v>4.6950000000000003</v>
      </c>
      <c r="E60" s="93">
        <v>0.38700000000000001</v>
      </c>
      <c r="F60" s="94">
        <v>7.3999999999999996E-2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846</v>
      </c>
      <c r="D61" s="92">
        <v>5.1369999999999996</v>
      </c>
      <c r="E61" s="93">
        <v>0.42399999999999999</v>
      </c>
      <c r="F61" s="94">
        <v>8.1000000000000003E-2</v>
      </c>
      <c r="G61" s="319">
        <v>3.88</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846</v>
      </c>
      <c r="D62" s="92">
        <v>5.1369999999999996</v>
      </c>
      <c r="E62" s="93">
        <v>0.42399999999999999</v>
      </c>
      <c r="F62" s="94">
        <v>8.1000000000000003E-2</v>
      </c>
      <c r="G62" s="319">
        <v>4.59</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846</v>
      </c>
      <c r="D63" s="92">
        <v>5.1369999999999996</v>
      </c>
      <c r="E63" s="93">
        <v>0.42399999999999999</v>
      </c>
      <c r="F63" s="94">
        <v>8.1000000000000003E-2</v>
      </c>
      <c r="G63" s="319">
        <v>5.87</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846</v>
      </c>
      <c r="D64" s="92">
        <v>5.1369999999999996</v>
      </c>
      <c r="E64" s="93">
        <v>0.42399999999999999</v>
      </c>
      <c r="F64" s="94">
        <v>8.1000000000000003E-2</v>
      </c>
      <c r="G64" s="319">
        <v>8.07</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846</v>
      </c>
      <c r="D65" s="92">
        <v>5.1369999999999996</v>
      </c>
      <c r="E65" s="93">
        <v>0.42399999999999999</v>
      </c>
      <c r="F65" s="94">
        <v>8.1000000000000003E-2</v>
      </c>
      <c r="G65" s="319">
        <v>14.7</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2076</v>
      </c>
      <c r="D66" s="92">
        <v>5.1369999999999996</v>
      </c>
      <c r="E66" s="93">
        <v>0.42399999999999999</v>
      </c>
      <c r="F66" s="94">
        <v>8.1000000000000003E-2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3.2629999999999999</v>
      </c>
      <c r="E67" s="93">
        <v>0.25</v>
      </c>
      <c r="F67" s="94">
        <v>5.1999999999999998E-2</v>
      </c>
      <c r="G67" s="319">
        <v>4.53</v>
      </c>
      <c r="H67" s="319">
        <v>2.66</v>
      </c>
      <c r="I67" s="322">
        <v>2.66</v>
      </c>
      <c r="J67" s="26">
        <v>7.2999999999999995E-2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3.2629999999999999</v>
      </c>
      <c r="E68" s="93">
        <v>0.25</v>
      </c>
      <c r="F68" s="94">
        <v>5.1999999999999998E-2</v>
      </c>
      <c r="G68" s="319">
        <v>23.96</v>
      </c>
      <c r="H68" s="319">
        <v>2.66</v>
      </c>
      <c r="I68" s="322">
        <v>2.66</v>
      </c>
      <c r="J68" s="26">
        <v>7.2999999999999995E-2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3.2629999999999999</v>
      </c>
      <c r="E69" s="93">
        <v>0.25</v>
      </c>
      <c r="F69" s="94">
        <v>5.1999999999999998E-2</v>
      </c>
      <c r="G69" s="319">
        <v>41.92</v>
      </c>
      <c r="H69" s="319">
        <v>2.66</v>
      </c>
      <c r="I69" s="322">
        <v>2.66</v>
      </c>
      <c r="J69" s="26">
        <v>7.2999999999999995E-2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3.2629999999999999</v>
      </c>
      <c r="E70" s="93">
        <v>0.25</v>
      </c>
      <c r="F70" s="94">
        <v>5.1999999999999998E-2</v>
      </c>
      <c r="G70" s="319">
        <v>67.989999999999995</v>
      </c>
      <c r="H70" s="319">
        <v>2.66</v>
      </c>
      <c r="I70" s="322">
        <v>2.66</v>
      </c>
      <c r="J70" s="26">
        <v>7.2999999999999995E-2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3.2629999999999999</v>
      </c>
      <c r="E71" s="93">
        <v>0.25</v>
      </c>
      <c r="F71" s="94">
        <v>5.1999999999999998E-2</v>
      </c>
      <c r="G71" s="319">
        <v>152.1</v>
      </c>
      <c r="H71" s="319">
        <v>2.66</v>
      </c>
      <c r="I71" s="322">
        <v>2.66</v>
      </c>
      <c r="J71" s="26">
        <v>7.2999999999999995E-2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3.2930000000000001</v>
      </c>
      <c r="E72" s="93">
        <v>0.20300000000000001</v>
      </c>
      <c r="F72" s="94">
        <v>5.3999999999999999E-2</v>
      </c>
      <c r="G72" s="319">
        <v>5.38</v>
      </c>
      <c r="H72" s="319">
        <v>3.88</v>
      </c>
      <c r="I72" s="322">
        <v>3.88</v>
      </c>
      <c r="J72" s="26">
        <v>6.9000000000000006E-2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3.2930000000000001</v>
      </c>
      <c r="E73" s="93">
        <v>0.20300000000000001</v>
      </c>
      <c r="F73" s="94">
        <v>5.3999999999999999E-2</v>
      </c>
      <c r="G73" s="319">
        <v>34.950000000000003</v>
      </c>
      <c r="H73" s="319">
        <v>3.88</v>
      </c>
      <c r="I73" s="322">
        <v>3.88</v>
      </c>
      <c r="J73" s="26">
        <v>6.9000000000000006E-2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3.2930000000000001</v>
      </c>
      <c r="E74" s="93">
        <v>0.20300000000000001</v>
      </c>
      <c r="F74" s="94">
        <v>5.3999999999999999E-2</v>
      </c>
      <c r="G74" s="319">
        <v>62.27</v>
      </c>
      <c r="H74" s="319">
        <v>3.88</v>
      </c>
      <c r="I74" s="322">
        <v>3.88</v>
      </c>
      <c r="J74" s="26">
        <v>6.9000000000000006E-2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3.2930000000000001</v>
      </c>
      <c r="E75" s="93">
        <v>0.20300000000000001</v>
      </c>
      <c r="F75" s="94">
        <v>5.3999999999999999E-2</v>
      </c>
      <c r="G75" s="319">
        <v>101.95</v>
      </c>
      <c r="H75" s="319">
        <v>3.88</v>
      </c>
      <c r="I75" s="322">
        <v>3.88</v>
      </c>
      <c r="J75" s="26">
        <v>6.9000000000000006E-2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3.2930000000000001</v>
      </c>
      <c r="E76" s="93">
        <v>0.20300000000000001</v>
      </c>
      <c r="F76" s="94">
        <v>5.3999999999999999E-2</v>
      </c>
      <c r="G76" s="319">
        <v>229.94</v>
      </c>
      <c r="H76" s="319">
        <v>3.88</v>
      </c>
      <c r="I76" s="322">
        <v>3.88</v>
      </c>
      <c r="J76" s="26">
        <v>6.9000000000000006E-2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2.726</v>
      </c>
      <c r="E77" s="93">
        <v>0.15</v>
      </c>
      <c r="F77" s="94">
        <v>4.3999999999999997E-2</v>
      </c>
      <c r="G77" s="319">
        <v>59</v>
      </c>
      <c r="H77" s="319">
        <v>4.78</v>
      </c>
      <c r="I77" s="322">
        <v>4.78</v>
      </c>
      <c r="J77" s="26">
        <v>5.1999999999999998E-2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2.726</v>
      </c>
      <c r="E78" s="93">
        <v>0.15</v>
      </c>
      <c r="F78" s="94">
        <v>4.3999999999999997E-2</v>
      </c>
      <c r="G78" s="319">
        <v>316.95999999999998</v>
      </c>
      <c r="H78" s="319">
        <v>4.78</v>
      </c>
      <c r="I78" s="322">
        <v>4.78</v>
      </c>
      <c r="J78" s="26">
        <v>5.1999999999999998E-2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2.726</v>
      </c>
      <c r="E79" s="93">
        <v>0.15</v>
      </c>
      <c r="F79" s="94">
        <v>4.3999999999999997E-2</v>
      </c>
      <c r="G79" s="319">
        <v>728.51</v>
      </c>
      <c r="H79" s="319">
        <v>4.78</v>
      </c>
      <c r="I79" s="322">
        <v>4.78</v>
      </c>
      <c r="J79" s="26">
        <v>5.1999999999999998E-2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2.726</v>
      </c>
      <c r="E80" s="93">
        <v>0.15</v>
      </c>
      <c r="F80" s="94">
        <v>4.3999999999999997E-2</v>
      </c>
      <c r="G80" s="319">
        <v>1315.02</v>
      </c>
      <c r="H80" s="319">
        <v>4.78</v>
      </c>
      <c r="I80" s="322">
        <v>4.78</v>
      </c>
      <c r="J80" s="26">
        <v>5.1999999999999998E-2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2.726</v>
      </c>
      <c r="E81" s="93">
        <v>0.15</v>
      </c>
      <c r="F81" s="94">
        <v>4.3999999999999997E-2</v>
      </c>
      <c r="G81" s="319">
        <v>3006.85</v>
      </c>
      <c r="H81" s="319">
        <v>4.78</v>
      </c>
      <c r="I81" s="322">
        <v>4.78</v>
      </c>
      <c r="J81" s="26">
        <v>5.1999999999999998E-2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847</v>
      </c>
      <c r="D82" s="95">
        <v>16.556999999999999</v>
      </c>
      <c r="E82" s="96">
        <v>0.81599999999999995</v>
      </c>
      <c r="F82" s="94">
        <v>0.47699999999999998</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-4.9660000000000002</v>
      </c>
      <c r="E83" s="93">
        <v>-0.41</v>
      </c>
      <c r="F83" s="94">
        <v>-7.9000000000000001E-2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-5.141</v>
      </c>
      <c r="E84" s="93">
        <v>-0.40699999999999997</v>
      </c>
      <c r="F84" s="94">
        <v>-8.2000000000000003E-2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-4.9660000000000002</v>
      </c>
      <c r="E85" s="93">
        <v>-0.41</v>
      </c>
      <c r="F85" s="94">
        <v>-7.9000000000000001E-2</v>
      </c>
      <c r="G85" s="319" t="s">
        <v>840</v>
      </c>
      <c r="H85" s="320" t="s">
        <v>840</v>
      </c>
      <c r="I85" s="321" t="s">
        <v>840</v>
      </c>
      <c r="J85" s="26">
        <v>0.13700000000000001</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-5.141</v>
      </c>
      <c r="E86" s="93">
        <v>-0.40699999999999997</v>
      </c>
      <c r="F86" s="94">
        <v>-8.2000000000000003E-2</v>
      </c>
      <c r="G86" s="319" t="s">
        <v>840</v>
      </c>
      <c r="H86" s="320" t="s">
        <v>840</v>
      </c>
      <c r="I86" s="321" t="s">
        <v>840</v>
      </c>
      <c r="J86" s="26">
        <v>0.122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-6.8109999999999999</v>
      </c>
      <c r="E87" s="93">
        <v>-0.41899999999999998</v>
      </c>
      <c r="F87" s="94">
        <v>-0.112</v>
      </c>
      <c r="G87" s="319">
        <v>80.63</v>
      </c>
      <c r="H87" s="320" t="s">
        <v>840</v>
      </c>
      <c r="I87" s="321" t="s">
        <v>840</v>
      </c>
      <c r="J87" s="26">
        <v>0.22700000000000001</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845</v>
      </c>
      <c r="D88" s="92">
        <v>3.7450000000000001</v>
      </c>
      <c r="E88" s="93">
        <v>0.309</v>
      </c>
      <c r="F88" s="94">
        <v>5.8999999999999997E-2</v>
      </c>
      <c r="G88" s="319">
        <v>2.4300000000000002</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2075</v>
      </c>
      <c r="D89" s="92">
        <v>3.7450000000000001</v>
      </c>
      <c r="E89" s="93">
        <v>0.309</v>
      </c>
      <c r="F89" s="94">
        <v>5.8999999999999997E-2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846</v>
      </c>
      <c r="D90" s="92">
        <v>4.0979999999999999</v>
      </c>
      <c r="E90" s="93">
        <v>0.33800000000000002</v>
      </c>
      <c r="F90" s="94">
        <v>6.5000000000000002E-2</v>
      </c>
      <c r="G90" s="319">
        <v>3.09</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846</v>
      </c>
      <c r="D91" s="92">
        <v>4.0979999999999999</v>
      </c>
      <c r="E91" s="93">
        <v>0.33800000000000002</v>
      </c>
      <c r="F91" s="94">
        <v>6.5000000000000002E-2</v>
      </c>
      <c r="G91" s="319">
        <v>3.66</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846</v>
      </c>
      <c r="D92" s="92">
        <v>4.0979999999999999</v>
      </c>
      <c r="E92" s="93">
        <v>0.33800000000000002</v>
      </c>
      <c r="F92" s="94">
        <v>6.5000000000000002E-2</v>
      </c>
      <c r="G92" s="319">
        <v>4.68</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846</v>
      </c>
      <c r="D93" s="92">
        <v>4.0979999999999999</v>
      </c>
      <c r="E93" s="93">
        <v>0.33800000000000002</v>
      </c>
      <c r="F93" s="94">
        <v>6.5000000000000002E-2</v>
      </c>
      <c r="G93" s="319">
        <v>6.44</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846</v>
      </c>
      <c r="D94" s="92">
        <v>4.0979999999999999</v>
      </c>
      <c r="E94" s="93">
        <v>0.33800000000000002</v>
      </c>
      <c r="F94" s="94">
        <v>6.5000000000000002E-2</v>
      </c>
      <c r="G94" s="319">
        <v>11.72</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2076</v>
      </c>
      <c r="D95" s="92">
        <v>4.0979999999999999</v>
      </c>
      <c r="E95" s="93">
        <v>0.33800000000000002</v>
      </c>
      <c r="F95" s="94">
        <v>6.5000000000000002E-2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2.6030000000000002</v>
      </c>
      <c r="E96" s="93">
        <v>0.2</v>
      </c>
      <c r="F96" s="94">
        <v>4.2000000000000003E-2</v>
      </c>
      <c r="G96" s="319">
        <v>3.61</v>
      </c>
      <c r="H96" s="319">
        <v>2.12</v>
      </c>
      <c r="I96" s="322">
        <v>2.12</v>
      </c>
      <c r="J96" s="26">
        <v>5.8000000000000003E-2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2.6030000000000002</v>
      </c>
      <c r="E97" s="93">
        <v>0.2</v>
      </c>
      <c r="F97" s="94">
        <v>4.2000000000000003E-2</v>
      </c>
      <c r="G97" s="319">
        <v>19.11</v>
      </c>
      <c r="H97" s="319">
        <v>2.12</v>
      </c>
      <c r="I97" s="322">
        <v>2.12</v>
      </c>
      <c r="J97" s="26">
        <v>5.8000000000000003E-2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2.6030000000000002</v>
      </c>
      <c r="E98" s="93">
        <v>0.2</v>
      </c>
      <c r="F98" s="94">
        <v>4.2000000000000003E-2</v>
      </c>
      <c r="G98" s="319">
        <v>33.43</v>
      </c>
      <c r="H98" s="319">
        <v>2.12</v>
      </c>
      <c r="I98" s="322">
        <v>2.12</v>
      </c>
      <c r="J98" s="26">
        <v>5.8000000000000003E-2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2.6030000000000002</v>
      </c>
      <c r="E99" s="93">
        <v>0.2</v>
      </c>
      <c r="F99" s="94">
        <v>4.2000000000000003E-2</v>
      </c>
      <c r="G99" s="319">
        <v>54.23</v>
      </c>
      <c r="H99" s="319">
        <v>2.12</v>
      </c>
      <c r="I99" s="322">
        <v>2.12</v>
      </c>
      <c r="J99" s="26">
        <v>5.8000000000000003E-2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2.6030000000000002</v>
      </c>
      <c r="E100" s="93">
        <v>0.2</v>
      </c>
      <c r="F100" s="94">
        <v>4.2000000000000003E-2</v>
      </c>
      <c r="G100" s="319">
        <v>121.32</v>
      </c>
      <c r="H100" s="319">
        <v>2.12</v>
      </c>
      <c r="I100" s="322">
        <v>2.12</v>
      </c>
      <c r="J100" s="26">
        <v>5.8000000000000003E-2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2.6259999999999999</v>
      </c>
      <c r="E101" s="93">
        <v>0.16200000000000001</v>
      </c>
      <c r="F101" s="94">
        <v>4.2999999999999997E-2</v>
      </c>
      <c r="G101" s="319">
        <v>4.29</v>
      </c>
      <c r="H101" s="319">
        <v>3.1</v>
      </c>
      <c r="I101" s="322">
        <v>3.1</v>
      </c>
      <c r="J101" s="26">
        <v>5.5E-2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2.6259999999999999</v>
      </c>
      <c r="E102" s="93">
        <v>0.16200000000000001</v>
      </c>
      <c r="F102" s="94">
        <v>4.2999999999999997E-2</v>
      </c>
      <c r="G102" s="319">
        <v>27.87</v>
      </c>
      <c r="H102" s="319">
        <v>3.1</v>
      </c>
      <c r="I102" s="322">
        <v>3.1</v>
      </c>
      <c r="J102" s="26">
        <v>5.5E-2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2.6259999999999999</v>
      </c>
      <c r="E103" s="93">
        <v>0.16200000000000001</v>
      </c>
      <c r="F103" s="94">
        <v>4.2999999999999997E-2</v>
      </c>
      <c r="G103" s="319">
        <v>49.67</v>
      </c>
      <c r="H103" s="319">
        <v>3.1</v>
      </c>
      <c r="I103" s="322">
        <v>3.1</v>
      </c>
      <c r="J103" s="26">
        <v>5.5E-2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2.6259999999999999</v>
      </c>
      <c r="E104" s="93">
        <v>0.16200000000000001</v>
      </c>
      <c r="F104" s="94">
        <v>4.2999999999999997E-2</v>
      </c>
      <c r="G104" s="319">
        <v>81.319999999999993</v>
      </c>
      <c r="H104" s="319">
        <v>3.1</v>
      </c>
      <c r="I104" s="322">
        <v>3.1</v>
      </c>
      <c r="J104" s="26">
        <v>5.5E-2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2.6259999999999999</v>
      </c>
      <c r="E105" s="93">
        <v>0.16200000000000001</v>
      </c>
      <c r="F105" s="94">
        <v>4.2999999999999997E-2</v>
      </c>
      <c r="G105" s="319">
        <v>183.4</v>
      </c>
      <c r="H105" s="319">
        <v>3.1</v>
      </c>
      <c r="I105" s="322">
        <v>3.1</v>
      </c>
      <c r="J105" s="26">
        <v>5.5E-2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2.1739999999999999</v>
      </c>
      <c r="E106" s="93">
        <v>0.11899999999999999</v>
      </c>
      <c r="F106" s="94">
        <v>3.5000000000000003E-2</v>
      </c>
      <c r="G106" s="319">
        <v>47.05</v>
      </c>
      <c r="H106" s="319">
        <v>3.81</v>
      </c>
      <c r="I106" s="322">
        <v>3.81</v>
      </c>
      <c r="J106" s="26">
        <v>4.2000000000000003E-2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2.1739999999999999</v>
      </c>
      <c r="E107" s="93">
        <v>0.11899999999999999</v>
      </c>
      <c r="F107" s="94">
        <v>3.5000000000000003E-2</v>
      </c>
      <c r="G107" s="319">
        <v>252.81</v>
      </c>
      <c r="H107" s="319">
        <v>3.81</v>
      </c>
      <c r="I107" s="322">
        <v>3.81</v>
      </c>
      <c r="J107" s="26">
        <v>4.2000000000000003E-2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2.1739999999999999</v>
      </c>
      <c r="E108" s="93">
        <v>0.11899999999999999</v>
      </c>
      <c r="F108" s="94">
        <v>3.5000000000000003E-2</v>
      </c>
      <c r="G108" s="319">
        <v>581.05999999999995</v>
      </c>
      <c r="H108" s="319">
        <v>3.81</v>
      </c>
      <c r="I108" s="322">
        <v>3.81</v>
      </c>
      <c r="J108" s="26">
        <v>4.2000000000000003E-2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2.1739999999999999</v>
      </c>
      <c r="E109" s="93">
        <v>0.11899999999999999</v>
      </c>
      <c r="F109" s="94">
        <v>3.5000000000000003E-2</v>
      </c>
      <c r="G109" s="319">
        <v>1048.8699999999999</v>
      </c>
      <c r="H109" s="319">
        <v>3.81</v>
      </c>
      <c r="I109" s="322">
        <v>3.81</v>
      </c>
      <c r="J109" s="26">
        <v>4.2000000000000003E-2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2.1739999999999999</v>
      </c>
      <c r="E110" s="93">
        <v>0.11899999999999999</v>
      </c>
      <c r="F110" s="94">
        <v>3.5000000000000003E-2</v>
      </c>
      <c r="G110" s="319">
        <v>2398.2800000000002</v>
      </c>
      <c r="H110" s="319">
        <v>3.81</v>
      </c>
      <c r="I110" s="322">
        <v>3.81</v>
      </c>
      <c r="J110" s="26">
        <v>4.2000000000000003E-2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847</v>
      </c>
      <c r="D111" s="95">
        <v>13.206</v>
      </c>
      <c r="E111" s="96">
        <v>0.65100000000000002</v>
      </c>
      <c r="F111" s="94">
        <v>0.38</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-3.9609999999999999</v>
      </c>
      <c r="E112" s="93">
        <v>-0.32700000000000001</v>
      </c>
      <c r="F112" s="94">
        <v>-6.3E-2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-4.101</v>
      </c>
      <c r="E113" s="93">
        <v>-0.32400000000000001</v>
      </c>
      <c r="F113" s="94">
        <v>-6.5000000000000002E-2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-3.9609999999999999</v>
      </c>
      <c r="E114" s="93">
        <v>-0.32700000000000001</v>
      </c>
      <c r="F114" s="94">
        <v>-6.3E-2</v>
      </c>
      <c r="G114" s="319" t="s">
        <v>840</v>
      </c>
      <c r="H114" s="320" t="s">
        <v>840</v>
      </c>
      <c r="I114" s="321" t="s">
        <v>840</v>
      </c>
      <c r="J114" s="26">
        <v>0.109</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-4.101</v>
      </c>
      <c r="E115" s="93">
        <v>-0.32400000000000001</v>
      </c>
      <c r="F115" s="94">
        <v>-6.5000000000000002E-2</v>
      </c>
      <c r="G115" s="319" t="s">
        <v>840</v>
      </c>
      <c r="H115" s="320" t="s">
        <v>840</v>
      </c>
      <c r="I115" s="321" t="s">
        <v>840</v>
      </c>
      <c r="J115" s="26">
        <v>9.7000000000000003E-2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-5.4329999999999998</v>
      </c>
      <c r="E116" s="93">
        <v>-0.33400000000000002</v>
      </c>
      <c r="F116" s="94">
        <v>-8.8999999999999996E-2</v>
      </c>
      <c r="G116" s="319">
        <v>64.31</v>
      </c>
      <c r="H116" s="320" t="s">
        <v>840</v>
      </c>
      <c r="I116" s="321" t="s">
        <v>840</v>
      </c>
      <c r="J116" s="26">
        <v>0.18099999999999999</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845</v>
      </c>
      <c r="D117" s="92">
        <v>3.1379999999999999</v>
      </c>
      <c r="E117" s="93">
        <v>0.25900000000000001</v>
      </c>
      <c r="F117" s="94">
        <v>0.05</v>
      </c>
      <c r="G117" s="319">
        <v>2.0299999999999998</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2075</v>
      </c>
      <c r="D118" s="92">
        <v>3.1379999999999999</v>
      </c>
      <c r="E118" s="93">
        <v>0.25900000000000001</v>
      </c>
      <c r="F118" s="94">
        <v>0.05</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846</v>
      </c>
      <c r="D119" s="92">
        <v>3.4340000000000002</v>
      </c>
      <c r="E119" s="93">
        <v>0.28299999999999997</v>
      </c>
      <c r="F119" s="94">
        <v>5.3999999999999999E-2</v>
      </c>
      <c r="G119" s="319">
        <v>2.59</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846</v>
      </c>
      <c r="D120" s="92">
        <v>3.4340000000000002</v>
      </c>
      <c r="E120" s="93">
        <v>0.28299999999999997</v>
      </c>
      <c r="F120" s="94">
        <v>5.3999999999999999E-2</v>
      </c>
      <c r="G120" s="319">
        <v>3.07</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846</v>
      </c>
      <c r="D121" s="92">
        <v>3.4340000000000002</v>
      </c>
      <c r="E121" s="93">
        <v>0.28299999999999997</v>
      </c>
      <c r="F121" s="94">
        <v>5.3999999999999999E-2</v>
      </c>
      <c r="G121" s="319">
        <v>3.92</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846</v>
      </c>
      <c r="D122" s="92">
        <v>3.4340000000000002</v>
      </c>
      <c r="E122" s="93">
        <v>0.28299999999999997</v>
      </c>
      <c r="F122" s="94">
        <v>5.3999999999999999E-2</v>
      </c>
      <c r="G122" s="319">
        <v>5.4</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846</v>
      </c>
      <c r="D123" s="92">
        <v>3.4340000000000002</v>
      </c>
      <c r="E123" s="93">
        <v>0.28299999999999997</v>
      </c>
      <c r="F123" s="94">
        <v>5.3999999999999999E-2</v>
      </c>
      <c r="G123" s="319">
        <v>9.83</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2076</v>
      </c>
      <c r="D124" s="92">
        <v>3.4340000000000002</v>
      </c>
      <c r="E124" s="93">
        <v>0.28299999999999997</v>
      </c>
      <c r="F124" s="94">
        <v>5.3999999999999999E-2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2.181</v>
      </c>
      <c r="E125" s="93">
        <v>0.16700000000000001</v>
      </c>
      <c r="F125" s="94">
        <v>3.5000000000000003E-2</v>
      </c>
      <c r="G125" s="319">
        <v>3.03</v>
      </c>
      <c r="H125" s="319">
        <v>1.78</v>
      </c>
      <c r="I125" s="322">
        <v>1.78</v>
      </c>
      <c r="J125" s="26">
        <v>4.9000000000000002E-2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2.181</v>
      </c>
      <c r="E126" s="93">
        <v>0.16700000000000001</v>
      </c>
      <c r="F126" s="94">
        <v>3.5000000000000003E-2</v>
      </c>
      <c r="G126" s="319">
        <v>16.02</v>
      </c>
      <c r="H126" s="319">
        <v>1.78</v>
      </c>
      <c r="I126" s="322">
        <v>1.78</v>
      </c>
      <c r="J126" s="26">
        <v>4.9000000000000002E-2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2.181</v>
      </c>
      <c r="E127" s="93">
        <v>0.16700000000000001</v>
      </c>
      <c r="F127" s="94">
        <v>3.5000000000000003E-2</v>
      </c>
      <c r="G127" s="319">
        <v>28.02</v>
      </c>
      <c r="H127" s="319">
        <v>1.78</v>
      </c>
      <c r="I127" s="322">
        <v>1.78</v>
      </c>
      <c r="J127" s="26">
        <v>4.9000000000000002E-2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2.181</v>
      </c>
      <c r="E128" s="93">
        <v>0.16700000000000001</v>
      </c>
      <c r="F128" s="94">
        <v>3.5000000000000003E-2</v>
      </c>
      <c r="G128" s="319">
        <v>45.45</v>
      </c>
      <c r="H128" s="319">
        <v>1.78</v>
      </c>
      <c r="I128" s="322">
        <v>1.78</v>
      </c>
      <c r="J128" s="26">
        <v>4.9000000000000002E-2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2.181</v>
      </c>
      <c r="E129" s="93">
        <v>0.16700000000000001</v>
      </c>
      <c r="F129" s="94">
        <v>3.5000000000000003E-2</v>
      </c>
      <c r="G129" s="319">
        <v>101.67</v>
      </c>
      <c r="H129" s="319">
        <v>1.78</v>
      </c>
      <c r="I129" s="322">
        <v>1.78</v>
      </c>
      <c r="J129" s="26">
        <v>4.9000000000000002E-2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2.2010000000000001</v>
      </c>
      <c r="E130" s="93">
        <v>0.13500000000000001</v>
      </c>
      <c r="F130" s="94">
        <v>3.5999999999999997E-2</v>
      </c>
      <c r="G130" s="319">
        <v>3.59</v>
      </c>
      <c r="H130" s="319">
        <v>2.6</v>
      </c>
      <c r="I130" s="322">
        <v>2.6</v>
      </c>
      <c r="J130" s="26">
        <v>4.5999999999999999E-2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2.2010000000000001</v>
      </c>
      <c r="E131" s="93">
        <v>0.13500000000000001</v>
      </c>
      <c r="F131" s="94">
        <v>3.5999999999999997E-2</v>
      </c>
      <c r="G131" s="319">
        <v>23.36</v>
      </c>
      <c r="H131" s="319">
        <v>2.6</v>
      </c>
      <c r="I131" s="322">
        <v>2.6</v>
      </c>
      <c r="J131" s="26">
        <v>4.5999999999999999E-2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2.2010000000000001</v>
      </c>
      <c r="E132" s="93">
        <v>0.13500000000000001</v>
      </c>
      <c r="F132" s="94">
        <v>3.5999999999999997E-2</v>
      </c>
      <c r="G132" s="319">
        <v>41.63</v>
      </c>
      <c r="H132" s="319">
        <v>2.6</v>
      </c>
      <c r="I132" s="322">
        <v>2.6</v>
      </c>
      <c r="J132" s="26">
        <v>4.5999999999999999E-2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2.2010000000000001</v>
      </c>
      <c r="E133" s="93">
        <v>0.13500000000000001</v>
      </c>
      <c r="F133" s="94">
        <v>3.5999999999999997E-2</v>
      </c>
      <c r="G133" s="319">
        <v>68.150000000000006</v>
      </c>
      <c r="H133" s="319">
        <v>2.6</v>
      </c>
      <c r="I133" s="322">
        <v>2.6</v>
      </c>
      <c r="J133" s="26">
        <v>4.5999999999999999E-2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2.2010000000000001</v>
      </c>
      <c r="E134" s="93">
        <v>0.13500000000000001</v>
      </c>
      <c r="F134" s="94">
        <v>3.5999999999999997E-2</v>
      </c>
      <c r="G134" s="319">
        <v>153.69999999999999</v>
      </c>
      <c r="H134" s="319">
        <v>2.6</v>
      </c>
      <c r="I134" s="322">
        <v>2.6</v>
      </c>
      <c r="J134" s="26">
        <v>4.5999999999999999E-2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1.8220000000000001</v>
      </c>
      <c r="E135" s="93">
        <v>0.1</v>
      </c>
      <c r="F135" s="94">
        <v>2.9000000000000001E-2</v>
      </c>
      <c r="G135" s="319">
        <v>39.44</v>
      </c>
      <c r="H135" s="319">
        <v>3.19</v>
      </c>
      <c r="I135" s="322">
        <v>3.19</v>
      </c>
      <c r="J135" s="26">
        <v>3.5000000000000003E-2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1.8220000000000001</v>
      </c>
      <c r="E136" s="93">
        <v>0.1</v>
      </c>
      <c r="F136" s="94">
        <v>2.9000000000000001E-2</v>
      </c>
      <c r="G136" s="319">
        <v>211.87</v>
      </c>
      <c r="H136" s="319">
        <v>3.19</v>
      </c>
      <c r="I136" s="322">
        <v>3.19</v>
      </c>
      <c r="J136" s="26">
        <v>3.5000000000000003E-2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1.8220000000000001</v>
      </c>
      <c r="E137" s="93">
        <v>0.1</v>
      </c>
      <c r="F137" s="94">
        <v>2.9000000000000001E-2</v>
      </c>
      <c r="G137" s="319">
        <v>486.97</v>
      </c>
      <c r="H137" s="319">
        <v>3.19</v>
      </c>
      <c r="I137" s="322">
        <v>3.19</v>
      </c>
      <c r="J137" s="26">
        <v>3.5000000000000003E-2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1.8220000000000001</v>
      </c>
      <c r="E138" s="93">
        <v>0.1</v>
      </c>
      <c r="F138" s="94">
        <v>2.9000000000000001E-2</v>
      </c>
      <c r="G138" s="319">
        <v>879.03</v>
      </c>
      <c r="H138" s="319">
        <v>3.19</v>
      </c>
      <c r="I138" s="322">
        <v>3.19</v>
      </c>
      <c r="J138" s="26">
        <v>3.5000000000000003E-2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1.8220000000000001</v>
      </c>
      <c r="E139" s="93">
        <v>0.1</v>
      </c>
      <c r="F139" s="94">
        <v>2.9000000000000001E-2</v>
      </c>
      <c r="G139" s="319">
        <v>2009.93</v>
      </c>
      <c r="H139" s="319">
        <v>3.19</v>
      </c>
      <c r="I139" s="322">
        <v>3.19</v>
      </c>
      <c r="J139" s="26">
        <v>3.5000000000000003E-2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847</v>
      </c>
      <c r="D140" s="95">
        <v>11.068</v>
      </c>
      <c r="E140" s="96">
        <v>0.54600000000000004</v>
      </c>
      <c r="F140" s="94">
        <v>0.31900000000000001</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-3.319</v>
      </c>
      <c r="E141" s="93">
        <v>-0.27400000000000002</v>
      </c>
      <c r="F141" s="94">
        <v>-5.2999999999999999E-2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-3.4369999999999998</v>
      </c>
      <c r="E142" s="93">
        <v>-0.27200000000000002</v>
      </c>
      <c r="F142" s="94">
        <v>-5.5E-2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-3.319</v>
      </c>
      <c r="E143" s="93">
        <v>-0.27400000000000002</v>
      </c>
      <c r="F143" s="94">
        <v>-5.2999999999999999E-2</v>
      </c>
      <c r="G143" s="319" t="s">
        <v>840</v>
      </c>
      <c r="H143" s="320" t="s">
        <v>840</v>
      </c>
      <c r="I143" s="321" t="s">
        <v>840</v>
      </c>
      <c r="J143" s="26">
        <v>9.0999999999999998E-2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-3.4369999999999998</v>
      </c>
      <c r="E144" s="93">
        <v>-0.27200000000000002</v>
      </c>
      <c r="F144" s="94">
        <v>-5.5E-2</v>
      </c>
      <c r="G144" s="319" t="s">
        <v>840</v>
      </c>
      <c r="H144" s="320" t="s">
        <v>840</v>
      </c>
      <c r="I144" s="321" t="s">
        <v>840</v>
      </c>
      <c r="J144" s="26">
        <v>8.1000000000000003E-2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-4.5529999999999999</v>
      </c>
      <c r="E145" s="93">
        <v>-0.28000000000000003</v>
      </c>
      <c r="F145" s="94">
        <v>-7.4999999999999997E-2</v>
      </c>
      <c r="G145" s="319">
        <v>53.9</v>
      </c>
      <c r="H145" s="320" t="s">
        <v>840</v>
      </c>
      <c r="I145" s="321" t="s">
        <v>840</v>
      </c>
      <c r="J145" s="26">
        <v>0.152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1.776</v>
      </c>
      <c r="E146" s="93">
        <v>0.14699999999999999</v>
      </c>
      <c r="F146" s="94">
        <v>2.8000000000000001E-2</v>
      </c>
      <c r="G146" s="319">
        <v>1.1499999999999999</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2075</v>
      </c>
      <c r="D147" s="92">
        <v>1.776</v>
      </c>
      <c r="E147" s="93">
        <v>0.14699999999999999</v>
      </c>
      <c r="F147" s="94">
        <v>2.8000000000000001E-2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1.9430000000000001</v>
      </c>
      <c r="E148" s="93">
        <v>0.16</v>
      </c>
      <c r="F148" s="94">
        <v>3.1E-2</v>
      </c>
      <c r="G148" s="319">
        <v>1.47</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1.9430000000000001</v>
      </c>
      <c r="E149" s="93">
        <v>0.16</v>
      </c>
      <c r="F149" s="94">
        <v>3.1E-2</v>
      </c>
      <c r="G149" s="319">
        <v>1.74</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1.9430000000000001</v>
      </c>
      <c r="E150" s="93">
        <v>0.16</v>
      </c>
      <c r="F150" s="94">
        <v>3.1E-2</v>
      </c>
      <c r="G150" s="319">
        <v>2.2200000000000002</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1.9430000000000001</v>
      </c>
      <c r="E151" s="93">
        <v>0.16</v>
      </c>
      <c r="F151" s="94">
        <v>3.1E-2</v>
      </c>
      <c r="G151" s="319">
        <v>3.05</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1.9430000000000001</v>
      </c>
      <c r="E152" s="93">
        <v>0.16</v>
      </c>
      <c r="F152" s="94">
        <v>3.1E-2</v>
      </c>
      <c r="G152" s="319">
        <v>5.56</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2076</v>
      </c>
      <c r="D153" s="92">
        <v>1.9430000000000001</v>
      </c>
      <c r="E153" s="93">
        <v>0.16</v>
      </c>
      <c r="F153" s="94">
        <v>3.1E-2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1.234</v>
      </c>
      <c r="E154" s="93">
        <v>9.5000000000000001E-2</v>
      </c>
      <c r="F154" s="94">
        <v>0.02</v>
      </c>
      <c r="G154" s="319">
        <v>1.71</v>
      </c>
      <c r="H154" s="319">
        <v>1</v>
      </c>
      <c r="I154" s="322">
        <v>1</v>
      </c>
      <c r="J154" s="26">
        <v>2.8000000000000001E-2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1.234</v>
      </c>
      <c r="E155" s="93">
        <v>9.5000000000000001E-2</v>
      </c>
      <c r="F155" s="94">
        <v>0.02</v>
      </c>
      <c r="G155" s="319">
        <v>9.06</v>
      </c>
      <c r="H155" s="319">
        <v>1</v>
      </c>
      <c r="I155" s="322">
        <v>1</v>
      </c>
      <c r="J155" s="26">
        <v>2.8000000000000001E-2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1.234</v>
      </c>
      <c r="E156" s="93">
        <v>9.5000000000000001E-2</v>
      </c>
      <c r="F156" s="94">
        <v>0.02</v>
      </c>
      <c r="G156" s="319">
        <v>15.86</v>
      </c>
      <c r="H156" s="319">
        <v>1</v>
      </c>
      <c r="I156" s="322">
        <v>1</v>
      </c>
      <c r="J156" s="26">
        <v>2.8000000000000001E-2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1.234</v>
      </c>
      <c r="E157" s="93">
        <v>9.5000000000000001E-2</v>
      </c>
      <c r="F157" s="94">
        <v>0.02</v>
      </c>
      <c r="G157" s="319">
        <v>25.72</v>
      </c>
      <c r="H157" s="319">
        <v>1</v>
      </c>
      <c r="I157" s="322">
        <v>1</v>
      </c>
      <c r="J157" s="26">
        <v>2.8000000000000001E-2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1.234</v>
      </c>
      <c r="E158" s="93">
        <v>9.5000000000000001E-2</v>
      </c>
      <c r="F158" s="94">
        <v>0.02</v>
      </c>
      <c r="G158" s="319">
        <v>57.54</v>
      </c>
      <c r="H158" s="319">
        <v>1</v>
      </c>
      <c r="I158" s="322">
        <v>1</v>
      </c>
      <c r="J158" s="26">
        <v>2.8000000000000001E-2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1.246</v>
      </c>
      <c r="E159" s="93">
        <v>7.6999999999999999E-2</v>
      </c>
      <c r="F159" s="94">
        <v>0.02</v>
      </c>
      <c r="G159" s="319">
        <v>2.0299999999999998</v>
      </c>
      <c r="H159" s="319">
        <v>1.47</v>
      </c>
      <c r="I159" s="322">
        <v>1.47</v>
      </c>
      <c r="J159" s="26">
        <v>2.5999999999999999E-2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1.246</v>
      </c>
      <c r="E160" s="93">
        <v>7.6999999999999999E-2</v>
      </c>
      <c r="F160" s="94">
        <v>0.02</v>
      </c>
      <c r="G160" s="319">
        <v>13.22</v>
      </c>
      <c r="H160" s="319">
        <v>1.47</v>
      </c>
      <c r="I160" s="322">
        <v>1.47</v>
      </c>
      <c r="J160" s="26">
        <v>2.5999999999999999E-2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1.246</v>
      </c>
      <c r="E161" s="93">
        <v>7.6999999999999999E-2</v>
      </c>
      <c r="F161" s="94">
        <v>0.02</v>
      </c>
      <c r="G161" s="319">
        <v>23.56</v>
      </c>
      <c r="H161" s="319">
        <v>1.47</v>
      </c>
      <c r="I161" s="322">
        <v>1.47</v>
      </c>
      <c r="J161" s="26">
        <v>2.5999999999999999E-2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1.246</v>
      </c>
      <c r="E162" s="93">
        <v>7.6999999999999999E-2</v>
      </c>
      <c r="F162" s="94">
        <v>0.02</v>
      </c>
      <c r="G162" s="319">
        <v>38.57</v>
      </c>
      <c r="H162" s="319">
        <v>1.47</v>
      </c>
      <c r="I162" s="322">
        <v>1.47</v>
      </c>
      <c r="J162" s="26">
        <v>2.5999999999999999E-2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1.246</v>
      </c>
      <c r="E163" s="93">
        <v>7.6999999999999999E-2</v>
      </c>
      <c r="F163" s="94">
        <v>0.02</v>
      </c>
      <c r="G163" s="319">
        <v>86.98</v>
      </c>
      <c r="H163" s="319">
        <v>1.47</v>
      </c>
      <c r="I163" s="322">
        <v>1.47</v>
      </c>
      <c r="J163" s="26">
        <v>2.5999999999999999E-2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1.0309999999999999</v>
      </c>
      <c r="E164" s="93">
        <v>5.7000000000000002E-2</v>
      </c>
      <c r="F164" s="94">
        <v>1.7000000000000001E-2</v>
      </c>
      <c r="G164" s="319">
        <v>22.32</v>
      </c>
      <c r="H164" s="319">
        <v>1.81</v>
      </c>
      <c r="I164" s="322">
        <v>1.81</v>
      </c>
      <c r="J164" s="26">
        <v>0.02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1.0309999999999999</v>
      </c>
      <c r="E165" s="93">
        <v>5.7000000000000002E-2</v>
      </c>
      <c r="F165" s="94">
        <v>1.7000000000000001E-2</v>
      </c>
      <c r="G165" s="319">
        <v>119.9</v>
      </c>
      <c r="H165" s="319">
        <v>1.81</v>
      </c>
      <c r="I165" s="322">
        <v>1.81</v>
      </c>
      <c r="J165" s="26">
        <v>0.02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1.0309999999999999</v>
      </c>
      <c r="E166" s="93">
        <v>5.7000000000000002E-2</v>
      </c>
      <c r="F166" s="94">
        <v>1.7000000000000001E-2</v>
      </c>
      <c r="G166" s="319">
        <v>275.58999999999997</v>
      </c>
      <c r="H166" s="319">
        <v>1.81</v>
      </c>
      <c r="I166" s="322">
        <v>1.81</v>
      </c>
      <c r="J166" s="26">
        <v>0.02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1.0309999999999999</v>
      </c>
      <c r="E167" s="93">
        <v>5.7000000000000002E-2</v>
      </c>
      <c r="F167" s="94">
        <v>1.7000000000000001E-2</v>
      </c>
      <c r="G167" s="319">
        <v>497.46</v>
      </c>
      <c r="H167" s="319">
        <v>1.81</v>
      </c>
      <c r="I167" s="322">
        <v>1.81</v>
      </c>
      <c r="J167" s="26">
        <v>0.02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1.0309999999999999</v>
      </c>
      <c r="E168" s="93">
        <v>5.7000000000000002E-2</v>
      </c>
      <c r="F168" s="94">
        <v>1.7000000000000001E-2</v>
      </c>
      <c r="G168" s="319">
        <v>1137.47</v>
      </c>
      <c r="H168" s="319">
        <v>1.81</v>
      </c>
      <c r="I168" s="322">
        <v>1.81</v>
      </c>
      <c r="J168" s="26">
        <v>0.02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6.2629999999999999</v>
      </c>
      <c r="E169" s="96">
        <v>0.309</v>
      </c>
      <c r="F169" s="94">
        <v>0.18</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-1.8779999999999999</v>
      </c>
      <c r="E170" s="93">
        <v>-0.155</v>
      </c>
      <c r="F170" s="94">
        <v>-0.03</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-1.9450000000000001</v>
      </c>
      <c r="E171" s="93">
        <v>-0.154</v>
      </c>
      <c r="F171" s="94">
        <v>-3.1E-2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-1.8779999999999999</v>
      </c>
      <c r="E172" s="93">
        <v>-0.155</v>
      </c>
      <c r="F172" s="94">
        <v>-0.03</v>
      </c>
      <c r="G172" s="319" t="s">
        <v>840</v>
      </c>
      <c r="H172" s="320" t="s">
        <v>840</v>
      </c>
      <c r="I172" s="321" t="s">
        <v>840</v>
      </c>
      <c r="J172" s="26">
        <v>5.1999999999999998E-2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-1.9450000000000001</v>
      </c>
      <c r="E173" s="93">
        <v>-0.154</v>
      </c>
      <c r="F173" s="94">
        <v>-3.1E-2</v>
      </c>
      <c r="G173" s="319" t="s">
        <v>840</v>
      </c>
      <c r="H173" s="320" t="s">
        <v>840</v>
      </c>
      <c r="I173" s="321" t="s">
        <v>840</v>
      </c>
      <c r="J173" s="26">
        <v>4.5999999999999999E-2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-2.577</v>
      </c>
      <c r="E174" s="93">
        <v>-0.159</v>
      </c>
      <c r="F174" s="94">
        <v>-4.2000000000000003E-2</v>
      </c>
      <c r="G174" s="319">
        <v>30.5</v>
      </c>
      <c r="H174" s="320" t="s">
        <v>840</v>
      </c>
      <c r="I174" s="321" t="s">
        <v>840</v>
      </c>
      <c r="J174" s="26">
        <v>8.5999999999999993E-2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0.51800000000000002</v>
      </c>
      <c r="E175" s="93">
        <v>4.2999999999999997E-2</v>
      </c>
      <c r="F175" s="94">
        <v>8.0000000000000002E-3</v>
      </c>
      <c r="G175" s="319">
        <v>0.34</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2075</v>
      </c>
      <c r="D176" s="92">
        <v>0.51800000000000002</v>
      </c>
      <c r="E176" s="93">
        <v>4.2999999999999997E-2</v>
      </c>
      <c r="F176" s="94">
        <v>8.0000000000000002E-3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0.56699999999999995</v>
      </c>
      <c r="E177" s="93">
        <v>4.7E-2</v>
      </c>
      <c r="F177" s="94">
        <v>8.9999999999999993E-3</v>
      </c>
      <c r="G177" s="319">
        <v>0.43</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0.56699999999999995</v>
      </c>
      <c r="E178" s="93">
        <v>4.7E-2</v>
      </c>
      <c r="F178" s="94">
        <v>8.9999999999999993E-3</v>
      </c>
      <c r="G178" s="319">
        <v>0.51</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0.56699999999999995</v>
      </c>
      <c r="E179" s="93">
        <v>4.7E-2</v>
      </c>
      <c r="F179" s="94">
        <v>8.9999999999999993E-3</v>
      </c>
      <c r="G179" s="319">
        <v>0.65</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0.56699999999999995</v>
      </c>
      <c r="E180" s="93">
        <v>4.7E-2</v>
      </c>
      <c r="F180" s="94">
        <v>8.9999999999999993E-3</v>
      </c>
      <c r="G180" s="319">
        <v>0.89</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0.56699999999999995</v>
      </c>
      <c r="E181" s="93">
        <v>4.7E-2</v>
      </c>
      <c r="F181" s="94">
        <v>8.9999999999999993E-3</v>
      </c>
      <c r="G181" s="319">
        <v>1.62</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2076</v>
      </c>
      <c r="D182" s="92">
        <v>0.56699999999999995</v>
      </c>
      <c r="E182" s="93">
        <v>4.7E-2</v>
      </c>
      <c r="F182" s="94">
        <v>8.9999999999999993E-3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0.36</v>
      </c>
      <c r="E183" s="93">
        <v>2.8000000000000001E-2</v>
      </c>
      <c r="F183" s="94">
        <v>6.0000000000000001E-3</v>
      </c>
      <c r="G183" s="319">
        <v>0.5</v>
      </c>
      <c r="H183" s="319">
        <v>0.28999999999999998</v>
      </c>
      <c r="I183" s="322">
        <v>0.28999999999999998</v>
      </c>
      <c r="J183" s="26">
        <v>8.0000000000000002E-3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0.36</v>
      </c>
      <c r="E184" s="93">
        <v>2.8000000000000001E-2</v>
      </c>
      <c r="F184" s="94">
        <v>6.0000000000000001E-3</v>
      </c>
      <c r="G184" s="319">
        <v>2.64</v>
      </c>
      <c r="H184" s="319">
        <v>0.28999999999999998</v>
      </c>
      <c r="I184" s="322">
        <v>0.28999999999999998</v>
      </c>
      <c r="J184" s="26">
        <v>8.0000000000000002E-3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0.36</v>
      </c>
      <c r="E185" s="93">
        <v>2.8000000000000001E-2</v>
      </c>
      <c r="F185" s="94">
        <v>6.0000000000000001E-3</v>
      </c>
      <c r="G185" s="319">
        <v>4.63</v>
      </c>
      <c r="H185" s="319">
        <v>0.28999999999999998</v>
      </c>
      <c r="I185" s="322">
        <v>0.28999999999999998</v>
      </c>
      <c r="J185" s="26">
        <v>8.0000000000000002E-3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0.36</v>
      </c>
      <c r="E186" s="93">
        <v>2.8000000000000001E-2</v>
      </c>
      <c r="F186" s="94">
        <v>6.0000000000000001E-3</v>
      </c>
      <c r="G186" s="319">
        <v>7.5</v>
      </c>
      <c r="H186" s="319">
        <v>0.28999999999999998</v>
      </c>
      <c r="I186" s="322">
        <v>0.28999999999999998</v>
      </c>
      <c r="J186" s="26">
        <v>8.0000000000000002E-3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0.36</v>
      </c>
      <c r="E187" s="93">
        <v>2.8000000000000001E-2</v>
      </c>
      <c r="F187" s="94">
        <v>6.0000000000000001E-3</v>
      </c>
      <c r="G187" s="319">
        <v>16.79</v>
      </c>
      <c r="H187" s="319">
        <v>0.28999999999999998</v>
      </c>
      <c r="I187" s="322">
        <v>0.28999999999999998</v>
      </c>
      <c r="J187" s="26">
        <v>8.0000000000000002E-3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0.36299999999999999</v>
      </c>
      <c r="E188" s="93">
        <v>2.1999999999999999E-2</v>
      </c>
      <c r="F188" s="94">
        <v>6.0000000000000001E-3</v>
      </c>
      <c r="G188" s="319">
        <v>0.59</v>
      </c>
      <c r="H188" s="319">
        <v>0.43</v>
      </c>
      <c r="I188" s="322">
        <v>0.43</v>
      </c>
      <c r="J188" s="26">
        <v>8.0000000000000002E-3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0.36299999999999999</v>
      </c>
      <c r="E189" s="93">
        <v>2.1999999999999999E-2</v>
      </c>
      <c r="F189" s="94">
        <v>6.0000000000000001E-3</v>
      </c>
      <c r="G189" s="319">
        <v>3.86</v>
      </c>
      <c r="H189" s="319">
        <v>0.43</v>
      </c>
      <c r="I189" s="322">
        <v>0.43</v>
      </c>
      <c r="J189" s="26">
        <v>8.0000000000000002E-3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0.36299999999999999</v>
      </c>
      <c r="E190" s="93">
        <v>2.1999999999999999E-2</v>
      </c>
      <c r="F190" s="94">
        <v>6.0000000000000001E-3</v>
      </c>
      <c r="G190" s="319">
        <v>6.87</v>
      </c>
      <c r="H190" s="319">
        <v>0.43</v>
      </c>
      <c r="I190" s="322">
        <v>0.43</v>
      </c>
      <c r="J190" s="26">
        <v>8.0000000000000002E-3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0.36299999999999999</v>
      </c>
      <c r="E191" s="93">
        <v>2.1999999999999999E-2</v>
      </c>
      <c r="F191" s="94">
        <v>6.0000000000000001E-3</v>
      </c>
      <c r="G191" s="319">
        <v>11.25</v>
      </c>
      <c r="H191" s="319">
        <v>0.43</v>
      </c>
      <c r="I191" s="322">
        <v>0.43</v>
      </c>
      <c r="J191" s="26">
        <v>8.0000000000000002E-3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0.36299999999999999</v>
      </c>
      <c r="E192" s="93">
        <v>2.1999999999999999E-2</v>
      </c>
      <c r="F192" s="94">
        <v>6.0000000000000001E-3</v>
      </c>
      <c r="G192" s="319">
        <v>25.38</v>
      </c>
      <c r="H192" s="319">
        <v>0.43</v>
      </c>
      <c r="I192" s="322">
        <v>0.43</v>
      </c>
      <c r="J192" s="26">
        <v>8.0000000000000002E-3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0.30099999999999999</v>
      </c>
      <c r="E193" s="93">
        <v>1.7000000000000001E-2</v>
      </c>
      <c r="F193" s="94">
        <v>5.0000000000000001E-3</v>
      </c>
      <c r="G193" s="319">
        <v>6.51</v>
      </c>
      <c r="H193" s="319">
        <v>0.53</v>
      </c>
      <c r="I193" s="322">
        <v>0.53</v>
      </c>
      <c r="J193" s="26">
        <v>6.0000000000000001E-3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0.30099999999999999</v>
      </c>
      <c r="E194" s="93">
        <v>1.7000000000000001E-2</v>
      </c>
      <c r="F194" s="94">
        <v>5.0000000000000001E-3</v>
      </c>
      <c r="G194" s="319">
        <v>34.979999999999997</v>
      </c>
      <c r="H194" s="319">
        <v>0.53</v>
      </c>
      <c r="I194" s="322">
        <v>0.53</v>
      </c>
      <c r="J194" s="26">
        <v>6.0000000000000001E-3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0.30099999999999999</v>
      </c>
      <c r="E195" s="93">
        <v>1.7000000000000001E-2</v>
      </c>
      <c r="F195" s="94">
        <v>5.0000000000000001E-3</v>
      </c>
      <c r="G195" s="319">
        <v>80.41</v>
      </c>
      <c r="H195" s="319">
        <v>0.53</v>
      </c>
      <c r="I195" s="322">
        <v>0.53</v>
      </c>
      <c r="J195" s="26">
        <v>6.0000000000000001E-3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0.30099999999999999</v>
      </c>
      <c r="E196" s="93">
        <v>1.7000000000000001E-2</v>
      </c>
      <c r="F196" s="94">
        <v>5.0000000000000001E-3</v>
      </c>
      <c r="G196" s="319">
        <v>145.13999999999999</v>
      </c>
      <c r="H196" s="319">
        <v>0.53</v>
      </c>
      <c r="I196" s="322">
        <v>0.53</v>
      </c>
      <c r="J196" s="26">
        <v>6.0000000000000001E-3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0.30099999999999999</v>
      </c>
      <c r="E197" s="93">
        <v>1.7000000000000001E-2</v>
      </c>
      <c r="F197" s="94">
        <v>5.0000000000000001E-3</v>
      </c>
      <c r="G197" s="319">
        <v>331.87</v>
      </c>
      <c r="H197" s="319">
        <v>0.53</v>
      </c>
      <c r="I197" s="322">
        <v>0.53</v>
      </c>
      <c r="J197" s="26">
        <v>6.0000000000000001E-3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1.827</v>
      </c>
      <c r="E198" s="96">
        <v>0.09</v>
      </c>
      <c r="F198" s="94">
        <v>5.2999999999999999E-2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-0.54800000000000004</v>
      </c>
      <c r="E199" s="93">
        <v>-4.4999999999999998E-2</v>
      </c>
      <c r="F199" s="94">
        <v>-8.9999999999999993E-3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-0.56699999999999995</v>
      </c>
      <c r="E200" s="93">
        <v>-4.4999999999999998E-2</v>
      </c>
      <c r="F200" s="94">
        <v>-8.9999999999999993E-3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-0.54800000000000004</v>
      </c>
      <c r="E201" s="93">
        <v>-4.4999999999999998E-2</v>
      </c>
      <c r="F201" s="94">
        <v>-8.9999999999999993E-3</v>
      </c>
      <c r="G201" s="319" t="s">
        <v>840</v>
      </c>
      <c r="H201" s="320" t="s">
        <v>840</v>
      </c>
      <c r="I201" s="321" t="s">
        <v>840</v>
      </c>
      <c r="J201" s="26">
        <v>1.4999999999999999E-2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-0.56699999999999995</v>
      </c>
      <c r="E202" s="93">
        <v>-4.4999999999999998E-2</v>
      </c>
      <c r="F202" s="94">
        <v>-8.9999999999999993E-3</v>
      </c>
      <c r="G202" s="319" t="s">
        <v>840</v>
      </c>
      <c r="H202" s="320" t="s">
        <v>840</v>
      </c>
      <c r="I202" s="321" t="s">
        <v>840</v>
      </c>
      <c r="J202" s="26">
        <v>1.2999999999999999E-2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-0.752</v>
      </c>
      <c r="E203" s="93">
        <v>-4.5999999999999999E-2</v>
      </c>
      <c r="F203" s="94">
        <v>-1.2E-2</v>
      </c>
      <c r="G203" s="319">
        <v>8.9</v>
      </c>
      <c r="H203" s="320" t="s">
        <v>840</v>
      </c>
      <c r="I203" s="321" t="s">
        <v>840</v>
      </c>
      <c r="J203" s="26">
        <v>2.5000000000000001E-2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11:G11"/>
    <mergeCell ref="H11:J11"/>
    <mergeCell ref="F6:G6"/>
    <mergeCell ref="F7:G7"/>
    <mergeCell ref="B8:D8"/>
    <mergeCell ref="F8:G8"/>
    <mergeCell ref="F9:G9"/>
    <mergeCell ref="H9:J9"/>
    <mergeCell ref="F5:G5"/>
    <mergeCell ref="A2:J2"/>
    <mergeCell ref="A4:D4"/>
    <mergeCell ref="F4:J4"/>
    <mergeCell ref="B10:D10"/>
    <mergeCell ref="F10:G10"/>
  </mergeCells>
  <conditionalFormatting sqref="K14:Q203">
    <cfRule type="cellIs" dxfId="42" priority="2" operator="equal">
      <formula>0</formula>
    </cfRule>
    <cfRule type="cellIs" dxfId="41" priority="3" operator="lessThan">
      <formula>0</formula>
    </cfRule>
    <cfRule type="cellIs" dxfId="40" priority="4" operator="greaterThan">
      <formula>0</formula>
    </cfRule>
  </conditionalFormatting>
  <conditionalFormatting sqref="K14:R203">
    <cfRule type="expression" dxfId="39" priority="1">
      <formula>$K14&lt;&gt;""</formula>
    </cfRule>
  </conditionalFormatting>
  <hyperlinks>
    <hyperlink ref="A1" location="Overview!A1" display="Back to Overview" xr:uid="{9044EB2C-275A-4775-98EF-4C269A177385}"/>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68" t="str">
        <f>Overview!B4&amp;" - Effective from "&amp;TEXT(Overview!$D$4,"d mmmm yyyy")&amp;" - Final LDNO tariffs in WPD South West Area (GSP Group_L)"</f>
        <v>Leep Electricity Networks Limited - Effective from 1 April 2026 - Final LDNO tariffs in WPD South West Area (GSP Group_L)</v>
      </c>
      <c r="B2" s="468"/>
      <c r="C2" s="468"/>
      <c r="D2" s="468"/>
      <c r="E2" s="468"/>
      <c r="F2" s="468"/>
      <c r="G2" s="468"/>
      <c r="H2" s="468"/>
      <c r="I2" s="468"/>
      <c r="J2" s="468"/>
    </row>
    <row r="3" spans="1:17" ht="8.25" customHeight="1" x14ac:dyDescent="0.2">
      <c r="A3" s="47"/>
      <c r="B3" s="47"/>
      <c r="C3" s="47"/>
      <c r="D3" s="47"/>
      <c r="E3" s="47"/>
      <c r="F3" s="47"/>
      <c r="G3" s="47"/>
      <c r="H3" s="47"/>
      <c r="I3" s="47"/>
      <c r="J3" s="47"/>
      <c r="K3" s="3"/>
    </row>
    <row r="4" spans="1:17" ht="18" customHeight="1" x14ac:dyDescent="0.2">
      <c r="A4" s="371" t="s">
        <v>308</v>
      </c>
      <c r="B4" s="371"/>
      <c r="C4" s="371"/>
      <c r="D4" s="371"/>
      <c r="E4" s="51"/>
      <c r="F4" s="371" t="s">
        <v>307</v>
      </c>
      <c r="G4" s="371"/>
      <c r="H4" s="371"/>
      <c r="I4" s="371"/>
      <c r="J4" s="371"/>
      <c r="K4" s="3"/>
      <c r="L4" s="3"/>
    </row>
    <row r="5" spans="1:17" ht="32.25" customHeight="1" x14ac:dyDescent="0.2">
      <c r="A5" s="40" t="s">
        <v>13</v>
      </c>
      <c r="B5" s="258" t="s">
        <v>299</v>
      </c>
      <c r="C5" s="271" t="s">
        <v>300</v>
      </c>
      <c r="D5" s="42" t="s">
        <v>301</v>
      </c>
      <c r="E5" s="46"/>
      <c r="F5" s="368"/>
      <c r="G5" s="369"/>
      <c r="H5" s="44" t="s">
        <v>305</v>
      </c>
      <c r="I5" s="45" t="s">
        <v>306</v>
      </c>
      <c r="J5" s="42" t="s">
        <v>301</v>
      </c>
      <c r="K5" s="46"/>
      <c r="L5" s="3"/>
      <c r="M5" s="3"/>
    </row>
    <row r="6" spans="1:17" ht="51" customHeight="1" x14ac:dyDescent="0.2">
      <c r="A6" s="269" t="str">
        <f>'Annex 1 LV and HV charges_L'!A6</f>
        <v>Time periods</v>
      </c>
      <c r="B6" s="107" t="str">
        <f>'Annex 1 LV and HV charges_L'!B6</f>
        <v>Red Time Band</v>
      </c>
      <c r="C6" s="264" t="str">
        <f>'Annex 1 LV and HV charges_L'!C6</f>
        <v>Amber Time Band</v>
      </c>
      <c r="D6" s="108" t="str">
        <f>'Annex 1 LV and HV charges_L'!E6</f>
        <v>Green Time Band</v>
      </c>
      <c r="E6" s="46"/>
      <c r="F6" s="420" t="str">
        <f>'Annex 1 LV and HV charges_L'!G6</f>
        <v/>
      </c>
      <c r="G6" s="420">
        <f>'Annex 1 LV and HV charges_L'!H6</f>
        <v>0</v>
      </c>
      <c r="H6" s="107" t="str">
        <f>'Annex 1 LV and HV charges_L'!I6</f>
        <v>Black Time Band</v>
      </c>
      <c r="I6" s="109" t="str">
        <f>'Annex 1 LV and HV charges_L'!J6</f>
        <v>Yellow Time Band</v>
      </c>
      <c r="J6" s="109" t="str">
        <f>'Annex 1 LV and HV charges_L'!K6</f>
        <v>Green Time Band</v>
      </c>
      <c r="K6" s="46"/>
      <c r="L6" s="3"/>
      <c r="M6" s="3"/>
    </row>
    <row r="7" spans="1:17" ht="51" customHeight="1" x14ac:dyDescent="0.2">
      <c r="A7" s="269" t="str">
        <f>'Annex 1 LV and HV charges_L'!A7</f>
        <v>Monday to Friday 
(Including Bank Holidays)
All Year</v>
      </c>
      <c r="B7" s="110" t="str">
        <f>'Annex 1 LV and HV charges_L'!B7</f>
        <v>17:00 to 19:00</v>
      </c>
      <c r="C7" s="264" t="str">
        <f>'Annex 1 LV and HV charges_L'!C7</f>
        <v>07:30 to 17:00
19:00 to 21:30</v>
      </c>
      <c r="D7" s="109" t="str">
        <f>'Annex 1 LV and HV charges_L'!E7</f>
        <v>00:00 to 07:30
21:30 to 24:00</v>
      </c>
      <c r="E7" s="46"/>
      <c r="F7" s="420" t="str">
        <f>'Annex 1 LV and HV charges_L'!G7</f>
        <v>Monday to Friday 
(Including Bank Holidays)
Nov to Feb Inclusive (excluding 22nd Dec to 4th Jan inclusive)</v>
      </c>
      <c r="G7" s="420">
        <f>'Annex 1 LV and HV charges_L'!H7</f>
        <v>0</v>
      </c>
      <c r="H7" s="110" t="str">
        <f>'Annex 1 LV and HV charges_L'!I7</f>
        <v>17:00 to 19:00</v>
      </c>
      <c r="I7" s="109" t="str">
        <f>'Annex 1 LV and HV charges_L'!J7</f>
        <v>07:30 to 17:00
19:00 to 21:30</v>
      </c>
      <c r="J7" s="109" t="str">
        <f>'Annex 1 LV and HV charges_L'!K7</f>
        <v>00:00 to 07:30
21:30 to 24:00</v>
      </c>
      <c r="K7" s="46"/>
      <c r="L7" s="3"/>
      <c r="M7" s="3"/>
    </row>
    <row r="8" spans="1:17" ht="51" customHeight="1" x14ac:dyDescent="0.2">
      <c r="A8" s="255" t="str">
        <f>'Annex 1 LV and HV charges_L'!A8</f>
        <v>Saturday and Sunday
All Year</v>
      </c>
      <c r="B8" s="378" t="str">
        <f>'Annex 1 LV and HV charges_L'!B8</f>
        <v/>
      </c>
      <c r="C8" s="378">
        <f>'Annex 1 LV and HV charges_L'!C8</f>
        <v>0</v>
      </c>
      <c r="D8" s="378">
        <f>'Annex 1 LV and HV charges_L'!D8</f>
        <v>0</v>
      </c>
      <c r="E8" s="46"/>
      <c r="F8" s="420" t="str">
        <f>'Annex 1 LV and HV charges_L'!G8</f>
        <v>Monday to Friday 
(Including Bank Holidays)
Mar to Oct Inclusive  (plus 22nd Dec to 4th Jan inclusive)</v>
      </c>
      <c r="G8" s="420">
        <f>'Annex 1 LV and HV charges_L'!H8</f>
        <v>0</v>
      </c>
      <c r="H8" s="110" t="str">
        <f>'Annex 1 LV and HV charges_L'!I8</f>
        <v/>
      </c>
      <c r="I8" s="109" t="str">
        <f>'Annex 1 LV and HV charges_L'!J8</f>
        <v>07:30 to 21:30</v>
      </c>
      <c r="J8" s="109" t="str">
        <f>'Annex 1 LV and HV charges_L'!K8</f>
        <v>00:00 to 07:30
21:30 to 24:00</v>
      </c>
      <c r="K8" s="46"/>
      <c r="L8" s="3"/>
      <c r="M8" s="3"/>
    </row>
    <row r="9" spans="1:17" s="41" customFormat="1" ht="29.25" customHeight="1" x14ac:dyDescent="0.2">
      <c r="A9" s="186"/>
      <c r="B9" s="257"/>
      <c r="C9" s="187"/>
      <c r="D9" s="257"/>
      <c r="E9" s="48"/>
      <c r="F9" s="407" t="str">
        <f>'Annex 1 LV and HV charges_L'!G9</f>
        <v>Saturday and Sunday
All year</v>
      </c>
      <c r="G9" s="407">
        <f>'Annex 1 LV and HV charges_L'!H9</f>
        <v>0</v>
      </c>
      <c r="H9" s="389" t="str">
        <f>'Annex 1 LV and HV charges_L'!I9</f>
        <v/>
      </c>
      <c r="I9" s="390">
        <f>'Annex 1 LV and HV charges_L'!J9</f>
        <v>0</v>
      </c>
      <c r="J9" s="391">
        <f>'Annex 1 LV and HV charges_L'!K9</f>
        <v>0</v>
      </c>
      <c r="K9" s="46"/>
      <c r="L9" s="31"/>
      <c r="M9" s="31"/>
    </row>
    <row r="10" spans="1:17" s="41" customFormat="1" ht="18" x14ac:dyDescent="0.2">
      <c r="A10" s="120"/>
      <c r="B10" s="409"/>
      <c r="C10" s="409"/>
      <c r="D10" s="409"/>
      <c r="E10" s="188"/>
      <c r="F10" s="483"/>
      <c r="G10" s="484"/>
      <c r="H10" s="189"/>
      <c r="I10" s="257"/>
      <c r="J10" s="257"/>
      <c r="K10" s="46"/>
      <c r="L10" s="31"/>
      <c r="M10" s="31"/>
    </row>
    <row r="11" spans="1:17" s="41" customFormat="1" ht="18" x14ac:dyDescent="0.2">
      <c r="A11" s="46"/>
      <c r="B11" s="46"/>
      <c r="C11" s="46"/>
      <c r="D11" s="46"/>
      <c r="E11" s="46"/>
      <c r="F11" s="485"/>
      <c r="G11" s="486"/>
      <c r="H11" s="487"/>
      <c r="I11" s="406"/>
      <c r="J11" s="406"/>
      <c r="K11" s="31"/>
      <c r="L11" s="31"/>
    </row>
    <row r="12" spans="1:17" s="41" customFormat="1" ht="18" x14ac:dyDescent="0.2">
      <c r="A12" s="46"/>
      <c r="B12" s="46"/>
      <c r="C12" s="46"/>
      <c r="D12" s="46"/>
      <c r="E12" s="46"/>
      <c r="F12" s="49"/>
      <c r="G12" s="49"/>
      <c r="H12" s="50"/>
      <c r="I12" s="50"/>
      <c r="J12" s="50"/>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t="s">
        <v>2143</v>
      </c>
      <c r="D14" s="92">
        <v>14.031000000000001</v>
      </c>
      <c r="E14" s="93">
        <v>1.119</v>
      </c>
      <c r="F14" s="94">
        <v>0.122</v>
      </c>
      <c r="G14" s="319">
        <v>7.75</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t="s">
        <v>2075</v>
      </c>
      <c r="D15" s="92">
        <v>14.031000000000001</v>
      </c>
      <c r="E15" s="93">
        <v>1.119</v>
      </c>
      <c r="F15" s="94">
        <v>0.122</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t="s">
        <v>2144</v>
      </c>
      <c r="D16" s="92">
        <v>14.926</v>
      </c>
      <c r="E16" s="93">
        <v>1.19</v>
      </c>
      <c r="F16" s="94">
        <v>0.13</v>
      </c>
      <c r="G16" s="319">
        <v>10.73</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t="s">
        <v>2144</v>
      </c>
      <c r="D17" s="92">
        <v>14.926</v>
      </c>
      <c r="E17" s="93">
        <v>1.19</v>
      </c>
      <c r="F17" s="94">
        <v>0.13</v>
      </c>
      <c r="G17" s="319">
        <v>11.11</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t="s">
        <v>2144</v>
      </c>
      <c r="D18" s="92">
        <v>14.926</v>
      </c>
      <c r="E18" s="93">
        <v>1.19</v>
      </c>
      <c r="F18" s="94">
        <v>0.13</v>
      </c>
      <c r="G18" s="319">
        <v>12.28</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t="s">
        <v>2144</v>
      </c>
      <c r="D19" s="92">
        <v>14.926</v>
      </c>
      <c r="E19" s="93">
        <v>1.19</v>
      </c>
      <c r="F19" s="94">
        <v>0.13</v>
      </c>
      <c r="G19" s="319">
        <v>13.85</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t="s">
        <v>2144</v>
      </c>
      <c r="D20" s="92">
        <v>14.926</v>
      </c>
      <c r="E20" s="93">
        <v>1.19</v>
      </c>
      <c r="F20" s="94">
        <v>0.13</v>
      </c>
      <c r="G20" s="319">
        <v>18.309999999999999</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t="s">
        <v>2076</v>
      </c>
      <c r="D21" s="92">
        <v>14.926</v>
      </c>
      <c r="E21" s="93">
        <v>1.19</v>
      </c>
      <c r="F21" s="94">
        <v>0.13</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9.1470000000000002</v>
      </c>
      <c r="E22" s="93">
        <v>0.65700000000000003</v>
      </c>
      <c r="F22" s="94">
        <v>7.0000000000000007E-2</v>
      </c>
      <c r="G22" s="319">
        <v>10.68</v>
      </c>
      <c r="H22" s="319">
        <v>7.51</v>
      </c>
      <c r="I22" s="322">
        <v>7.51</v>
      </c>
      <c r="J22" s="26">
        <v>0.13300000000000001</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9.1470000000000002</v>
      </c>
      <c r="E23" s="93">
        <v>0.65700000000000003</v>
      </c>
      <c r="F23" s="94">
        <v>7.0000000000000007E-2</v>
      </c>
      <c r="G23" s="319">
        <v>25.6</v>
      </c>
      <c r="H23" s="319">
        <v>7.51</v>
      </c>
      <c r="I23" s="322">
        <v>7.51</v>
      </c>
      <c r="J23" s="26">
        <v>0.13300000000000001</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9.1470000000000002</v>
      </c>
      <c r="E24" s="93">
        <v>0.65700000000000003</v>
      </c>
      <c r="F24" s="94">
        <v>7.0000000000000007E-2</v>
      </c>
      <c r="G24" s="319">
        <v>37.49</v>
      </c>
      <c r="H24" s="319">
        <v>7.51</v>
      </c>
      <c r="I24" s="322">
        <v>7.51</v>
      </c>
      <c r="J24" s="26">
        <v>0.13300000000000001</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9.1470000000000002</v>
      </c>
      <c r="E25" s="93">
        <v>0.65700000000000003</v>
      </c>
      <c r="F25" s="94">
        <v>7.0000000000000007E-2</v>
      </c>
      <c r="G25" s="319">
        <v>53.55</v>
      </c>
      <c r="H25" s="319">
        <v>7.51</v>
      </c>
      <c r="I25" s="322">
        <v>7.51</v>
      </c>
      <c r="J25" s="26">
        <v>0.13300000000000001</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9.1470000000000002</v>
      </c>
      <c r="E26" s="93">
        <v>0.65700000000000003</v>
      </c>
      <c r="F26" s="94">
        <v>7.0000000000000007E-2</v>
      </c>
      <c r="G26" s="319">
        <v>105.63</v>
      </c>
      <c r="H26" s="319">
        <v>7.51</v>
      </c>
      <c r="I26" s="322">
        <v>7.51</v>
      </c>
      <c r="J26" s="26">
        <v>0.13300000000000001</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t="s">
        <v>847</v>
      </c>
      <c r="D27" s="95">
        <v>42.087000000000003</v>
      </c>
      <c r="E27" s="96">
        <v>2.181</v>
      </c>
      <c r="F27" s="94">
        <v>0.94599999999999995</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-14.503</v>
      </c>
      <c r="E28" s="93">
        <v>-1.1559999999999999</v>
      </c>
      <c r="F28" s="94">
        <v>-0.126</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-14.503</v>
      </c>
      <c r="E29" s="93">
        <v>-1.1559999999999999</v>
      </c>
      <c r="F29" s="94">
        <v>-0.126</v>
      </c>
      <c r="G29" s="319" t="s">
        <v>840</v>
      </c>
      <c r="H29" s="320" t="s">
        <v>840</v>
      </c>
      <c r="I29" s="321" t="s">
        <v>840</v>
      </c>
      <c r="J29" s="26">
        <v>0.26400000000000001</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t="s">
        <v>2143</v>
      </c>
      <c r="D30" s="92">
        <v>9.3689999999999998</v>
      </c>
      <c r="E30" s="93">
        <v>0.747</v>
      </c>
      <c r="F30" s="94">
        <v>8.2000000000000003E-2</v>
      </c>
      <c r="G30" s="319">
        <v>5.18</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t="s">
        <v>2075</v>
      </c>
      <c r="D31" s="92">
        <v>9.3689999999999998</v>
      </c>
      <c r="E31" s="93">
        <v>0.747</v>
      </c>
      <c r="F31" s="94">
        <v>8.2000000000000003E-2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t="s">
        <v>2144</v>
      </c>
      <c r="D32" s="92">
        <v>9.9659999999999993</v>
      </c>
      <c r="E32" s="93">
        <v>0.79500000000000004</v>
      </c>
      <c r="F32" s="94">
        <v>8.6999999999999994E-2</v>
      </c>
      <c r="G32" s="319">
        <v>7.17</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t="s">
        <v>2144</v>
      </c>
      <c r="D33" s="92">
        <v>9.9659999999999993</v>
      </c>
      <c r="E33" s="93">
        <v>0.79500000000000004</v>
      </c>
      <c r="F33" s="94">
        <v>8.6999999999999994E-2</v>
      </c>
      <c r="G33" s="319">
        <v>7.42</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t="s">
        <v>2144</v>
      </c>
      <c r="D34" s="92">
        <v>9.9659999999999993</v>
      </c>
      <c r="E34" s="93">
        <v>0.79500000000000004</v>
      </c>
      <c r="F34" s="94">
        <v>8.6999999999999994E-2</v>
      </c>
      <c r="G34" s="319">
        <v>8.1999999999999993</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t="s">
        <v>2144</v>
      </c>
      <c r="D35" s="92">
        <v>9.9659999999999993</v>
      </c>
      <c r="E35" s="93">
        <v>0.79500000000000004</v>
      </c>
      <c r="F35" s="94">
        <v>8.6999999999999994E-2</v>
      </c>
      <c r="G35" s="319">
        <v>9.25</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t="s">
        <v>2144</v>
      </c>
      <c r="D36" s="92">
        <v>9.9659999999999993</v>
      </c>
      <c r="E36" s="93">
        <v>0.79500000000000004</v>
      </c>
      <c r="F36" s="94">
        <v>8.6999999999999994E-2</v>
      </c>
      <c r="G36" s="319">
        <v>12.23</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t="s">
        <v>2076</v>
      </c>
      <c r="D37" s="92">
        <v>9.9659999999999993</v>
      </c>
      <c r="E37" s="93">
        <v>0.79500000000000004</v>
      </c>
      <c r="F37" s="94">
        <v>8.6999999999999994E-2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6.1070000000000002</v>
      </c>
      <c r="E38" s="93">
        <v>0.438</v>
      </c>
      <c r="F38" s="94">
        <v>4.7E-2</v>
      </c>
      <c r="G38" s="319">
        <v>7.13</v>
      </c>
      <c r="H38" s="319">
        <v>5.01</v>
      </c>
      <c r="I38" s="322">
        <v>5.01</v>
      </c>
      <c r="J38" s="26">
        <v>8.8999999999999996E-2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6.1070000000000002</v>
      </c>
      <c r="E39" s="93">
        <v>0.438</v>
      </c>
      <c r="F39" s="94">
        <v>4.7E-2</v>
      </c>
      <c r="G39" s="319">
        <v>17.09</v>
      </c>
      <c r="H39" s="319">
        <v>5.01</v>
      </c>
      <c r="I39" s="322">
        <v>5.01</v>
      </c>
      <c r="J39" s="26">
        <v>8.8999999999999996E-2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6.1070000000000002</v>
      </c>
      <c r="E40" s="93">
        <v>0.438</v>
      </c>
      <c r="F40" s="94">
        <v>4.7E-2</v>
      </c>
      <c r="G40" s="319">
        <v>25.03</v>
      </c>
      <c r="H40" s="319">
        <v>5.01</v>
      </c>
      <c r="I40" s="322">
        <v>5.01</v>
      </c>
      <c r="J40" s="26">
        <v>8.8999999999999996E-2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6.1070000000000002</v>
      </c>
      <c r="E41" s="93">
        <v>0.438</v>
      </c>
      <c r="F41" s="94">
        <v>4.7E-2</v>
      </c>
      <c r="G41" s="319">
        <v>35.75</v>
      </c>
      <c r="H41" s="319">
        <v>5.01</v>
      </c>
      <c r="I41" s="322">
        <v>5.01</v>
      </c>
      <c r="J41" s="26">
        <v>8.8999999999999996E-2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6.1070000000000002</v>
      </c>
      <c r="E42" s="93">
        <v>0.438</v>
      </c>
      <c r="F42" s="94">
        <v>4.7E-2</v>
      </c>
      <c r="G42" s="319">
        <v>70.53</v>
      </c>
      <c r="H42" s="319">
        <v>5.01</v>
      </c>
      <c r="I42" s="322">
        <v>5.01</v>
      </c>
      <c r="J42" s="26">
        <v>8.8999999999999996E-2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6.4580000000000002</v>
      </c>
      <c r="E43" s="93">
        <v>0.34100000000000003</v>
      </c>
      <c r="F43" s="94">
        <v>3.4000000000000002E-2</v>
      </c>
      <c r="G43" s="319">
        <v>9.31</v>
      </c>
      <c r="H43" s="319">
        <v>7.22</v>
      </c>
      <c r="I43" s="322">
        <v>7.22</v>
      </c>
      <c r="J43" s="26">
        <v>8.1000000000000003E-2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6.4580000000000002</v>
      </c>
      <c r="E44" s="93">
        <v>0.34100000000000003</v>
      </c>
      <c r="F44" s="94">
        <v>3.4000000000000002E-2</v>
      </c>
      <c r="G44" s="319">
        <v>25.98</v>
      </c>
      <c r="H44" s="319">
        <v>7.22</v>
      </c>
      <c r="I44" s="322">
        <v>7.22</v>
      </c>
      <c r="J44" s="26">
        <v>8.1000000000000003E-2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6.4580000000000002</v>
      </c>
      <c r="E45" s="93">
        <v>0.34100000000000003</v>
      </c>
      <c r="F45" s="94">
        <v>3.4000000000000002E-2</v>
      </c>
      <c r="G45" s="319">
        <v>39.270000000000003</v>
      </c>
      <c r="H45" s="319">
        <v>7.22</v>
      </c>
      <c r="I45" s="322">
        <v>7.22</v>
      </c>
      <c r="J45" s="26">
        <v>8.1000000000000003E-2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6.4580000000000002</v>
      </c>
      <c r="E46" s="93">
        <v>0.34100000000000003</v>
      </c>
      <c r="F46" s="94">
        <v>3.4000000000000002E-2</v>
      </c>
      <c r="G46" s="319">
        <v>57.21</v>
      </c>
      <c r="H46" s="319">
        <v>7.22</v>
      </c>
      <c r="I46" s="322">
        <v>7.22</v>
      </c>
      <c r="J46" s="26">
        <v>8.1000000000000003E-2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6.4580000000000002</v>
      </c>
      <c r="E47" s="93">
        <v>0.34100000000000003</v>
      </c>
      <c r="F47" s="94">
        <v>3.4000000000000002E-2</v>
      </c>
      <c r="G47" s="319">
        <v>115.41</v>
      </c>
      <c r="H47" s="319">
        <v>7.22</v>
      </c>
      <c r="I47" s="322">
        <v>7.22</v>
      </c>
      <c r="J47" s="26">
        <v>8.1000000000000003E-2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5.9379999999999997</v>
      </c>
      <c r="E48" s="93">
        <v>0.248</v>
      </c>
      <c r="F48" s="94">
        <v>2.3E-2</v>
      </c>
      <c r="G48" s="319">
        <v>102.3</v>
      </c>
      <c r="H48" s="319">
        <v>8.25</v>
      </c>
      <c r="I48" s="322">
        <v>8.25</v>
      </c>
      <c r="J48" s="26">
        <v>6.7000000000000004E-2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5.9379999999999997</v>
      </c>
      <c r="E49" s="93">
        <v>0.248</v>
      </c>
      <c r="F49" s="94">
        <v>2.3E-2</v>
      </c>
      <c r="G49" s="319">
        <v>244.86</v>
      </c>
      <c r="H49" s="319">
        <v>8.25</v>
      </c>
      <c r="I49" s="322">
        <v>8.25</v>
      </c>
      <c r="J49" s="26">
        <v>6.7000000000000004E-2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5.9379999999999997</v>
      </c>
      <c r="E50" s="93">
        <v>0.248</v>
      </c>
      <c r="F50" s="94">
        <v>2.3E-2</v>
      </c>
      <c r="G50" s="319">
        <v>430.59</v>
      </c>
      <c r="H50" s="319">
        <v>8.25</v>
      </c>
      <c r="I50" s="322">
        <v>8.25</v>
      </c>
      <c r="J50" s="26">
        <v>6.7000000000000004E-2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5.9379999999999997</v>
      </c>
      <c r="E51" s="93">
        <v>0.248</v>
      </c>
      <c r="F51" s="94">
        <v>2.3E-2</v>
      </c>
      <c r="G51" s="319">
        <v>833.22</v>
      </c>
      <c r="H51" s="319">
        <v>8.25</v>
      </c>
      <c r="I51" s="322">
        <v>8.25</v>
      </c>
      <c r="J51" s="26">
        <v>6.7000000000000004E-2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5.9379999999999997</v>
      </c>
      <c r="E52" s="93">
        <v>0.248</v>
      </c>
      <c r="F52" s="94">
        <v>2.3E-2</v>
      </c>
      <c r="G52" s="319">
        <v>1564.7</v>
      </c>
      <c r="H52" s="319">
        <v>8.25</v>
      </c>
      <c r="I52" s="322">
        <v>8.25</v>
      </c>
      <c r="J52" s="26">
        <v>6.7000000000000004E-2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t="s">
        <v>847</v>
      </c>
      <c r="D53" s="95">
        <v>28.102</v>
      </c>
      <c r="E53" s="96">
        <v>1.4570000000000001</v>
      </c>
      <c r="F53" s="94">
        <v>0.63200000000000001</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-14.503</v>
      </c>
      <c r="E54" s="93">
        <v>-1.1559999999999999</v>
      </c>
      <c r="F54" s="94">
        <v>-0.126</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-12.444000000000001</v>
      </c>
      <c r="E55" s="93">
        <v>-0.93100000000000005</v>
      </c>
      <c r="F55" s="94">
        <v>-0.10100000000000001</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-14.503</v>
      </c>
      <c r="E56" s="93">
        <v>-1.1559999999999999</v>
      </c>
      <c r="F56" s="94">
        <v>-0.126</v>
      </c>
      <c r="G56" s="319" t="s">
        <v>840</v>
      </c>
      <c r="H56" s="320" t="s">
        <v>840</v>
      </c>
      <c r="I56" s="321" t="s">
        <v>840</v>
      </c>
      <c r="J56" s="26">
        <v>0.26400000000000001</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-12.444000000000001</v>
      </c>
      <c r="E57" s="93">
        <v>-0.93100000000000005</v>
      </c>
      <c r="F57" s="94">
        <v>-0.10100000000000001</v>
      </c>
      <c r="G57" s="319" t="s">
        <v>840</v>
      </c>
      <c r="H57" s="320" t="s">
        <v>840</v>
      </c>
      <c r="I57" s="321" t="s">
        <v>840</v>
      </c>
      <c r="J57" s="26">
        <v>0.189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-7.7859999999999996</v>
      </c>
      <c r="E58" s="93">
        <v>-0.41199999999999998</v>
      </c>
      <c r="F58" s="94">
        <v>-4.1000000000000002E-2</v>
      </c>
      <c r="G58" s="319" t="s">
        <v>840</v>
      </c>
      <c r="H58" s="320" t="s">
        <v>840</v>
      </c>
      <c r="I58" s="321" t="s">
        <v>840</v>
      </c>
      <c r="J58" s="26">
        <v>0.159</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t="s">
        <v>2143</v>
      </c>
      <c r="D59" s="92">
        <v>6.5149999999999997</v>
      </c>
      <c r="E59" s="93">
        <v>0.51900000000000002</v>
      </c>
      <c r="F59" s="94">
        <v>5.7000000000000002E-2</v>
      </c>
      <c r="G59" s="319">
        <v>3.6</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t="s">
        <v>2075</v>
      </c>
      <c r="D60" s="92">
        <v>6.5149999999999997</v>
      </c>
      <c r="E60" s="93">
        <v>0.51900000000000002</v>
      </c>
      <c r="F60" s="94">
        <v>5.7000000000000002E-2</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t="s">
        <v>2144</v>
      </c>
      <c r="D61" s="92">
        <v>6.93</v>
      </c>
      <c r="E61" s="93">
        <v>0.55300000000000005</v>
      </c>
      <c r="F61" s="94">
        <v>0.06</v>
      </c>
      <c r="G61" s="319">
        <v>4.9800000000000004</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t="s">
        <v>2144</v>
      </c>
      <c r="D62" s="92">
        <v>6.93</v>
      </c>
      <c r="E62" s="93">
        <v>0.55300000000000005</v>
      </c>
      <c r="F62" s="94">
        <v>0.06</v>
      </c>
      <c r="G62" s="319">
        <v>5.16</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t="s">
        <v>2144</v>
      </c>
      <c r="D63" s="92">
        <v>6.93</v>
      </c>
      <c r="E63" s="93">
        <v>0.55300000000000005</v>
      </c>
      <c r="F63" s="94">
        <v>0.06</v>
      </c>
      <c r="G63" s="319">
        <v>5.7</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t="s">
        <v>2144</v>
      </c>
      <c r="D64" s="92">
        <v>6.93</v>
      </c>
      <c r="E64" s="93">
        <v>0.55300000000000005</v>
      </c>
      <c r="F64" s="94">
        <v>0.06</v>
      </c>
      <c r="G64" s="319">
        <v>6.43</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t="s">
        <v>2144</v>
      </c>
      <c r="D65" s="92">
        <v>6.93</v>
      </c>
      <c r="E65" s="93">
        <v>0.55300000000000005</v>
      </c>
      <c r="F65" s="94">
        <v>0.06</v>
      </c>
      <c r="G65" s="319">
        <v>8.5</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t="s">
        <v>2076</v>
      </c>
      <c r="D66" s="92">
        <v>6.93</v>
      </c>
      <c r="E66" s="93">
        <v>0.55300000000000005</v>
      </c>
      <c r="F66" s="94">
        <v>0.06</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4.2469999999999999</v>
      </c>
      <c r="E67" s="93">
        <v>0.30499999999999999</v>
      </c>
      <c r="F67" s="94">
        <v>3.3000000000000002E-2</v>
      </c>
      <c r="G67" s="319">
        <v>4.96</v>
      </c>
      <c r="H67" s="319">
        <v>3.49</v>
      </c>
      <c r="I67" s="322">
        <v>3.49</v>
      </c>
      <c r="J67" s="26">
        <v>6.2E-2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4.2469999999999999</v>
      </c>
      <c r="E68" s="93">
        <v>0.30499999999999999</v>
      </c>
      <c r="F68" s="94">
        <v>3.3000000000000002E-2</v>
      </c>
      <c r="G68" s="319">
        <v>11.88</v>
      </c>
      <c r="H68" s="319">
        <v>3.49</v>
      </c>
      <c r="I68" s="322">
        <v>3.49</v>
      </c>
      <c r="J68" s="26">
        <v>6.2E-2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4.2469999999999999</v>
      </c>
      <c r="E69" s="93">
        <v>0.30499999999999999</v>
      </c>
      <c r="F69" s="94">
        <v>3.3000000000000002E-2</v>
      </c>
      <c r="G69" s="319">
        <v>17.399999999999999</v>
      </c>
      <c r="H69" s="319">
        <v>3.49</v>
      </c>
      <c r="I69" s="322">
        <v>3.49</v>
      </c>
      <c r="J69" s="26">
        <v>6.2E-2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4.2469999999999999</v>
      </c>
      <c r="E70" s="93">
        <v>0.30499999999999999</v>
      </c>
      <c r="F70" s="94">
        <v>3.3000000000000002E-2</v>
      </c>
      <c r="G70" s="319">
        <v>24.86</v>
      </c>
      <c r="H70" s="319">
        <v>3.49</v>
      </c>
      <c r="I70" s="322">
        <v>3.49</v>
      </c>
      <c r="J70" s="26">
        <v>6.2E-2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4.2469999999999999</v>
      </c>
      <c r="E71" s="93">
        <v>0.30499999999999999</v>
      </c>
      <c r="F71" s="94">
        <v>3.3000000000000002E-2</v>
      </c>
      <c r="G71" s="319">
        <v>49.04</v>
      </c>
      <c r="H71" s="319">
        <v>3.49</v>
      </c>
      <c r="I71" s="322">
        <v>3.49</v>
      </c>
      <c r="J71" s="26">
        <v>6.2E-2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4.391</v>
      </c>
      <c r="E72" s="93">
        <v>0.23200000000000001</v>
      </c>
      <c r="F72" s="94">
        <v>2.3E-2</v>
      </c>
      <c r="G72" s="319">
        <v>6.33</v>
      </c>
      <c r="H72" s="319">
        <v>4.91</v>
      </c>
      <c r="I72" s="322">
        <v>4.91</v>
      </c>
      <c r="J72" s="26">
        <v>5.5E-2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4.391</v>
      </c>
      <c r="E73" s="93">
        <v>0.23200000000000001</v>
      </c>
      <c r="F73" s="94">
        <v>2.3E-2</v>
      </c>
      <c r="G73" s="319">
        <v>17.66</v>
      </c>
      <c r="H73" s="319">
        <v>4.91</v>
      </c>
      <c r="I73" s="322">
        <v>4.91</v>
      </c>
      <c r="J73" s="26">
        <v>5.5E-2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4.391</v>
      </c>
      <c r="E74" s="93">
        <v>0.23200000000000001</v>
      </c>
      <c r="F74" s="94">
        <v>2.3E-2</v>
      </c>
      <c r="G74" s="319">
        <v>26.7</v>
      </c>
      <c r="H74" s="319">
        <v>4.91</v>
      </c>
      <c r="I74" s="322">
        <v>4.91</v>
      </c>
      <c r="J74" s="26">
        <v>5.5E-2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4.391</v>
      </c>
      <c r="E75" s="93">
        <v>0.23200000000000001</v>
      </c>
      <c r="F75" s="94">
        <v>2.3E-2</v>
      </c>
      <c r="G75" s="319">
        <v>38.9</v>
      </c>
      <c r="H75" s="319">
        <v>4.91</v>
      </c>
      <c r="I75" s="322">
        <v>4.91</v>
      </c>
      <c r="J75" s="26">
        <v>5.5E-2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4.391</v>
      </c>
      <c r="E76" s="93">
        <v>0.23200000000000001</v>
      </c>
      <c r="F76" s="94">
        <v>2.3E-2</v>
      </c>
      <c r="G76" s="319">
        <v>78.459999999999994</v>
      </c>
      <c r="H76" s="319">
        <v>4.91</v>
      </c>
      <c r="I76" s="322">
        <v>4.91</v>
      </c>
      <c r="J76" s="26">
        <v>5.5E-2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3.992</v>
      </c>
      <c r="E77" s="93">
        <v>0.16700000000000001</v>
      </c>
      <c r="F77" s="94">
        <v>1.4999999999999999E-2</v>
      </c>
      <c r="G77" s="319">
        <v>68.78</v>
      </c>
      <c r="H77" s="319">
        <v>5.55</v>
      </c>
      <c r="I77" s="322">
        <v>5.55</v>
      </c>
      <c r="J77" s="26">
        <v>4.4999999999999998E-2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3.992</v>
      </c>
      <c r="E78" s="93">
        <v>0.16700000000000001</v>
      </c>
      <c r="F78" s="94">
        <v>1.4999999999999999E-2</v>
      </c>
      <c r="G78" s="319">
        <v>164.62</v>
      </c>
      <c r="H78" s="319">
        <v>5.55</v>
      </c>
      <c r="I78" s="322">
        <v>5.55</v>
      </c>
      <c r="J78" s="26">
        <v>4.4999999999999998E-2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3.992</v>
      </c>
      <c r="E79" s="93">
        <v>0.16700000000000001</v>
      </c>
      <c r="F79" s="94">
        <v>1.4999999999999999E-2</v>
      </c>
      <c r="G79" s="319">
        <v>289.49</v>
      </c>
      <c r="H79" s="319">
        <v>5.55</v>
      </c>
      <c r="I79" s="322">
        <v>5.55</v>
      </c>
      <c r="J79" s="26">
        <v>4.4999999999999998E-2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3.992</v>
      </c>
      <c r="E80" s="93">
        <v>0.16700000000000001</v>
      </c>
      <c r="F80" s="94">
        <v>1.4999999999999999E-2</v>
      </c>
      <c r="G80" s="319">
        <v>560.19000000000005</v>
      </c>
      <c r="H80" s="319">
        <v>5.55</v>
      </c>
      <c r="I80" s="322">
        <v>5.55</v>
      </c>
      <c r="J80" s="26">
        <v>4.4999999999999998E-2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3.992</v>
      </c>
      <c r="E81" s="93">
        <v>0.16700000000000001</v>
      </c>
      <c r="F81" s="94">
        <v>1.4999999999999999E-2</v>
      </c>
      <c r="G81" s="319">
        <v>1051.97</v>
      </c>
      <c r="H81" s="319">
        <v>5.55</v>
      </c>
      <c r="I81" s="322">
        <v>5.55</v>
      </c>
      <c r="J81" s="26">
        <v>4.4999999999999998E-2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t="s">
        <v>847</v>
      </c>
      <c r="D82" s="95">
        <v>19.54</v>
      </c>
      <c r="E82" s="96">
        <v>1.0129999999999999</v>
      </c>
      <c r="F82" s="94">
        <v>0.439</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-6.7939999999999996</v>
      </c>
      <c r="E83" s="93">
        <v>-0.54200000000000004</v>
      </c>
      <c r="F83" s="94">
        <v>-5.8999999999999997E-2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-6.86</v>
      </c>
      <c r="E84" s="93">
        <v>-0.51300000000000001</v>
      </c>
      <c r="F84" s="94">
        <v>-5.5E-2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-6.7939999999999996</v>
      </c>
      <c r="E85" s="93">
        <v>-0.54200000000000004</v>
      </c>
      <c r="F85" s="94">
        <v>-5.8999999999999997E-2</v>
      </c>
      <c r="G85" s="319" t="s">
        <v>840</v>
      </c>
      <c r="H85" s="320" t="s">
        <v>840</v>
      </c>
      <c r="I85" s="321" t="s">
        <v>840</v>
      </c>
      <c r="J85" s="26">
        <v>0.123</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-6.86</v>
      </c>
      <c r="E86" s="93">
        <v>-0.51300000000000001</v>
      </c>
      <c r="F86" s="94">
        <v>-5.5E-2</v>
      </c>
      <c r="G86" s="319" t="s">
        <v>840</v>
      </c>
      <c r="H86" s="320" t="s">
        <v>840</v>
      </c>
      <c r="I86" s="321" t="s">
        <v>840</v>
      </c>
      <c r="J86" s="26">
        <v>0.104</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-7.7859999999999996</v>
      </c>
      <c r="E87" s="93">
        <v>-0.41199999999999998</v>
      </c>
      <c r="F87" s="94">
        <v>-4.1000000000000002E-2</v>
      </c>
      <c r="G87" s="319">
        <v>78.08</v>
      </c>
      <c r="H87" s="320" t="s">
        <v>840</v>
      </c>
      <c r="I87" s="321" t="s">
        <v>840</v>
      </c>
      <c r="J87" s="26">
        <v>0.159</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t="s">
        <v>2143</v>
      </c>
      <c r="D88" s="92">
        <v>5.0659999999999998</v>
      </c>
      <c r="E88" s="93">
        <v>0.40400000000000003</v>
      </c>
      <c r="F88" s="94">
        <v>4.3999999999999997E-2</v>
      </c>
      <c r="G88" s="319">
        <v>2.8</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t="s">
        <v>2075</v>
      </c>
      <c r="D89" s="92">
        <v>5.0659999999999998</v>
      </c>
      <c r="E89" s="93">
        <v>0.40400000000000003</v>
      </c>
      <c r="F89" s="94">
        <v>4.3999999999999997E-2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t="s">
        <v>2144</v>
      </c>
      <c r="D90" s="92">
        <v>5.3890000000000002</v>
      </c>
      <c r="E90" s="93">
        <v>0.43</v>
      </c>
      <c r="F90" s="94">
        <v>4.7E-2</v>
      </c>
      <c r="G90" s="319">
        <v>3.88</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t="s">
        <v>2144</v>
      </c>
      <c r="D91" s="92">
        <v>5.3890000000000002</v>
      </c>
      <c r="E91" s="93">
        <v>0.43</v>
      </c>
      <c r="F91" s="94">
        <v>4.7E-2</v>
      </c>
      <c r="G91" s="319">
        <v>4.01</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t="s">
        <v>2144</v>
      </c>
      <c r="D92" s="92">
        <v>5.3890000000000002</v>
      </c>
      <c r="E92" s="93">
        <v>0.43</v>
      </c>
      <c r="F92" s="94">
        <v>4.7E-2</v>
      </c>
      <c r="G92" s="319">
        <v>4.43</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t="s">
        <v>2144</v>
      </c>
      <c r="D93" s="92">
        <v>5.3890000000000002</v>
      </c>
      <c r="E93" s="93">
        <v>0.43</v>
      </c>
      <c r="F93" s="94">
        <v>4.7E-2</v>
      </c>
      <c r="G93" s="319">
        <v>5</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t="s">
        <v>2144</v>
      </c>
      <c r="D94" s="92">
        <v>5.3890000000000002</v>
      </c>
      <c r="E94" s="93">
        <v>0.43</v>
      </c>
      <c r="F94" s="94">
        <v>4.7E-2</v>
      </c>
      <c r="G94" s="319">
        <v>6.61</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t="s">
        <v>2076</v>
      </c>
      <c r="D95" s="92">
        <v>5.3890000000000002</v>
      </c>
      <c r="E95" s="93">
        <v>0.43</v>
      </c>
      <c r="F95" s="94">
        <v>4.7E-2</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3.3029999999999999</v>
      </c>
      <c r="E96" s="93">
        <v>0.23699999999999999</v>
      </c>
      <c r="F96" s="94">
        <v>2.5000000000000001E-2</v>
      </c>
      <c r="G96" s="319">
        <v>3.85</v>
      </c>
      <c r="H96" s="319">
        <v>2.71</v>
      </c>
      <c r="I96" s="322">
        <v>2.71</v>
      </c>
      <c r="J96" s="26">
        <v>4.8000000000000001E-2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3.3029999999999999</v>
      </c>
      <c r="E97" s="93">
        <v>0.23699999999999999</v>
      </c>
      <c r="F97" s="94">
        <v>2.5000000000000001E-2</v>
      </c>
      <c r="G97" s="319">
        <v>9.24</v>
      </c>
      <c r="H97" s="319">
        <v>2.71</v>
      </c>
      <c r="I97" s="322">
        <v>2.71</v>
      </c>
      <c r="J97" s="26">
        <v>4.8000000000000001E-2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3.3029999999999999</v>
      </c>
      <c r="E98" s="93">
        <v>0.23699999999999999</v>
      </c>
      <c r="F98" s="94">
        <v>2.5000000000000001E-2</v>
      </c>
      <c r="G98" s="319">
        <v>13.53</v>
      </c>
      <c r="H98" s="319">
        <v>2.71</v>
      </c>
      <c r="I98" s="322">
        <v>2.71</v>
      </c>
      <c r="J98" s="26">
        <v>4.8000000000000001E-2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3.3029999999999999</v>
      </c>
      <c r="E99" s="93">
        <v>0.23699999999999999</v>
      </c>
      <c r="F99" s="94">
        <v>2.5000000000000001E-2</v>
      </c>
      <c r="G99" s="319">
        <v>19.329999999999998</v>
      </c>
      <c r="H99" s="319">
        <v>2.71</v>
      </c>
      <c r="I99" s="322">
        <v>2.71</v>
      </c>
      <c r="J99" s="26">
        <v>4.8000000000000001E-2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3.3029999999999999</v>
      </c>
      <c r="E100" s="93">
        <v>0.23699999999999999</v>
      </c>
      <c r="F100" s="94">
        <v>2.5000000000000001E-2</v>
      </c>
      <c r="G100" s="319">
        <v>38.14</v>
      </c>
      <c r="H100" s="319">
        <v>2.71</v>
      </c>
      <c r="I100" s="322">
        <v>2.71</v>
      </c>
      <c r="J100" s="26">
        <v>4.8000000000000001E-2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3.415</v>
      </c>
      <c r="E101" s="93">
        <v>0.18099999999999999</v>
      </c>
      <c r="F101" s="94">
        <v>1.7999999999999999E-2</v>
      </c>
      <c r="G101" s="319">
        <v>4.92</v>
      </c>
      <c r="H101" s="319">
        <v>3.82</v>
      </c>
      <c r="I101" s="322">
        <v>3.82</v>
      </c>
      <c r="J101" s="26">
        <v>4.2999999999999997E-2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3.415</v>
      </c>
      <c r="E102" s="93">
        <v>0.18099999999999999</v>
      </c>
      <c r="F102" s="94">
        <v>1.7999999999999999E-2</v>
      </c>
      <c r="G102" s="319">
        <v>13.74</v>
      </c>
      <c r="H102" s="319">
        <v>3.82</v>
      </c>
      <c r="I102" s="322">
        <v>3.82</v>
      </c>
      <c r="J102" s="26">
        <v>4.2999999999999997E-2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3.415</v>
      </c>
      <c r="E103" s="93">
        <v>0.18099999999999999</v>
      </c>
      <c r="F103" s="94">
        <v>1.7999999999999999E-2</v>
      </c>
      <c r="G103" s="319">
        <v>20.76</v>
      </c>
      <c r="H103" s="319">
        <v>3.82</v>
      </c>
      <c r="I103" s="322">
        <v>3.82</v>
      </c>
      <c r="J103" s="26">
        <v>4.2999999999999997E-2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3.415</v>
      </c>
      <c r="E104" s="93">
        <v>0.18099999999999999</v>
      </c>
      <c r="F104" s="94">
        <v>1.7999999999999999E-2</v>
      </c>
      <c r="G104" s="319">
        <v>30.25</v>
      </c>
      <c r="H104" s="319">
        <v>3.82</v>
      </c>
      <c r="I104" s="322">
        <v>3.82</v>
      </c>
      <c r="J104" s="26">
        <v>4.2999999999999997E-2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3.415</v>
      </c>
      <c r="E105" s="93">
        <v>0.18099999999999999</v>
      </c>
      <c r="F105" s="94">
        <v>1.7999999999999999E-2</v>
      </c>
      <c r="G105" s="319">
        <v>61.01</v>
      </c>
      <c r="H105" s="319">
        <v>3.82</v>
      </c>
      <c r="I105" s="322">
        <v>3.82</v>
      </c>
      <c r="J105" s="26">
        <v>4.2999999999999997E-2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3.105</v>
      </c>
      <c r="E106" s="93">
        <v>0.13</v>
      </c>
      <c r="F106" s="94">
        <v>1.2E-2</v>
      </c>
      <c r="G106" s="319">
        <v>53.48</v>
      </c>
      <c r="H106" s="319">
        <v>4.3099999999999996</v>
      </c>
      <c r="I106" s="322">
        <v>4.3099999999999996</v>
      </c>
      <c r="J106" s="26">
        <v>3.5000000000000003E-2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3.105</v>
      </c>
      <c r="E107" s="93">
        <v>0.13</v>
      </c>
      <c r="F107" s="94">
        <v>1.2E-2</v>
      </c>
      <c r="G107" s="319">
        <v>128.02000000000001</v>
      </c>
      <c r="H107" s="319">
        <v>4.3099999999999996</v>
      </c>
      <c r="I107" s="322">
        <v>4.3099999999999996</v>
      </c>
      <c r="J107" s="26">
        <v>3.5000000000000003E-2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3.105</v>
      </c>
      <c r="E108" s="93">
        <v>0.13</v>
      </c>
      <c r="F108" s="94">
        <v>1.2E-2</v>
      </c>
      <c r="G108" s="319">
        <v>225.12</v>
      </c>
      <c r="H108" s="319">
        <v>4.3099999999999996</v>
      </c>
      <c r="I108" s="322">
        <v>4.3099999999999996</v>
      </c>
      <c r="J108" s="26">
        <v>3.5000000000000003E-2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3.105</v>
      </c>
      <c r="E109" s="93">
        <v>0.13</v>
      </c>
      <c r="F109" s="94">
        <v>1.2E-2</v>
      </c>
      <c r="G109" s="319">
        <v>435.63</v>
      </c>
      <c r="H109" s="319">
        <v>4.3099999999999996</v>
      </c>
      <c r="I109" s="322">
        <v>4.3099999999999996</v>
      </c>
      <c r="J109" s="26">
        <v>3.5000000000000003E-2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3.105</v>
      </c>
      <c r="E110" s="93">
        <v>0.13</v>
      </c>
      <c r="F110" s="94">
        <v>1.2E-2</v>
      </c>
      <c r="G110" s="319">
        <v>818.07</v>
      </c>
      <c r="H110" s="319">
        <v>4.3099999999999996</v>
      </c>
      <c r="I110" s="322">
        <v>4.3099999999999996</v>
      </c>
      <c r="J110" s="26">
        <v>3.5000000000000003E-2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t="s">
        <v>847</v>
      </c>
      <c r="D111" s="95">
        <v>15.195</v>
      </c>
      <c r="E111" s="96">
        <v>0.78800000000000003</v>
      </c>
      <c r="F111" s="94">
        <v>0.34200000000000003</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-5.2830000000000004</v>
      </c>
      <c r="E112" s="93">
        <v>-0.42099999999999999</v>
      </c>
      <c r="F112" s="94">
        <v>-4.5999999999999999E-2</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-5.335</v>
      </c>
      <c r="E113" s="93">
        <v>-0.39900000000000002</v>
      </c>
      <c r="F113" s="94">
        <v>-4.2999999999999997E-2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-5.2830000000000004</v>
      </c>
      <c r="E114" s="93">
        <v>-0.42099999999999999</v>
      </c>
      <c r="F114" s="94">
        <v>-4.5999999999999999E-2</v>
      </c>
      <c r="G114" s="319" t="s">
        <v>840</v>
      </c>
      <c r="H114" s="320" t="s">
        <v>840</v>
      </c>
      <c r="I114" s="321" t="s">
        <v>840</v>
      </c>
      <c r="J114" s="26">
        <v>9.6000000000000002E-2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-5.335</v>
      </c>
      <c r="E115" s="93">
        <v>-0.39900000000000002</v>
      </c>
      <c r="F115" s="94">
        <v>-4.2999999999999997E-2</v>
      </c>
      <c r="G115" s="319" t="s">
        <v>840</v>
      </c>
      <c r="H115" s="320" t="s">
        <v>840</v>
      </c>
      <c r="I115" s="321" t="s">
        <v>840</v>
      </c>
      <c r="J115" s="26">
        <v>8.1000000000000003E-2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-6.0549999999999997</v>
      </c>
      <c r="E116" s="93">
        <v>-0.32</v>
      </c>
      <c r="F116" s="94">
        <v>-3.2000000000000001E-2</v>
      </c>
      <c r="G116" s="319">
        <v>60.72</v>
      </c>
      <c r="H116" s="320" t="s">
        <v>840</v>
      </c>
      <c r="I116" s="321" t="s">
        <v>840</v>
      </c>
      <c r="J116" s="26">
        <v>0.123</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t="s">
        <v>2143</v>
      </c>
      <c r="D117" s="92">
        <v>3.867</v>
      </c>
      <c r="E117" s="93">
        <v>0.308</v>
      </c>
      <c r="F117" s="94">
        <v>3.4000000000000002E-2</v>
      </c>
      <c r="G117" s="319">
        <v>2.14</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t="s">
        <v>2075</v>
      </c>
      <c r="D118" s="92">
        <v>3.867</v>
      </c>
      <c r="E118" s="93">
        <v>0.308</v>
      </c>
      <c r="F118" s="94">
        <v>3.4000000000000002E-2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t="s">
        <v>2144</v>
      </c>
      <c r="D119" s="92">
        <v>4.1130000000000004</v>
      </c>
      <c r="E119" s="93">
        <v>0.32800000000000001</v>
      </c>
      <c r="F119" s="94">
        <v>3.5999999999999997E-2</v>
      </c>
      <c r="G119" s="319">
        <v>2.96</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t="s">
        <v>2144</v>
      </c>
      <c r="D120" s="92">
        <v>4.1130000000000004</v>
      </c>
      <c r="E120" s="93">
        <v>0.32800000000000001</v>
      </c>
      <c r="F120" s="94">
        <v>3.5999999999999997E-2</v>
      </c>
      <c r="G120" s="319">
        <v>3.06</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t="s">
        <v>2144</v>
      </c>
      <c r="D121" s="92">
        <v>4.1130000000000004</v>
      </c>
      <c r="E121" s="93">
        <v>0.32800000000000001</v>
      </c>
      <c r="F121" s="94">
        <v>3.5999999999999997E-2</v>
      </c>
      <c r="G121" s="319">
        <v>3.38</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t="s">
        <v>2144</v>
      </c>
      <c r="D122" s="92">
        <v>4.1130000000000004</v>
      </c>
      <c r="E122" s="93">
        <v>0.32800000000000001</v>
      </c>
      <c r="F122" s="94">
        <v>3.5999999999999997E-2</v>
      </c>
      <c r="G122" s="319">
        <v>3.82</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t="s">
        <v>2144</v>
      </c>
      <c r="D123" s="92">
        <v>4.1130000000000004</v>
      </c>
      <c r="E123" s="93">
        <v>0.32800000000000001</v>
      </c>
      <c r="F123" s="94">
        <v>3.5999999999999997E-2</v>
      </c>
      <c r="G123" s="319">
        <v>5.05</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t="s">
        <v>2076</v>
      </c>
      <c r="D124" s="92">
        <v>4.1130000000000004</v>
      </c>
      <c r="E124" s="93">
        <v>0.32800000000000001</v>
      </c>
      <c r="F124" s="94">
        <v>3.5999999999999997E-2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2.5209999999999999</v>
      </c>
      <c r="E125" s="93">
        <v>0.18099999999999999</v>
      </c>
      <c r="F125" s="94">
        <v>1.9E-2</v>
      </c>
      <c r="G125" s="319">
        <v>2.94</v>
      </c>
      <c r="H125" s="319">
        <v>2.0699999999999998</v>
      </c>
      <c r="I125" s="322">
        <v>2.0699999999999998</v>
      </c>
      <c r="J125" s="26">
        <v>3.6999999999999998E-2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2.5209999999999999</v>
      </c>
      <c r="E126" s="93">
        <v>0.18099999999999999</v>
      </c>
      <c r="F126" s="94">
        <v>1.9E-2</v>
      </c>
      <c r="G126" s="319">
        <v>7.05</v>
      </c>
      <c r="H126" s="319">
        <v>2.0699999999999998</v>
      </c>
      <c r="I126" s="322">
        <v>2.0699999999999998</v>
      </c>
      <c r="J126" s="26">
        <v>3.6999999999999998E-2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2.5209999999999999</v>
      </c>
      <c r="E127" s="93">
        <v>0.18099999999999999</v>
      </c>
      <c r="F127" s="94">
        <v>1.9E-2</v>
      </c>
      <c r="G127" s="319">
        <v>10.33</v>
      </c>
      <c r="H127" s="319">
        <v>2.0699999999999998</v>
      </c>
      <c r="I127" s="322">
        <v>2.0699999999999998</v>
      </c>
      <c r="J127" s="26">
        <v>3.6999999999999998E-2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2.5209999999999999</v>
      </c>
      <c r="E128" s="93">
        <v>0.18099999999999999</v>
      </c>
      <c r="F128" s="94">
        <v>1.9E-2</v>
      </c>
      <c r="G128" s="319">
        <v>14.76</v>
      </c>
      <c r="H128" s="319">
        <v>2.0699999999999998</v>
      </c>
      <c r="I128" s="322">
        <v>2.0699999999999998</v>
      </c>
      <c r="J128" s="26">
        <v>3.6999999999999998E-2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2.5209999999999999</v>
      </c>
      <c r="E129" s="93">
        <v>0.18099999999999999</v>
      </c>
      <c r="F129" s="94">
        <v>1.9E-2</v>
      </c>
      <c r="G129" s="319">
        <v>29.11</v>
      </c>
      <c r="H129" s="319">
        <v>2.0699999999999998</v>
      </c>
      <c r="I129" s="322">
        <v>2.0699999999999998</v>
      </c>
      <c r="J129" s="26">
        <v>3.6999999999999998E-2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2.6059999999999999</v>
      </c>
      <c r="E130" s="93">
        <v>0.13800000000000001</v>
      </c>
      <c r="F130" s="94">
        <v>1.4E-2</v>
      </c>
      <c r="G130" s="319">
        <v>3.76</v>
      </c>
      <c r="H130" s="319">
        <v>2.91</v>
      </c>
      <c r="I130" s="322">
        <v>2.91</v>
      </c>
      <c r="J130" s="26">
        <v>3.3000000000000002E-2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2.6059999999999999</v>
      </c>
      <c r="E131" s="93">
        <v>0.13800000000000001</v>
      </c>
      <c r="F131" s="94">
        <v>1.4E-2</v>
      </c>
      <c r="G131" s="319">
        <v>10.48</v>
      </c>
      <c r="H131" s="319">
        <v>2.91</v>
      </c>
      <c r="I131" s="322">
        <v>2.91</v>
      </c>
      <c r="J131" s="26">
        <v>3.3000000000000002E-2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2.6059999999999999</v>
      </c>
      <c r="E132" s="93">
        <v>0.13800000000000001</v>
      </c>
      <c r="F132" s="94">
        <v>1.4E-2</v>
      </c>
      <c r="G132" s="319">
        <v>15.85</v>
      </c>
      <c r="H132" s="319">
        <v>2.91</v>
      </c>
      <c r="I132" s="322">
        <v>2.91</v>
      </c>
      <c r="J132" s="26">
        <v>3.3000000000000002E-2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2.6059999999999999</v>
      </c>
      <c r="E133" s="93">
        <v>0.13800000000000001</v>
      </c>
      <c r="F133" s="94">
        <v>1.4E-2</v>
      </c>
      <c r="G133" s="319">
        <v>23.09</v>
      </c>
      <c r="H133" s="319">
        <v>2.91</v>
      </c>
      <c r="I133" s="322">
        <v>2.91</v>
      </c>
      <c r="J133" s="26">
        <v>3.3000000000000002E-2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2.6059999999999999</v>
      </c>
      <c r="E134" s="93">
        <v>0.13800000000000001</v>
      </c>
      <c r="F134" s="94">
        <v>1.4E-2</v>
      </c>
      <c r="G134" s="319">
        <v>46.57</v>
      </c>
      <c r="H134" s="319">
        <v>2.91</v>
      </c>
      <c r="I134" s="322">
        <v>2.91</v>
      </c>
      <c r="J134" s="26">
        <v>3.3000000000000002E-2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2.37</v>
      </c>
      <c r="E135" s="93">
        <v>9.9000000000000005E-2</v>
      </c>
      <c r="F135" s="94">
        <v>8.9999999999999993E-3</v>
      </c>
      <c r="G135" s="319">
        <v>40.82</v>
      </c>
      <c r="H135" s="319">
        <v>3.29</v>
      </c>
      <c r="I135" s="322">
        <v>3.29</v>
      </c>
      <c r="J135" s="26">
        <v>2.7E-2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2.37</v>
      </c>
      <c r="E136" s="93">
        <v>9.9000000000000005E-2</v>
      </c>
      <c r="F136" s="94">
        <v>8.9999999999999993E-3</v>
      </c>
      <c r="G136" s="319">
        <v>97.71</v>
      </c>
      <c r="H136" s="319">
        <v>3.29</v>
      </c>
      <c r="I136" s="322">
        <v>3.29</v>
      </c>
      <c r="J136" s="26">
        <v>2.7E-2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2.37</v>
      </c>
      <c r="E137" s="93">
        <v>9.9000000000000005E-2</v>
      </c>
      <c r="F137" s="94">
        <v>8.9999999999999993E-3</v>
      </c>
      <c r="G137" s="319">
        <v>171.83</v>
      </c>
      <c r="H137" s="319">
        <v>3.29</v>
      </c>
      <c r="I137" s="322">
        <v>3.29</v>
      </c>
      <c r="J137" s="26">
        <v>2.7E-2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2.37</v>
      </c>
      <c r="E138" s="93">
        <v>9.9000000000000005E-2</v>
      </c>
      <c r="F138" s="94">
        <v>8.9999999999999993E-3</v>
      </c>
      <c r="G138" s="319">
        <v>332.5</v>
      </c>
      <c r="H138" s="319">
        <v>3.29</v>
      </c>
      <c r="I138" s="322">
        <v>3.29</v>
      </c>
      <c r="J138" s="26">
        <v>2.7E-2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2.37</v>
      </c>
      <c r="E139" s="93">
        <v>9.9000000000000005E-2</v>
      </c>
      <c r="F139" s="94">
        <v>8.9999999999999993E-3</v>
      </c>
      <c r="G139" s="319">
        <v>624.39</v>
      </c>
      <c r="H139" s="319">
        <v>3.29</v>
      </c>
      <c r="I139" s="322">
        <v>3.29</v>
      </c>
      <c r="J139" s="26">
        <v>2.7E-2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t="s">
        <v>847</v>
      </c>
      <c r="D140" s="95">
        <v>11.598000000000001</v>
      </c>
      <c r="E140" s="96">
        <v>0.60099999999999998</v>
      </c>
      <c r="F140" s="94">
        <v>0.26100000000000001</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-4.032</v>
      </c>
      <c r="E141" s="93">
        <v>-0.32200000000000001</v>
      </c>
      <c r="F141" s="94">
        <v>-3.5000000000000003E-2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-4.0720000000000001</v>
      </c>
      <c r="E142" s="93">
        <v>-0.30399999999999999</v>
      </c>
      <c r="F142" s="94">
        <v>-3.3000000000000002E-2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-4.032</v>
      </c>
      <c r="E143" s="93">
        <v>-0.32200000000000001</v>
      </c>
      <c r="F143" s="94">
        <v>-3.5000000000000003E-2</v>
      </c>
      <c r="G143" s="319" t="s">
        <v>840</v>
      </c>
      <c r="H143" s="320" t="s">
        <v>840</v>
      </c>
      <c r="I143" s="321" t="s">
        <v>840</v>
      </c>
      <c r="J143" s="26">
        <v>7.2999999999999995E-2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-4.0720000000000001</v>
      </c>
      <c r="E144" s="93">
        <v>-0.30399999999999999</v>
      </c>
      <c r="F144" s="94">
        <v>-3.3000000000000002E-2</v>
      </c>
      <c r="G144" s="319" t="s">
        <v>840</v>
      </c>
      <c r="H144" s="320" t="s">
        <v>840</v>
      </c>
      <c r="I144" s="321" t="s">
        <v>840</v>
      </c>
      <c r="J144" s="26">
        <v>6.2E-2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-4.6219999999999999</v>
      </c>
      <c r="E145" s="93">
        <v>-0.24399999999999999</v>
      </c>
      <c r="F145" s="94">
        <v>-2.4E-2</v>
      </c>
      <c r="G145" s="319">
        <v>46.34</v>
      </c>
      <c r="H145" s="320" t="s">
        <v>840</v>
      </c>
      <c r="I145" s="321" t="s">
        <v>840</v>
      </c>
      <c r="J145" s="26">
        <v>9.4E-2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2143</v>
      </c>
      <c r="D146" s="92">
        <v>2.6869999999999998</v>
      </c>
      <c r="E146" s="93">
        <v>0.214</v>
      </c>
      <c r="F146" s="94">
        <v>2.3E-2</v>
      </c>
      <c r="G146" s="319">
        <v>1.48</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t="s">
        <v>2075</v>
      </c>
      <c r="D147" s="92">
        <v>2.6869999999999998</v>
      </c>
      <c r="E147" s="93">
        <v>0.214</v>
      </c>
      <c r="F147" s="94">
        <v>2.3E-2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2144</v>
      </c>
      <c r="D148" s="92">
        <v>2.8580000000000001</v>
      </c>
      <c r="E148" s="93">
        <v>0.22800000000000001</v>
      </c>
      <c r="F148" s="94">
        <v>2.5000000000000001E-2</v>
      </c>
      <c r="G148" s="319">
        <v>2.06</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2144</v>
      </c>
      <c r="D149" s="92">
        <v>2.8580000000000001</v>
      </c>
      <c r="E149" s="93">
        <v>0.22800000000000001</v>
      </c>
      <c r="F149" s="94">
        <v>2.5000000000000001E-2</v>
      </c>
      <c r="G149" s="319">
        <v>2.13</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2144</v>
      </c>
      <c r="D150" s="92">
        <v>2.8580000000000001</v>
      </c>
      <c r="E150" s="93">
        <v>0.22800000000000001</v>
      </c>
      <c r="F150" s="94">
        <v>2.5000000000000001E-2</v>
      </c>
      <c r="G150" s="319">
        <v>2.35</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2144</v>
      </c>
      <c r="D151" s="92">
        <v>2.8580000000000001</v>
      </c>
      <c r="E151" s="93">
        <v>0.22800000000000001</v>
      </c>
      <c r="F151" s="94">
        <v>2.5000000000000001E-2</v>
      </c>
      <c r="G151" s="319">
        <v>2.65</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2144</v>
      </c>
      <c r="D152" s="92">
        <v>2.8580000000000001</v>
      </c>
      <c r="E152" s="93">
        <v>0.22800000000000001</v>
      </c>
      <c r="F152" s="94">
        <v>2.5000000000000001E-2</v>
      </c>
      <c r="G152" s="319">
        <v>3.51</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t="s">
        <v>2076</v>
      </c>
      <c r="D153" s="92">
        <v>2.8580000000000001</v>
      </c>
      <c r="E153" s="93">
        <v>0.22800000000000001</v>
      </c>
      <c r="F153" s="94">
        <v>2.5000000000000001E-2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1.7509999999999999</v>
      </c>
      <c r="E154" s="93">
        <v>0.126</v>
      </c>
      <c r="F154" s="94">
        <v>1.2999999999999999E-2</v>
      </c>
      <c r="G154" s="319">
        <v>2.04</v>
      </c>
      <c r="H154" s="319">
        <v>1.44</v>
      </c>
      <c r="I154" s="322">
        <v>1.44</v>
      </c>
      <c r="J154" s="26">
        <v>2.5999999999999999E-2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1.7509999999999999</v>
      </c>
      <c r="E155" s="93">
        <v>0.126</v>
      </c>
      <c r="F155" s="94">
        <v>1.2999999999999999E-2</v>
      </c>
      <c r="G155" s="319">
        <v>4.9000000000000004</v>
      </c>
      <c r="H155" s="319">
        <v>1.44</v>
      </c>
      <c r="I155" s="322">
        <v>1.44</v>
      </c>
      <c r="J155" s="26">
        <v>2.5999999999999999E-2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1.7509999999999999</v>
      </c>
      <c r="E156" s="93">
        <v>0.126</v>
      </c>
      <c r="F156" s="94">
        <v>1.2999999999999999E-2</v>
      </c>
      <c r="G156" s="319">
        <v>7.18</v>
      </c>
      <c r="H156" s="319">
        <v>1.44</v>
      </c>
      <c r="I156" s="322">
        <v>1.44</v>
      </c>
      <c r="J156" s="26">
        <v>2.5999999999999999E-2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1.7509999999999999</v>
      </c>
      <c r="E157" s="93">
        <v>0.126</v>
      </c>
      <c r="F157" s="94">
        <v>1.2999999999999999E-2</v>
      </c>
      <c r="G157" s="319">
        <v>10.25</v>
      </c>
      <c r="H157" s="319">
        <v>1.44</v>
      </c>
      <c r="I157" s="322">
        <v>1.44</v>
      </c>
      <c r="J157" s="26">
        <v>2.5999999999999999E-2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1.7509999999999999</v>
      </c>
      <c r="E158" s="93">
        <v>0.126</v>
      </c>
      <c r="F158" s="94">
        <v>1.2999999999999999E-2</v>
      </c>
      <c r="G158" s="319">
        <v>20.23</v>
      </c>
      <c r="H158" s="319">
        <v>1.44</v>
      </c>
      <c r="I158" s="322">
        <v>1.44</v>
      </c>
      <c r="J158" s="26">
        <v>2.5999999999999999E-2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1.8109999999999999</v>
      </c>
      <c r="E159" s="93">
        <v>9.6000000000000002E-2</v>
      </c>
      <c r="F159" s="94">
        <v>8.9999999999999993E-3</v>
      </c>
      <c r="G159" s="319">
        <v>2.61</v>
      </c>
      <c r="H159" s="319">
        <v>2.02</v>
      </c>
      <c r="I159" s="322">
        <v>2.02</v>
      </c>
      <c r="J159" s="26">
        <v>2.3E-2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1.8109999999999999</v>
      </c>
      <c r="E160" s="93">
        <v>9.6000000000000002E-2</v>
      </c>
      <c r="F160" s="94">
        <v>8.9999999999999993E-3</v>
      </c>
      <c r="G160" s="319">
        <v>7.29</v>
      </c>
      <c r="H160" s="319">
        <v>2.02</v>
      </c>
      <c r="I160" s="322">
        <v>2.02</v>
      </c>
      <c r="J160" s="26">
        <v>2.3E-2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1.8109999999999999</v>
      </c>
      <c r="E161" s="93">
        <v>9.6000000000000002E-2</v>
      </c>
      <c r="F161" s="94">
        <v>8.9999999999999993E-3</v>
      </c>
      <c r="G161" s="319">
        <v>11.01</v>
      </c>
      <c r="H161" s="319">
        <v>2.02</v>
      </c>
      <c r="I161" s="322">
        <v>2.02</v>
      </c>
      <c r="J161" s="26">
        <v>2.3E-2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1.8109999999999999</v>
      </c>
      <c r="E162" s="93">
        <v>9.6000000000000002E-2</v>
      </c>
      <c r="F162" s="94">
        <v>8.9999999999999993E-3</v>
      </c>
      <c r="G162" s="319">
        <v>16.04</v>
      </c>
      <c r="H162" s="319">
        <v>2.02</v>
      </c>
      <c r="I162" s="322">
        <v>2.02</v>
      </c>
      <c r="J162" s="26">
        <v>2.3E-2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1.8109999999999999</v>
      </c>
      <c r="E163" s="93">
        <v>9.6000000000000002E-2</v>
      </c>
      <c r="F163" s="94">
        <v>8.9999999999999993E-3</v>
      </c>
      <c r="G163" s="319">
        <v>32.36</v>
      </c>
      <c r="H163" s="319">
        <v>2.02</v>
      </c>
      <c r="I163" s="322">
        <v>2.02</v>
      </c>
      <c r="J163" s="26">
        <v>2.3E-2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1.647</v>
      </c>
      <c r="E164" s="93">
        <v>6.9000000000000006E-2</v>
      </c>
      <c r="F164" s="94">
        <v>6.0000000000000001E-3</v>
      </c>
      <c r="G164" s="319">
        <v>28.36</v>
      </c>
      <c r="H164" s="319">
        <v>2.29</v>
      </c>
      <c r="I164" s="322">
        <v>2.29</v>
      </c>
      <c r="J164" s="26">
        <v>1.9E-2</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1.647</v>
      </c>
      <c r="E165" s="93">
        <v>6.9000000000000006E-2</v>
      </c>
      <c r="F165" s="94">
        <v>6.0000000000000001E-3</v>
      </c>
      <c r="G165" s="319">
        <v>67.89</v>
      </c>
      <c r="H165" s="319">
        <v>2.29</v>
      </c>
      <c r="I165" s="322">
        <v>2.29</v>
      </c>
      <c r="J165" s="26">
        <v>1.9E-2</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1.647</v>
      </c>
      <c r="E166" s="93">
        <v>6.9000000000000006E-2</v>
      </c>
      <c r="F166" s="94">
        <v>6.0000000000000001E-3</v>
      </c>
      <c r="G166" s="319">
        <v>119.39</v>
      </c>
      <c r="H166" s="319">
        <v>2.29</v>
      </c>
      <c r="I166" s="322">
        <v>2.29</v>
      </c>
      <c r="J166" s="26">
        <v>1.9E-2</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1.647</v>
      </c>
      <c r="E167" s="93">
        <v>6.9000000000000006E-2</v>
      </c>
      <c r="F167" s="94">
        <v>6.0000000000000001E-3</v>
      </c>
      <c r="G167" s="319">
        <v>231.03</v>
      </c>
      <c r="H167" s="319">
        <v>2.29</v>
      </c>
      <c r="I167" s="322">
        <v>2.29</v>
      </c>
      <c r="J167" s="26">
        <v>1.9E-2</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1.647</v>
      </c>
      <c r="E168" s="93">
        <v>6.9000000000000006E-2</v>
      </c>
      <c r="F168" s="94">
        <v>6.0000000000000001E-3</v>
      </c>
      <c r="G168" s="319">
        <v>433.85</v>
      </c>
      <c r="H168" s="319">
        <v>2.29</v>
      </c>
      <c r="I168" s="322">
        <v>2.29</v>
      </c>
      <c r="J168" s="26">
        <v>1.9E-2</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8.0589999999999993</v>
      </c>
      <c r="E169" s="96">
        <v>0.41799999999999998</v>
      </c>
      <c r="F169" s="94">
        <v>0.18099999999999999</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v>-2.802</v>
      </c>
      <c r="E170" s="93">
        <v>-0.223</v>
      </c>
      <c r="F170" s="94">
        <v>-2.4E-2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v>-2.8290000000000002</v>
      </c>
      <c r="E171" s="93">
        <v>-0.21199999999999999</v>
      </c>
      <c r="F171" s="94">
        <v>-2.3E-2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-2.802</v>
      </c>
      <c r="E172" s="93">
        <v>-0.223</v>
      </c>
      <c r="F172" s="94">
        <v>-2.4E-2</v>
      </c>
      <c r="G172" s="319" t="s">
        <v>840</v>
      </c>
      <c r="H172" s="320" t="s">
        <v>840</v>
      </c>
      <c r="I172" s="321" t="s">
        <v>840</v>
      </c>
      <c r="J172" s="26">
        <v>5.0999999999999997E-2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-2.8290000000000002</v>
      </c>
      <c r="E173" s="93">
        <v>-0.21199999999999999</v>
      </c>
      <c r="F173" s="94">
        <v>-2.3E-2</v>
      </c>
      <c r="G173" s="319" t="s">
        <v>840</v>
      </c>
      <c r="H173" s="320" t="s">
        <v>840</v>
      </c>
      <c r="I173" s="321" t="s">
        <v>840</v>
      </c>
      <c r="J173" s="26">
        <v>4.2999999999999997E-2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-3.2109999999999999</v>
      </c>
      <c r="E174" s="93">
        <v>-0.17</v>
      </c>
      <c r="F174" s="94">
        <v>-1.7000000000000001E-2</v>
      </c>
      <c r="G174" s="319">
        <v>32.200000000000003</v>
      </c>
      <c r="H174" s="320" t="s">
        <v>840</v>
      </c>
      <c r="I174" s="321" t="s">
        <v>840</v>
      </c>
      <c r="J174" s="26">
        <v>6.5000000000000002E-2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2143</v>
      </c>
      <c r="D175" s="92">
        <v>1.107</v>
      </c>
      <c r="E175" s="93">
        <v>8.7999999999999995E-2</v>
      </c>
      <c r="F175" s="94">
        <v>0.01</v>
      </c>
      <c r="G175" s="319">
        <v>0.61</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t="s">
        <v>2075</v>
      </c>
      <c r="D176" s="92">
        <v>1.107</v>
      </c>
      <c r="E176" s="93">
        <v>8.7999999999999995E-2</v>
      </c>
      <c r="F176" s="94">
        <v>0.01</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2144</v>
      </c>
      <c r="D177" s="92">
        <v>1.1779999999999999</v>
      </c>
      <c r="E177" s="93">
        <v>9.4E-2</v>
      </c>
      <c r="F177" s="94">
        <v>0.01</v>
      </c>
      <c r="G177" s="319">
        <v>0.85</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2144</v>
      </c>
      <c r="D178" s="92">
        <v>1.1779999999999999</v>
      </c>
      <c r="E178" s="93">
        <v>9.4E-2</v>
      </c>
      <c r="F178" s="94">
        <v>0.01</v>
      </c>
      <c r="G178" s="319">
        <v>0.88</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2144</v>
      </c>
      <c r="D179" s="92">
        <v>1.1779999999999999</v>
      </c>
      <c r="E179" s="93">
        <v>9.4E-2</v>
      </c>
      <c r="F179" s="94">
        <v>0.01</v>
      </c>
      <c r="G179" s="319">
        <v>0.97</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2144</v>
      </c>
      <c r="D180" s="92">
        <v>1.1779999999999999</v>
      </c>
      <c r="E180" s="93">
        <v>9.4E-2</v>
      </c>
      <c r="F180" s="94">
        <v>0.01</v>
      </c>
      <c r="G180" s="319">
        <v>1.0900000000000001</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2144</v>
      </c>
      <c r="D181" s="92">
        <v>1.1779999999999999</v>
      </c>
      <c r="E181" s="93">
        <v>9.4E-2</v>
      </c>
      <c r="F181" s="94">
        <v>0.01</v>
      </c>
      <c r="G181" s="319">
        <v>1.44</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t="s">
        <v>2076</v>
      </c>
      <c r="D182" s="92">
        <v>1.1779999999999999</v>
      </c>
      <c r="E182" s="93">
        <v>9.4E-2</v>
      </c>
      <c r="F182" s="94">
        <v>0.01</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0.72199999999999998</v>
      </c>
      <c r="E183" s="93">
        <v>5.1999999999999998E-2</v>
      </c>
      <c r="F183" s="94">
        <v>6.0000000000000001E-3</v>
      </c>
      <c r="G183" s="319">
        <v>0.84</v>
      </c>
      <c r="H183" s="319">
        <v>0.59</v>
      </c>
      <c r="I183" s="322">
        <v>0.59</v>
      </c>
      <c r="J183" s="26">
        <v>1.0999999999999999E-2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0.72199999999999998</v>
      </c>
      <c r="E184" s="93">
        <v>5.1999999999999998E-2</v>
      </c>
      <c r="F184" s="94">
        <v>6.0000000000000001E-3</v>
      </c>
      <c r="G184" s="319">
        <v>2.02</v>
      </c>
      <c r="H184" s="319">
        <v>0.59</v>
      </c>
      <c r="I184" s="322">
        <v>0.59</v>
      </c>
      <c r="J184" s="26">
        <v>1.0999999999999999E-2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0.72199999999999998</v>
      </c>
      <c r="E185" s="93">
        <v>5.1999999999999998E-2</v>
      </c>
      <c r="F185" s="94">
        <v>6.0000000000000001E-3</v>
      </c>
      <c r="G185" s="319">
        <v>2.96</v>
      </c>
      <c r="H185" s="319">
        <v>0.59</v>
      </c>
      <c r="I185" s="322">
        <v>0.59</v>
      </c>
      <c r="J185" s="26">
        <v>1.0999999999999999E-2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0.72199999999999998</v>
      </c>
      <c r="E186" s="93">
        <v>5.1999999999999998E-2</v>
      </c>
      <c r="F186" s="94">
        <v>6.0000000000000001E-3</v>
      </c>
      <c r="G186" s="319">
        <v>4.2300000000000004</v>
      </c>
      <c r="H186" s="319">
        <v>0.59</v>
      </c>
      <c r="I186" s="322">
        <v>0.59</v>
      </c>
      <c r="J186" s="26">
        <v>1.0999999999999999E-2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0.72199999999999998</v>
      </c>
      <c r="E187" s="93">
        <v>5.1999999999999998E-2</v>
      </c>
      <c r="F187" s="94">
        <v>6.0000000000000001E-3</v>
      </c>
      <c r="G187" s="319">
        <v>8.34</v>
      </c>
      <c r="H187" s="319">
        <v>0.59</v>
      </c>
      <c r="I187" s="322">
        <v>0.59</v>
      </c>
      <c r="J187" s="26">
        <v>1.0999999999999999E-2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0.746</v>
      </c>
      <c r="E188" s="93">
        <v>3.9E-2</v>
      </c>
      <c r="F188" s="94">
        <v>4.0000000000000001E-3</v>
      </c>
      <c r="G188" s="319">
        <v>1.08</v>
      </c>
      <c r="H188" s="319">
        <v>0.83</v>
      </c>
      <c r="I188" s="322">
        <v>0.83</v>
      </c>
      <c r="J188" s="26">
        <v>8.9999999999999993E-3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0.746</v>
      </c>
      <c r="E189" s="93">
        <v>3.9E-2</v>
      </c>
      <c r="F189" s="94">
        <v>4.0000000000000001E-3</v>
      </c>
      <c r="G189" s="319">
        <v>3</v>
      </c>
      <c r="H189" s="319">
        <v>0.83</v>
      </c>
      <c r="I189" s="322">
        <v>0.83</v>
      </c>
      <c r="J189" s="26">
        <v>8.9999999999999993E-3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0.746</v>
      </c>
      <c r="E190" s="93">
        <v>3.9E-2</v>
      </c>
      <c r="F190" s="94">
        <v>4.0000000000000001E-3</v>
      </c>
      <c r="G190" s="319">
        <v>4.54</v>
      </c>
      <c r="H190" s="319">
        <v>0.83</v>
      </c>
      <c r="I190" s="322">
        <v>0.83</v>
      </c>
      <c r="J190" s="26">
        <v>8.9999999999999993E-3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0.746</v>
      </c>
      <c r="E191" s="93">
        <v>3.9E-2</v>
      </c>
      <c r="F191" s="94">
        <v>4.0000000000000001E-3</v>
      </c>
      <c r="G191" s="319">
        <v>6.61</v>
      </c>
      <c r="H191" s="319">
        <v>0.83</v>
      </c>
      <c r="I191" s="322">
        <v>0.83</v>
      </c>
      <c r="J191" s="26">
        <v>8.9999999999999993E-3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0.746</v>
      </c>
      <c r="E192" s="93">
        <v>3.9E-2</v>
      </c>
      <c r="F192" s="94">
        <v>4.0000000000000001E-3</v>
      </c>
      <c r="G192" s="319">
        <v>13.34</v>
      </c>
      <c r="H192" s="319">
        <v>0.83</v>
      </c>
      <c r="I192" s="322">
        <v>0.83</v>
      </c>
      <c r="J192" s="26">
        <v>8.9999999999999993E-3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0.67900000000000005</v>
      </c>
      <c r="E193" s="93">
        <v>2.8000000000000001E-2</v>
      </c>
      <c r="F193" s="94">
        <v>3.0000000000000001E-3</v>
      </c>
      <c r="G193" s="319">
        <v>11.69</v>
      </c>
      <c r="H193" s="319">
        <v>0.94</v>
      </c>
      <c r="I193" s="322">
        <v>0.94</v>
      </c>
      <c r="J193" s="26">
        <v>8.0000000000000002E-3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0.67900000000000005</v>
      </c>
      <c r="E194" s="93">
        <v>2.8000000000000001E-2</v>
      </c>
      <c r="F194" s="94">
        <v>3.0000000000000001E-3</v>
      </c>
      <c r="G194" s="319">
        <v>27.98</v>
      </c>
      <c r="H194" s="319">
        <v>0.94</v>
      </c>
      <c r="I194" s="322">
        <v>0.94</v>
      </c>
      <c r="J194" s="26">
        <v>8.0000000000000002E-3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0.67900000000000005</v>
      </c>
      <c r="E195" s="93">
        <v>2.8000000000000001E-2</v>
      </c>
      <c r="F195" s="94">
        <v>3.0000000000000001E-3</v>
      </c>
      <c r="G195" s="319">
        <v>49.21</v>
      </c>
      <c r="H195" s="319">
        <v>0.94</v>
      </c>
      <c r="I195" s="322">
        <v>0.94</v>
      </c>
      <c r="J195" s="26">
        <v>8.0000000000000002E-3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0.67900000000000005</v>
      </c>
      <c r="E196" s="93">
        <v>2.8000000000000001E-2</v>
      </c>
      <c r="F196" s="94">
        <v>3.0000000000000001E-3</v>
      </c>
      <c r="G196" s="319">
        <v>95.22</v>
      </c>
      <c r="H196" s="319">
        <v>0.94</v>
      </c>
      <c r="I196" s="322">
        <v>0.94</v>
      </c>
      <c r="J196" s="26">
        <v>8.0000000000000002E-3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0.67900000000000005</v>
      </c>
      <c r="E197" s="93">
        <v>2.8000000000000001E-2</v>
      </c>
      <c r="F197" s="94">
        <v>3.0000000000000001E-3</v>
      </c>
      <c r="G197" s="319">
        <v>178.8</v>
      </c>
      <c r="H197" s="319">
        <v>0.94</v>
      </c>
      <c r="I197" s="322">
        <v>0.94</v>
      </c>
      <c r="J197" s="26">
        <v>8.0000000000000002E-3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3.3210000000000002</v>
      </c>
      <c r="E198" s="96">
        <v>0.17199999999999999</v>
      </c>
      <c r="F198" s="94">
        <v>7.4999999999999997E-2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v>-1.155</v>
      </c>
      <c r="E199" s="93">
        <v>-9.1999999999999998E-2</v>
      </c>
      <c r="F199" s="94">
        <v>-0.01</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v>-1.1659999999999999</v>
      </c>
      <c r="E200" s="93">
        <v>-8.6999999999999994E-2</v>
      </c>
      <c r="F200" s="94">
        <v>-8.9999999999999993E-3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-1.155</v>
      </c>
      <c r="E201" s="93">
        <v>-9.1999999999999998E-2</v>
      </c>
      <c r="F201" s="94">
        <v>-0.01</v>
      </c>
      <c r="G201" s="319" t="s">
        <v>840</v>
      </c>
      <c r="H201" s="320" t="s">
        <v>840</v>
      </c>
      <c r="I201" s="321" t="s">
        <v>840</v>
      </c>
      <c r="J201" s="26">
        <v>2.1000000000000001E-2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-1.1659999999999999</v>
      </c>
      <c r="E202" s="93">
        <v>-8.6999999999999994E-2</v>
      </c>
      <c r="F202" s="94">
        <v>-8.9999999999999993E-3</v>
      </c>
      <c r="G202" s="319" t="s">
        <v>840</v>
      </c>
      <c r="H202" s="320" t="s">
        <v>840</v>
      </c>
      <c r="I202" s="321" t="s">
        <v>840</v>
      </c>
      <c r="J202" s="26">
        <v>1.7999999999999999E-2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-1.323</v>
      </c>
      <c r="E203" s="93">
        <v>-7.0000000000000007E-2</v>
      </c>
      <c r="F203" s="94">
        <v>-7.0000000000000001E-3</v>
      </c>
      <c r="G203" s="319">
        <v>13.27</v>
      </c>
      <c r="H203" s="320" t="s">
        <v>840</v>
      </c>
      <c r="I203" s="321" t="s">
        <v>840</v>
      </c>
      <c r="J203" s="26">
        <v>2.7E-2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F11:G11"/>
    <mergeCell ref="H11:J11"/>
    <mergeCell ref="F6:G6"/>
    <mergeCell ref="F7:G7"/>
    <mergeCell ref="B8:D8"/>
    <mergeCell ref="F8:G8"/>
    <mergeCell ref="F9:G9"/>
    <mergeCell ref="H9:J9"/>
    <mergeCell ref="F5:G5"/>
    <mergeCell ref="A2:J2"/>
    <mergeCell ref="A4:D4"/>
    <mergeCell ref="F4:J4"/>
    <mergeCell ref="B10:D10"/>
    <mergeCell ref="F10:G10"/>
  </mergeCells>
  <conditionalFormatting sqref="K14:Q203">
    <cfRule type="cellIs" dxfId="38" priority="2" operator="equal">
      <formula>0</formula>
    </cfRule>
    <cfRule type="cellIs" dxfId="37" priority="3" operator="lessThan">
      <formula>0</formula>
    </cfRule>
    <cfRule type="cellIs" dxfId="36" priority="4" operator="greaterThan">
      <formula>0</formula>
    </cfRule>
  </conditionalFormatting>
  <conditionalFormatting sqref="K14:R203">
    <cfRule type="expression" dxfId="35" priority="1">
      <formula>$K14&lt;&gt;""</formula>
    </cfRule>
  </conditionalFormatting>
  <hyperlinks>
    <hyperlink ref="A1" location="Overview!A1" display="Back to Overview" xr:uid="{148BF26A-190E-437F-88E8-E897F6FAE7C1}"/>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7" ht="27.75" customHeight="1" x14ac:dyDescent="0.2">
      <c r="A1" s="32" t="s">
        <v>19</v>
      </c>
      <c r="C1" s="2"/>
      <c r="D1" s="2"/>
      <c r="H1" s="2"/>
      <c r="I1" s="3"/>
      <c r="J1" s="1"/>
    </row>
    <row r="2" spans="1:17" ht="31.5" customHeight="1" x14ac:dyDescent="0.2">
      <c r="A2" s="468" t="str">
        <f>Overview!B4&amp;" - Effective from "&amp;TEXT(Overview!$D$4,"d mmmm yyyy")&amp;" - Final LDNO tariffs in NPG Yorkshire Area (GSP Group_M)"</f>
        <v>Leep Electricity Networks Limited - Effective from 1 April 2026 - Final LDNO tariffs in NPG Yorkshire Area (GSP Group_M)</v>
      </c>
      <c r="B2" s="468"/>
      <c r="C2" s="468"/>
      <c r="D2" s="468"/>
      <c r="E2" s="468"/>
      <c r="F2" s="468"/>
      <c r="G2" s="468"/>
      <c r="H2" s="468"/>
      <c r="I2" s="468"/>
      <c r="J2" s="468"/>
    </row>
    <row r="3" spans="1:17" ht="8.25" customHeight="1" x14ac:dyDescent="0.2">
      <c r="A3" s="47"/>
      <c r="B3" s="47"/>
      <c r="C3" s="47"/>
      <c r="D3" s="47"/>
      <c r="E3" s="47"/>
      <c r="F3" s="47"/>
      <c r="G3" s="47"/>
      <c r="H3" s="47"/>
      <c r="I3" s="47"/>
      <c r="J3" s="47"/>
    </row>
    <row r="4" spans="1:17" ht="27" customHeight="1" x14ac:dyDescent="0.2">
      <c r="A4" s="371" t="s">
        <v>308</v>
      </c>
      <c r="B4" s="371"/>
      <c r="C4" s="371"/>
      <c r="D4" s="371"/>
      <c r="E4" s="51"/>
      <c r="F4" s="371" t="s">
        <v>307</v>
      </c>
      <c r="G4" s="371"/>
      <c r="H4" s="371"/>
      <c r="I4" s="371"/>
      <c r="J4" s="371"/>
    </row>
    <row r="5" spans="1:17" ht="32.25" customHeight="1" x14ac:dyDescent="0.2">
      <c r="A5" s="40" t="s">
        <v>13</v>
      </c>
      <c r="B5" s="258" t="s">
        <v>299</v>
      </c>
      <c r="C5" s="271" t="s">
        <v>300</v>
      </c>
      <c r="D5" s="42" t="s">
        <v>301</v>
      </c>
      <c r="E5" s="46"/>
      <c r="F5" s="368"/>
      <c r="G5" s="369"/>
      <c r="H5" s="44" t="s">
        <v>305</v>
      </c>
      <c r="I5" s="45" t="s">
        <v>306</v>
      </c>
      <c r="J5" s="42" t="s">
        <v>301</v>
      </c>
    </row>
    <row r="6" spans="1:17" ht="56.25" customHeight="1" x14ac:dyDescent="0.2">
      <c r="A6" s="43" t="str">
        <f>'Annex 1 LV and HV charges_M'!A6</f>
        <v>Monday to Friday 
(Including Bank Holidays)
All Year</v>
      </c>
      <c r="B6" s="250" t="str">
        <f>'Annex 1 LV and HV charges_M'!B6</f>
        <v>16:00 to 19:30</v>
      </c>
      <c r="C6" s="250" t="str">
        <f>'Annex 1 LV and HV charges_M'!C6</f>
        <v>08:00 to 16:00
19:30 to 22:00</v>
      </c>
      <c r="D6" s="250" t="str">
        <f>'Annex 1 LV and HV charges_M'!E6</f>
        <v>00:00 to 08:00
22:00 to 24:00</v>
      </c>
      <c r="E6" s="46"/>
      <c r="F6" s="413" t="str">
        <f>'Annex 1 LV and HV charges_M'!G6</f>
        <v>Monday to Friday 
(Including Bank Holidays)
November to February Inclusive</v>
      </c>
      <c r="G6" s="413">
        <f>'Annex 1 LV and HV charges_M'!H6</f>
        <v>0</v>
      </c>
      <c r="H6" s="13" t="str">
        <f>'Annex 1 LV and HV charges_M'!I6</f>
        <v>16:00 to 19:30</v>
      </c>
      <c r="I6" s="250" t="str">
        <f>'Annex 1 LV and HV charges_M'!J6</f>
        <v>08:00 to 16:00
19:30 to 22:00</v>
      </c>
      <c r="J6" s="250" t="str">
        <f>'Annex 1 LV and HV charges_M'!K6</f>
        <v>00:00 to 08:00
22:00 to 24:00</v>
      </c>
    </row>
    <row r="7" spans="1:17" ht="56.25" customHeight="1" x14ac:dyDescent="0.2">
      <c r="A7" s="43" t="str">
        <f>'Annex 1 LV and HV charges_M'!A7</f>
        <v>Saturday and Sunday
All Year</v>
      </c>
      <c r="B7" s="121" t="str">
        <f>'Annex 1 LV and HV charges_M'!B7</f>
        <v/>
      </c>
      <c r="C7" s="121" t="str">
        <f>'Annex 1 LV and HV charges_M'!C7</f>
        <v/>
      </c>
      <c r="D7" s="250" t="str">
        <f>'Annex 1 LV and HV charges_M'!E7</f>
        <v>00:00 to 24:00</v>
      </c>
      <c r="E7" s="46"/>
      <c r="F7" s="413" t="str">
        <f>'Annex 1 LV and HV charges_M'!G7</f>
        <v>Monday to Friday 
(Including Bank Holidays)
April to October Inclusive and March</v>
      </c>
      <c r="G7" s="413">
        <f>'Annex 1 LV and HV charges_M'!H7</f>
        <v>0</v>
      </c>
      <c r="H7" s="121" t="str">
        <f>'Annex 1 LV and HV charges_M'!I7</f>
        <v/>
      </c>
      <c r="I7" s="250" t="str">
        <f>'Annex 1 LV and HV charges_M'!J7</f>
        <v>08:00 to 22:00</v>
      </c>
      <c r="J7" s="250" t="str">
        <f>'Annex 1 LV and HV charges_M'!K7</f>
        <v>00:00 to 08:00
22:00 to 24:00</v>
      </c>
    </row>
    <row r="8" spans="1:17" ht="55.5" customHeight="1" x14ac:dyDescent="0.2">
      <c r="A8" s="259" t="str">
        <f>'Annex 1 LV and HV charges_M'!A8</f>
        <v>Notes</v>
      </c>
      <c r="B8" s="389" t="str">
        <f>'Annex 1 LV and HV charges_M'!B8</f>
        <v>All the above times are in UK Clock time</v>
      </c>
      <c r="C8" s="390">
        <f>'Annex 1 LV and HV charges_M'!C8</f>
        <v>0</v>
      </c>
      <c r="D8" s="391">
        <f>'Annex 1 LV and HV charges_M'!D8</f>
        <v>0</v>
      </c>
      <c r="E8" s="46"/>
      <c r="F8" s="413" t="str">
        <f>'Annex 1 LV and HV charges_M'!G8</f>
        <v>Saturday and Sunday
All year</v>
      </c>
      <c r="G8" s="413">
        <f>'Annex 1 LV and HV charges_M'!H8</f>
        <v>0</v>
      </c>
      <c r="H8" s="121" t="str">
        <f>'Annex 1 LV and HV charges_M'!I8</f>
        <v/>
      </c>
      <c r="I8" s="121" t="str">
        <f>'Annex 1 LV and HV charges_M'!J8</f>
        <v/>
      </c>
      <c r="J8" s="250" t="str">
        <f>'Annex 1 LV and HV charges_M'!K8</f>
        <v>00:00 to 24:00</v>
      </c>
    </row>
    <row r="9" spans="1:17" s="41" customFormat="1" ht="21" customHeight="1" x14ac:dyDescent="0.2">
      <c r="B9" s="46"/>
      <c r="C9" s="46"/>
      <c r="D9" s="46"/>
      <c r="E9" s="48"/>
      <c r="F9" s="412" t="str">
        <f>'Annex 1 LV and HV charges_M'!G9</f>
        <v>Notes</v>
      </c>
      <c r="G9" s="412">
        <f>'Annex 1 LV and HV charges_M'!H9</f>
        <v>0</v>
      </c>
      <c r="H9" s="417" t="str">
        <f>'Annex 1 LV and HV charges_M'!I9</f>
        <v>All the above times are in UK Clock time</v>
      </c>
      <c r="I9" s="417">
        <f>'Annex 1 LV and HV charges_M'!J9</f>
        <v>0</v>
      </c>
      <c r="J9" s="417">
        <f>'Annex 1 LV and HV charges_M'!K9</f>
        <v>0</v>
      </c>
    </row>
    <row r="10" spans="1:17" s="41" customFormat="1" ht="12" customHeight="1" x14ac:dyDescent="0.2">
      <c r="A10" s="46"/>
      <c r="B10" s="46"/>
      <c r="C10" s="46"/>
      <c r="D10" s="46"/>
      <c r="E10" s="46"/>
      <c r="F10" s="49"/>
      <c r="G10" s="49"/>
      <c r="H10" s="50"/>
      <c r="I10" s="50"/>
      <c r="J10" s="50"/>
    </row>
    <row r="11" spans="1:17" s="41" customFormat="1" ht="12" customHeight="1" x14ac:dyDescent="0.2">
      <c r="A11" s="46"/>
      <c r="B11" s="46"/>
      <c r="C11" s="46"/>
      <c r="D11" s="46"/>
      <c r="E11" s="46"/>
      <c r="F11" s="49"/>
      <c r="G11" s="49"/>
      <c r="H11" s="50"/>
      <c r="I11" s="50"/>
      <c r="J11" s="50"/>
    </row>
    <row r="12" spans="1:17" s="41" customFormat="1" ht="12" customHeight="1" x14ac:dyDescent="0.2">
      <c r="A12" s="46"/>
      <c r="B12" s="46"/>
      <c r="C12" s="46"/>
      <c r="D12" s="46"/>
      <c r="E12" s="46"/>
      <c r="F12" s="49"/>
      <c r="G12" s="49"/>
      <c r="H12" s="50"/>
      <c r="I12" s="50"/>
      <c r="J12" s="50"/>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7" customHeight="1" x14ac:dyDescent="0.2">
      <c r="A14" s="324" t="s">
        <v>779</v>
      </c>
      <c r="B14" s="25"/>
      <c r="C14" s="326" t="s">
        <v>845</v>
      </c>
      <c r="D14" s="92">
        <v>4.0339999999999998</v>
      </c>
      <c r="E14" s="93">
        <v>1.081</v>
      </c>
      <c r="F14" s="94">
        <v>0.126</v>
      </c>
      <c r="G14" s="319">
        <v>10.72</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7" customHeight="1" x14ac:dyDescent="0.2">
      <c r="A15" s="324" t="s">
        <v>642</v>
      </c>
      <c r="B15" s="25"/>
      <c r="C15" s="326">
        <v>2</v>
      </c>
      <c r="D15" s="92">
        <v>4.0339999999999998</v>
      </c>
      <c r="E15" s="93">
        <v>1.081</v>
      </c>
      <c r="F15" s="94">
        <v>0.126</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7" customHeight="1" x14ac:dyDescent="0.2">
      <c r="A16" s="324" t="s">
        <v>786</v>
      </c>
      <c r="B16" s="25"/>
      <c r="C16" s="326" t="s">
        <v>846</v>
      </c>
      <c r="D16" s="92">
        <v>4.8540000000000001</v>
      </c>
      <c r="E16" s="93">
        <v>1.3009999999999999</v>
      </c>
      <c r="F16" s="94">
        <v>0.152</v>
      </c>
      <c r="G16" s="319">
        <v>7.2</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846</v>
      </c>
      <c r="D17" s="92">
        <v>4.8540000000000001</v>
      </c>
      <c r="E17" s="93">
        <v>1.3009999999999999</v>
      </c>
      <c r="F17" s="94">
        <v>0.152</v>
      </c>
      <c r="G17" s="319">
        <v>10.6</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846</v>
      </c>
      <c r="D18" s="92">
        <v>4.8540000000000001</v>
      </c>
      <c r="E18" s="93">
        <v>1.3009999999999999</v>
      </c>
      <c r="F18" s="94">
        <v>0.152</v>
      </c>
      <c r="G18" s="319">
        <v>15.68</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846</v>
      </c>
      <c r="D19" s="92">
        <v>4.8540000000000001</v>
      </c>
      <c r="E19" s="93">
        <v>1.3009999999999999</v>
      </c>
      <c r="F19" s="94">
        <v>0.152</v>
      </c>
      <c r="G19" s="319">
        <v>24.94</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846</v>
      </c>
      <c r="D20" s="92">
        <v>4.8540000000000001</v>
      </c>
      <c r="E20" s="93">
        <v>1.3009999999999999</v>
      </c>
      <c r="F20" s="94">
        <v>0.152</v>
      </c>
      <c r="G20" s="319">
        <v>56.53</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4.8540000000000001</v>
      </c>
      <c r="E21" s="93">
        <v>1.3009999999999999</v>
      </c>
      <c r="F21" s="94">
        <v>0.152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3.4649999999999999</v>
      </c>
      <c r="E22" s="93">
        <v>0.90800000000000003</v>
      </c>
      <c r="F22" s="94">
        <v>0.10199999999999999</v>
      </c>
      <c r="G22" s="319">
        <v>9.57</v>
      </c>
      <c r="H22" s="319">
        <v>2.27</v>
      </c>
      <c r="I22" s="322">
        <v>2.27</v>
      </c>
      <c r="J22" s="26">
        <v>7.0000000000000007E-2</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3.4649999999999999</v>
      </c>
      <c r="E23" s="93">
        <v>0.90800000000000003</v>
      </c>
      <c r="F23" s="94">
        <v>0.10199999999999999</v>
      </c>
      <c r="G23" s="319">
        <v>92.03</v>
      </c>
      <c r="H23" s="319">
        <v>2.27</v>
      </c>
      <c r="I23" s="322">
        <v>2.27</v>
      </c>
      <c r="J23" s="26">
        <v>7.0000000000000007E-2</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3.4649999999999999</v>
      </c>
      <c r="E24" s="93">
        <v>0.90800000000000003</v>
      </c>
      <c r="F24" s="94">
        <v>0.10199999999999999</v>
      </c>
      <c r="G24" s="319">
        <v>174.57</v>
      </c>
      <c r="H24" s="319">
        <v>2.27</v>
      </c>
      <c r="I24" s="322">
        <v>2.27</v>
      </c>
      <c r="J24" s="26">
        <v>7.0000000000000007E-2</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3.4649999999999999</v>
      </c>
      <c r="E25" s="93">
        <v>0.90800000000000003</v>
      </c>
      <c r="F25" s="94">
        <v>0.10199999999999999</v>
      </c>
      <c r="G25" s="319">
        <v>257.98</v>
      </c>
      <c r="H25" s="319">
        <v>2.27</v>
      </c>
      <c r="I25" s="322">
        <v>2.27</v>
      </c>
      <c r="J25" s="26">
        <v>7.0000000000000007E-2</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3.4649999999999999</v>
      </c>
      <c r="E26" s="93">
        <v>0.90800000000000003</v>
      </c>
      <c r="F26" s="94">
        <v>0.10199999999999999</v>
      </c>
      <c r="G26" s="319">
        <v>526.87</v>
      </c>
      <c r="H26" s="319">
        <v>2.27</v>
      </c>
      <c r="I26" s="322">
        <v>2.27</v>
      </c>
      <c r="J26" s="26">
        <v>7.0000000000000007E-2</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2110</v>
      </c>
      <c r="D27" s="95">
        <v>12.19</v>
      </c>
      <c r="E27" s="96">
        <v>1.423</v>
      </c>
      <c r="F27" s="94">
        <v>0.52900000000000003</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848</v>
      </c>
      <c r="D28" s="92">
        <v>-4.8949999999999996</v>
      </c>
      <c r="E28" s="93">
        <v>-1.3120000000000001</v>
      </c>
      <c r="F28" s="94">
        <v>-0.153</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-4.8949999999999996</v>
      </c>
      <c r="E29" s="93">
        <v>-1.3120000000000001</v>
      </c>
      <c r="F29" s="94">
        <v>-0.153</v>
      </c>
      <c r="G29" s="319" t="s">
        <v>840</v>
      </c>
      <c r="H29" s="320" t="s">
        <v>840</v>
      </c>
      <c r="I29" s="321" t="s">
        <v>840</v>
      </c>
      <c r="J29" s="26">
        <v>9.0999999999999998E-2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845</v>
      </c>
      <c r="D30" s="92">
        <v>2.7869999999999999</v>
      </c>
      <c r="E30" s="93">
        <v>0.747</v>
      </c>
      <c r="F30" s="94">
        <v>8.6999999999999994E-2</v>
      </c>
      <c r="G30" s="319">
        <v>7.41</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2.7869999999999999</v>
      </c>
      <c r="E31" s="93">
        <v>0.747</v>
      </c>
      <c r="F31" s="94">
        <v>8.6999999999999994E-2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846</v>
      </c>
      <c r="D32" s="92">
        <v>3.3530000000000002</v>
      </c>
      <c r="E32" s="93">
        <v>0.89900000000000002</v>
      </c>
      <c r="F32" s="94">
        <v>0.105</v>
      </c>
      <c r="G32" s="319">
        <v>4.9800000000000004</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846</v>
      </c>
      <c r="D33" s="92">
        <v>3.3530000000000002</v>
      </c>
      <c r="E33" s="93">
        <v>0.89900000000000002</v>
      </c>
      <c r="F33" s="94">
        <v>0.105</v>
      </c>
      <c r="G33" s="319">
        <v>7.32</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846</v>
      </c>
      <c r="D34" s="92">
        <v>3.3530000000000002</v>
      </c>
      <c r="E34" s="93">
        <v>0.89900000000000002</v>
      </c>
      <c r="F34" s="94">
        <v>0.105</v>
      </c>
      <c r="G34" s="319">
        <v>10.83</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846</v>
      </c>
      <c r="D35" s="92">
        <v>3.3530000000000002</v>
      </c>
      <c r="E35" s="93">
        <v>0.89900000000000002</v>
      </c>
      <c r="F35" s="94">
        <v>0.105</v>
      </c>
      <c r="G35" s="319">
        <v>17.23</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846</v>
      </c>
      <c r="D36" s="92">
        <v>3.3530000000000002</v>
      </c>
      <c r="E36" s="93">
        <v>0.89900000000000002</v>
      </c>
      <c r="F36" s="94">
        <v>0.105</v>
      </c>
      <c r="G36" s="319">
        <v>39.049999999999997</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3.3530000000000002</v>
      </c>
      <c r="E37" s="93">
        <v>0.89900000000000002</v>
      </c>
      <c r="F37" s="94">
        <v>0.105</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2.3940000000000001</v>
      </c>
      <c r="E38" s="93">
        <v>0.627</v>
      </c>
      <c r="F38" s="94">
        <v>7.0000000000000007E-2</v>
      </c>
      <c r="G38" s="319">
        <v>6.61</v>
      </c>
      <c r="H38" s="319">
        <v>1.57</v>
      </c>
      <c r="I38" s="322">
        <v>1.57</v>
      </c>
      <c r="J38" s="26">
        <v>4.9000000000000002E-2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2.3940000000000001</v>
      </c>
      <c r="E39" s="93">
        <v>0.627</v>
      </c>
      <c r="F39" s="94">
        <v>7.0000000000000007E-2</v>
      </c>
      <c r="G39" s="319">
        <v>63.58</v>
      </c>
      <c r="H39" s="319">
        <v>1.57</v>
      </c>
      <c r="I39" s="322">
        <v>1.57</v>
      </c>
      <c r="J39" s="26">
        <v>4.9000000000000002E-2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2.3940000000000001</v>
      </c>
      <c r="E40" s="93">
        <v>0.627</v>
      </c>
      <c r="F40" s="94">
        <v>7.0000000000000007E-2</v>
      </c>
      <c r="G40" s="319">
        <v>120.6</v>
      </c>
      <c r="H40" s="319">
        <v>1.57</v>
      </c>
      <c r="I40" s="322">
        <v>1.57</v>
      </c>
      <c r="J40" s="26">
        <v>4.9000000000000002E-2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2.3940000000000001</v>
      </c>
      <c r="E41" s="93">
        <v>0.627</v>
      </c>
      <c r="F41" s="94">
        <v>7.0000000000000007E-2</v>
      </c>
      <c r="G41" s="319">
        <v>178.22</v>
      </c>
      <c r="H41" s="319">
        <v>1.57</v>
      </c>
      <c r="I41" s="322">
        <v>1.57</v>
      </c>
      <c r="J41" s="26">
        <v>4.9000000000000002E-2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2.3940000000000001</v>
      </c>
      <c r="E42" s="93">
        <v>0.627</v>
      </c>
      <c r="F42" s="94">
        <v>7.0000000000000007E-2</v>
      </c>
      <c r="G42" s="319">
        <v>363.97</v>
      </c>
      <c r="H42" s="319">
        <v>1.57</v>
      </c>
      <c r="I42" s="322">
        <v>1.57</v>
      </c>
      <c r="J42" s="26">
        <v>4.9000000000000002E-2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2.5779999999999998</v>
      </c>
      <c r="E43" s="93">
        <v>0.64</v>
      </c>
      <c r="F43" s="94">
        <v>6.5000000000000002E-2</v>
      </c>
      <c r="G43" s="319">
        <v>11.18</v>
      </c>
      <c r="H43" s="319">
        <v>2.13</v>
      </c>
      <c r="I43" s="322">
        <v>2.13</v>
      </c>
      <c r="J43" s="26">
        <v>4.7E-2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2.5779999999999998</v>
      </c>
      <c r="E44" s="93">
        <v>0.64</v>
      </c>
      <c r="F44" s="94">
        <v>6.5000000000000002E-2</v>
      </c>
      <c r="G44" s="319">
        <v>107.44</v>
      </c>
      <c r="H44" s="319">
        <v>2.13</v>
      </c>
      <c r="I44" s="322">
        <v>2.13</v>
      </c>
      <c r="J44" s="26">
        <v>4.7E-2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2.5779999999999998</v>
      </c>
      <c r="E45" s="93">
        <v>0.64</v>
      </c>
      <c r="F45" s="94">
        <v>6.5000000000000002E-2</v>
      </c>
      <c r="G45" s="319">
        <v>203.81</v>
      </c>
      <c r="H45" s="319">
        <v>2.13</v>
      </c>
      <c r="I45" s="322">
        <v>2.13</v>
      </c>
      <c r="J45" s="26">
        <v>4.7E-2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2.5779999999999998</v>
      </c>
      <c r="E46" s="93">
        <v>0.64</v>
      </c>
      <c r="F46" s="94">
        <v>6.5000000000000002E-2</v>
      </c>
      <c r="G46" s="319">
        <v>301.18</v>
      </c>
      <c r="H46" s="319">
        <v>2.13</v>
      </c>
      <c r="I46" s="322">
        <v>2.13</v>
      </c>
      <c r="J46" s="26">
        <v>4.7E-2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2.5779999999999998</v>
      </c>
      <c r="E47" s="93">
        <v>0.64</v>
      </c>
      <c r="F47" s="94">
        <v>6.5000000000000002E-2</v>
      </c>
      <c r="G47" s="319">
        <v>615.11</v>
      </c>
      <c r="H47" s="319">
        <v>2.13</v>
      </c>
      <c r="I47" s="322">
        <v>2.13</v>
      </c>
      <c r="J47" s="26">
        <v>4.7E-2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2.1869999999999998</v>
      </c>
      <c r="E48" s="93">
        <v>0.51200000000000001</v>
      </c>
      <c r="F48" s="94">
        <v>4.4999999999999998E-2</v>
      </c>
      <c r="G48" s="319">
        <v>366.83</v>
      </c>
      <c r="H48" s="319">
        <v>3.29</v>
      </c>
      <c r="I48" s="322">
        <v>3.29</v>
      </c>
      <c r="J48" s="26">
        <v>3.5999999999999997E-2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2.1869999999999998</v>
      </c>
      <c r="E49" s="93">
        <v>0.51200000000000001</v>
      </c>
      <c r="F49" s="94">
        <v>4.4999999999999998E-2</v>
      </c>
      <c r="G49" s="319">
        <v>1088.72</v>
      </c>
      <c r="H49" s="319">
        <v>3.29</v>
      </c>
      <c r="I49" s="322">
        <v>3.29</v>
      </c>
      <c r="J49" s="26">
        <v>3.5999999999999997E-2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2.1869999999999998</v>
      </c>
      <c r="E50" s="93">
        <v>0.51200000000000001</v>
      </c>
      <c r="F50" s="94">
        <v>4.4999999999999998E-2</v>
      </c>
      <c r="G50" s="319">
        <v>2530.1999999999998</v>
      </c>
      <c r="H50" s="319">
        <v>3.29</v>
      </c>
      <c r="I50" s="322">
        <v>3.29</v>
      </c>
      <c r="J50" s="26">
        <v>3.5999999999999997E-2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2.1869999999999998</v>
      </c>
      <c r="E51" s="93">
        <v>0.51200000000000001</v>
      </c>
      <c r="F51" s="94">
        <v>4.4999999999999998E-2</v>
      </c>
      <c r="G51" s="319">
        <v>4790.6499999999996</v>
      </c>
      <c r="H51" s="319">
        <v>3.29</v>
      </c>
      <c r="I51" s="322">
        <v>3.29</v>
      </c>
      <c r="J51" s="26">
        <v>3.5999999999999997E-2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v>2.1869999999999998</v>
      </c>
      <c r="E52" s="93">
        <v>0.51200000000000001</v>
      </c>
      <c r="F52" s="94">
        <v>4.4999999999999998E-2</v>
      </c>
      <c r="G52" s="319">
        <v>11153.86</v>
      </c>
      <c r="H52" s="319">
        <v>3.29</v>
      </c>
      <c r="I52" s="322">
        <v>3.29</v>
      </c>
      <c r="J52" s="26">
        <v>3.5999999999999997E-2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2110</v>
      </c>
      <c r="D53" s="95">
        <v>8.4209999999999994</v>
      </c>
      <c r="E53" s="96">
        <v>0.98299999999999998</v>
      </c>
      <c r="F53" s="94">
        <v>0.36599999999999999</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848</v>
      </c>
      <c r="D54" s="92">
        <v>-4.8949999999999996</v>
      </c>
      <c r="E54" s="93">
        <v>-1.3120000000000001</v>
      </c>
      <c r="F54" s="94">
        <v>-0.153</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v>8</v>
      </c>
      <c r="D55" s="92">
        <v>-4.0460000000000003</v>
      </c>
      <c r="E55" s="93">
        <v>-1.07</v>
      </c>
      <c r="F55" s="94">
        <v>-0.122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-4.8949999999999996</v>
      </c>
      <c r="E56" s="93">
        <v>-1.3120000000000001</v>
      </c>
      <c r="F56" s="94">
        <v>-0.153</v>
      </c>
      <c r="G56" s="319" t="s">
        <v>840</v>
      </c>
      <c r="H56" s="320" t="s">
        <v>840</v>
      </c>
      <c r="I56" s="321" t="s">
        <v>840</v>
      </c>
      <c r="J56" s="26">
        <v>9.0999999999999998E-2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-4.0460000000000003</v>
      </c>
      <c r="E57" s="93">
        <v>-1.07</v>
      </c>
      <c r="F57" s="94">
        <v>-0.122</v>
      </c>
      <c r="G57" s="319" t="s">
        <v>840</v>
      </c>
      <c r="H57" s="320" t="s">
        <v>840</v>
      </c>
      <c r="I57" s="321" t="s">
        <v>840</v>
      </c>
      <c r="J57" s="26">
        <v>8.3000000000000004E-2</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-2.8260000000000001</v>
      </c>
      <c r="E58" s="93">
        <v>-0.70199999999999996</v>
      </c>
      <c r="F58" s="94">
        <v>-7.0999999999999994E-2</v>
      </c>
      <c r="G58" s="319" t="s">
        <v>840</v>
      </c>
      <c r="H58" s="320" t="s">
        <v>840</v>
      </c>
      <c r="I58" s="321" t="s">
        <v>840</v>
      </c>
      <c r="J58" s="26">
        <v>7.2999999999999995E-2</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845</v>
      </c>
      <c r="D59" s="92">
        <v>1.913</v>
      </c>
      <c r="E59" s="93">
        <v>0.51300000000000001</v>
      </c>
      <c r="F59" s="94">
        <v>0.06</v>
      </c>
      <c r="G59" s="319">
        <v>5.08</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1.913</v>
      </c>
      <c r="E60" s="93">
        <v>0.51300000000000001</v>
      </c>
      <c r="F60" s="94">
        <v>0.06</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846</v>
      </c>
      <c r="D61" s="92">
        <v>2.302</v>
      </c>
      <c r="E61" s="93">
        <v>0.61699999999999999</v>
      </c>
      <c r="F61" s="94">
        <v>7.1999999999999995E-2</v>
      </c>
      <c r="G61" s="319">
        <v>3.42</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846</v>
      </c>
      <c r="D62" s="92">
        <v>2.302</v>
      </c>
      <c r="E62" s="93">
        <v>0.61699999999999999</v>
      </c>
      <c r="F62" s="94">
        <v>7.1999999999999995E-2</v>
      </c>
      <c r="G62" s="319">
        <v>5.03</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846</v>
      </c>
      <c r="D63" s="92">
        <v>2.302</v>
      </c>
      <c r="E63" s="93">
        <v>0.61699999999999999</v>
      </c>
      <c r="F63" s="94">
        <v>7.1999999999999995E-2</v>
      </c>
      <c r="G63" s="319">
        <v>7.44</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846</v>
      </c>
      <c r="D64" s="92">
        <v>2.302</v>
      </c>
      <c r="E64" s="93">
        <v>0.61699999999999999</v>
      </c>
      <c r="F64" s="94">
        <v>7.1999999999999995E-2</v>
      </c>
      <c r="G64" s="319">
        <v>11.83</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846</v>
      </c>
      <c r="D65" s="92">
        <v>2.302</v>
      </c>
      <c r="E65" s="93">
        <v>0.61699999999999999</v>
      </c>
      <c r="F65" s="94">
        <v>7.1999999999999995E-2</v>
      </c>
      <c r="G65" s="319">
        <v>26.81</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2.302</v>
      </c>
      <c r="E66" s="93">
        <v>0.61699999999999999</v>
      </c>
      <c r="F66" s="94">
        <v>7.1999999999999995E-2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1.643</v>
      </c>
      <c r="E67" s="93">
        <v>0.43099999999999999</v>
      </c>
      <c r="F67" s="94">
        <v>4.8000000000000001E-2</v>
      </c>
      <c r="G67" s="319">
        <v>4.54</v>
      </c>
      <c r="H67" s="319">
        <v>1.08</v>
      </c>
      <c r="I67" s="322">
        <v>1.08</v>
      </c>
      <c r="J67" s="26">
        <v>3.3000000000000002E-2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1.643</v>
      </c>
      <c r="E68" s="93">
        <v>0.43099999999999999</v>
      </c>
      <c r="F68" s="94">
        <v>4.8000000000000001E-2</v>
      </c>
      <c r="G68" s="319">
        <v>43.64</v>
      </c>
      <c r="H68" s="319">
        <v>1.08</v>
      </c>
      <c r="I68" s="322">
        <v>1.08</v>
      </c>
      <c r="J68" s="26">
        <v>3.3000000000000002E-2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1.643</v>
      </c>
      <c r="E69" s="93">
        <v>0.43099999999999999</v>
      </c>
      <c r="F69" s="94">
        <v>4.8000000000000001E-2</v>
      </c>
      <c r="G69" s="319">
        <v>82.78</v>
      </c>
      <c r="H69" s="319">
        <v>1.08</v>
      </c>
      <c r="I69" s="322">
        <v>1.08</v>
      </c>
      <c r="J69" s="26">
        <v>3.3000000000000002E-2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1.643</v>
      </c>
      <c r="E70" s="93">
        <v>0.43099999999999999</v>
      </c>
      <c r="F70" s="94">
        <v>4.8000000000000001E-2</v>
      </c>
      <c r="G70" s="319">
        <v>122.34</v>
      </c>
      <c r="H70" s="319">
        <v>1.08</v>
      </c>
      <c r="I70" s="322">
        <v>1.08</v>
      </c>
      <c r="J70" s="26">
        <v>3.3000000000000002E-2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1.643</v>
      </c>
      <c r="E71" s="93">
        <v>0.43099999999999999</v>
      </c>
      <c r="F71" s="94">
        <v>4.8000000000000001E-2</v>
      </c>
      <c r="G71" s="319">
        <v>249.85</v>
      </c>
      <c r="H71" s="319">
        <v>1.08</v>
      </c>
      <c r="I71" s="322">
        <v>1.08</v>
      </c>
      <c r="J71" s="26">
        <v>3.3000000000000002E-2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1.746</v>
      </c>
      <c r="E72" s="93">
        <v>0.434</v>
      </c>
      <c r="F72" s="94">
        <v>4.3999999999999997E-2</v>
      </c>
      <c r="G72" s="319">
        <v>7.57</v>
      </c>
      <c r="H72" s="319">
        <v>1.44</v>
      </c>
      <c r="I72" s="322">
        <v>1.44</v>
      </c>
      <c r="J72" s="26">
        <v>3.2000000000000001E-2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1.746</v>
      </c>
      <c r="E73" s="93">
        <v>0.434</v>
      </c>
      <c r="F73" s="94">
        <v>4.3999999999999997E-2</v>
      </c>
      <c r="G73" s="319">
        <v>72.760000000000005</v>
      </c>
      <c r="H73" s="319">
        <v>1.44</v>
      </c>
      <c r="I73" s="322">
        <v>1.44</v>
      </c>
      <c r="J73" s="26">
        <v>3.2000000000000001E-2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1.746</v>
      </c>
      <c r="E74" s="93">
        <v>0.434</v>
      </c>
      <c r="F74" s="94">
        <v>4.3999999999999997E-2</v>
      </c>
      <c r="G74" s="319">
        <v>138.02000000000001</v>
      </c>
      <c r="H74" s="319">
        <v>1.44</v>
      </c>
      <c r="I74" s="322">
        <v>1.44</v>
      </c>
      <c r="J74" s="26">
        <v>3.2000000000000001E-2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1.746</v>
      </c>
      <c r="E75" s="93">
        <v>0.434</v>
      </c>
      <c r="F75" s="94">
        <v>4.3999999999999997E-2</v>
      </c>
      <c r="G75" s="319">
        <v>203.96</v>
      </c>
      <c r="H75" s="319">
        <v>1.44</v>
      </c>
      <c r="I75" s="322">
        <v>1.44</v>
      </c>
      <c r="J75" s="26">
        <v>3.2000000000000001E-2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1.746</v>
      </c>
      <c r="E76" s="93">
        <v>0.434</v>
      </c>
      <c r="F76" s="94">
        <v>4.3999999999999997E-2</v>
      </c>
      <c r="G76" s="319">
        <v>416.55</v>
      </c>
      <c r="H76" s="319">
        <v>1.44</v>
      </c>
      <c r="I76" s="322">
        <v>1.44</v>
      </c>
      <c r="J76" s="26">
        <v>3.2000000000000001E-2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1.464</v>
      </c>
      <c r="E77" s="93">
        <v>0.34300000000000003</v>
      </c>
      <c r="F77" s="94">
        <v>0.03</v>
      </c>
      <c r="G77" s="319">
        <v>245.63</v>
      </c>
      <c r="H77" s="319">
        <v>2.2000000000000002</v>
      </c>
      <c r="I77" s="322">
        <v>2.2000000000000002</v>
      </c>
      <c r="J77" s="26">
        <v>2.4E-2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1.464</v>
      </c>
      <c r="E78" s="93">
        <v>0.34300000000000003</v>
      </c>
      <c r="F78" s="94">
        <v>0.03</v>
      </c>
      <c r="G78" s="319">
        <v>729.01</v>
      </c>
      <c r="H78" s="319">
        <v>2.2000000000000002</v>
      </c>
      <c r="I78" s="322">
        <v>2.2000000000000002</v>
      </c>
      <c r="J78" s="26">
        <v>2.4E-2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1.464</v>
      </c>
      <c r="E79" s="93">
        <v>0.34300000000000003</v>
      </c>
      <c r="F79" s="94">
        <v>0.03</v>
      </c>
      <c r="G79" s="319">
        <v>1694.24</v>
      </c>
      <c r="H79" s="319">
        <v>2.2000000000000002</v>
      </c>
      <c r="I79" s="322">
        <v>2.2000000000000002</v>
      </c>
      <c r="J79" s="26">
        <v>2.4E-2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1.464</v>
      </c>
      <c r="E80" s="93">
        <v>0.34300000000000003</v>
      </c>
      <c r="F80" s="94">
        <v>0.03</v>
      </c>
      <c r="G80" s="319">
        <v>3207.85</v>
      </c>
      <c r="H80" s="319">
        <v>2.2000000000000002</v>
      </c>
      <c r="I80" s="322">
        <v>2.2000000000000002</v>
      </c>
      <c r="J80" s="26">
        <v>2.4E-2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v>1.464</v>
      </c>
      <c r="E81" s="93">
        <v>0.34300000000000003</v>
      </c>
      <c r="F81" s="94">
        <v>0.03</v>
      </c>
      <c r="G81" s="319">
        <v>7468.7</v>
      </c>
      <c r="H81" s="319">
        <v>2.2000000000000002</v>
      </c>
      <c r="I81" s="322">
        <v>2.2000000000000002</v>
      </c>
      <c r="J81" s="26">
        <v>2.4E-2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2110</v>
      </c>
      <c r="D82" s="95">
        <v>5.7809999999999997</v>
      </c>
      <c r="E82" s="96">
        <v>0.67500000000000004</v>
      </c>
      <c r="F82" s="94">
        <v>0.251</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848</v>
      </c>
      <c r="D83" s="92">
        <v>-2.3010000000000002</v>
      </c>
      <c r="E83" s="93">
        <v>-0.61699999999999999</v>
      </c>
      <c r="F83" s="94">
        <v>-7.1999999999999995E-2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v>8</v>
      </c>
      <c r="D84" s="92">
        <v>-2.3570000000000002</v>
      </c>
      <c r="E84" s="93">
        <v>-0.623</v>
      </c>
      <c r="F84" s="94">
        <v>-7.0999999999999994E-2</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-2.3010000000000002</v>
      </c>
      <c r="E85" s="93">
        <v>-0.61699999999999999</v>
      </c>
      <c r="F85" s="94">
        <v>-7.1999999999999995E-2</v>
      </c>
      <c r="G85" s="319" t="s">
        <v>840</v>
      </c>
      <c r="H85" s="320" t="s">
        <v>840</v>
      </c>
      <c r="I85" s="321" t="s">
        <v>840</v>
      </c>
      <c r="J85" s="26">
        <v>4.2999999999999997E-2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-2.3570000000000002</v>
      </c>
      <c r="E86" s="93">
        <v>-0.623</v>
      </c>
      <c r="F86" s="94">
        <v>-7.0999999999999994E-2</v>
      </c>
      <c r="G86" s="319" t="s">
        <v>840</v>
      </c>
      <c r="H86" s="320" t="s">
        <v>840</v>
      </c>
      <c r="I86" s="321" t="s">
        <v>840</v>
      </c>
      <c r="J86" s="26">
        <v>4.8000000000000001E-2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-2.8260000000000001</v>
      </c>
      <c r="E87" s="93">
        <v>-0.70199999999999996</v>
      </c>
      <c r="F87" s="94">
        <v>-7.0999999999999994E-2</v>
      </c>
      <c r="G87" s="319">
        <v>93.7</v>
      </c>
      <c r="H87" s="320" t="s">
        <v>840</v>
      </c>
      <c r="I87" s="321" t="s">
        <v>840</v>
      </c>
      <c r="J87" s="26">
        <v>7.2999999999999995E-2</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845</v>
      </c>
      <c r="D88" s="92">
        <v>1.325</v>
      </c>
      <c r="E88" s="93">
        <v>0.35499999999999998</v>
      </c>
      <c r="F88" s="94">
        <v>4.1000000000000002E-2</v>
      </c>
      <c r="G88" s="319">
        <v>3.52</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1.325</v>
      </c>
      <c r="E89" s="93">
        <v>0.35499999999999998</v>
      </c>
      <c r="F89" s="94">
        <v>4.1000000000000002E-2</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846</v>
      </c>
      <c r="D90" s="92">
        <v>1.5940000000000001</v>
      </c>
      <c r="E90" s="93">
        <v>0.42699999999999999</v>
      </c>
      <c r="F90" s="94">
        <v>0.05</v>
      </c>
      <c r="G90" s="319">
        <v>2.36</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846</v>
      </c>
      <c r="D91" s="92">
        <v>1.5940000000000001</v>
      </c>
      <c r="E91" s="93">
        <v>0.42699999999999999</v>
      </c>
      <c r="F91" s="94">
        <v>0.05</v>
      </c>
      <c r="G91" s="319">
        <v>3.48</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846</v>
      </c>
      <c r="D92" s="92">
        <v>1.5940000000000001</v>
      </c>
      <c r="E92" s="93">
        <v>0.42699999999999999</v>
      </c>
      <c r="F92" s="94">
        <v>0.05</v>
      </c>
      <c r="G92" s="319">
        <v>5.15</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846</v>
      </c>
      <c r="D93" s="92">
        <v>1.5940000000000001</v>
      </c>
      <c r="E93" s="93">
        <v>0.42699999999999999</v>
      </c>
      <c r="F93" s="94">
        <v>0.05</v>
      </c>
      <c r="G93" s="319">
        <v>8.19</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846</v>
      </c>
      <c r="D94" s="92">
        <v>1.5940000000000001</v>
      </c>
      <c r="E94" s="93">
        <v>0.42699999999999999</v>
      </c>
      <c r="F94" s="94">
        <v>0.05</v>
      </c>
      <c r="G94" s="319">
        <v>18.559999999999999</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1.5940000000000001</v>
      </c>
      <c r="E95" s="93">
        <v>0.42699999999999999</v>
      </c>
      <c r="F95" s="94">
        <v>0.05</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1.1379999999999999</v>
      </c>
      <c r="E96" s="93">
        <v>0.29799999999999999</v>
      </c>
      <c r="F96" s="94">
        <v>3.4000000000000002E-2</v>
      </c>
      <c r="G96" s="319">
        <v>3.14</v>
      </c>
      <c r="H96" s="319">
        <v>0.75</v>
      </c>
      <c r="I96" s="322">
        <v>0.75</v>
      </c>
      <c r="J96" s="26">
        <v>2.3E-2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1.1379999999999999</v>
      </c>
      <c r="E97" s="93">
        <v>0.29799999999999999</v>
      </c>
      <c r="F97" s="94">
        <v>3.4000000000000002E-2</v>
      </c>
      <c r="G97" s="319">
        <v>30.22</v>
      </c>
      <c r="H97" s="319">
        <v>0.75</v>
      </c>
      <c r="I97" s="322">
        <v>0.75</v>
      </c>
      <c r="J97" s="26">
        <v>2.3E-2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1.1379999999999999</v>
      </c>
      <c r="E98" s="93">
        <v>0.29799999999999999</v>
      </c>
      <c r="F98" s="94">
        <v>3.4000000000000002E-2</v>
      </c>
      <c r="G98" s="319">
        <v>57.32</v>
      </c>
      <c r="H98" s="319">
        <v>0.75</v>
      </c>
      <c r="I98" s="322">
        <v>0.75</v>
      </c>
      <c r="J98" s="26">
        <v>2.3E-2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1.1379999999999999</v>
      </c>
      <c r="E99" s="93">
        <v>0.29799999999999999</v>
      </c>
      <c r="F99" s="94">
        <v>3.4000000000000002E-2</v>
      </c>
      <c r="G99" s="319">
        <v>84.71</v>
      </c>
      <c r="H99" s="319">
        <v>0.75</v>
      </c>
      <c r="I99" s="322">
        <v>0.75</v>
      </c>
      <c r="J99" s="26">
        <v>2.3E-2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1.1379999999999999</v>
      </c>
      <c r="E100" s="93">
        <v>0.29799999999999999</v>
      </c>
      <c r="F100" s="94">
        <v>3.4000000000000002E-2</v>
      </c>
      <c r="G100" s="319">
        <v>173</v>
      </c>
      <c r="H100" s="319">
        <v>0.75</v>
      </c>
      <c r="I100" s="322">
        <v>0.75</v>
      </c>
      <c r="J100" s="26">
        <v>2.3E-2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1.2090000000000001</v>
      </c>
      <c r="E101" s="93">
        <v>0.3</v>
      </c>
      <c r="F101" s="94">
        <v>0.03</v>
      </c>
      <c r="G101" s="319">
        <v>5.24</v>
      </c>
      <c r="H101" s="319">
        <v>1</v>
      </c>
      <c r="I101" s="322">
        <v>1</v>
      </c>
      <c r="J101" s="26">
        <v>2.1999999999999999E-2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1.2090000000000001</v>
      </c>
      <c r="E102" s="93">
        <v>0.3</v>
      </c>
      <c r="F102" s="94">
        <v>0.03</v>
      </c>
      <c r="G102" s="319">
        <v>50.38</v>
      </c>
      <c r="H102" s="319">
        <v>1</v>
      </c>
      <c r="I102" s="322">
        <v>1</v>
      </c>
      <c r="J102" s="26">
        <v>2.1999999999999999E-2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1.2090000000000001</v>
      </c>
      <c r="E103" s="93">
        <v>0.3</v>
      </c>
      <c r="F103" s="94">
        <v>0.03</v>
      </c>
      <c r="G103" s="319">
        <v>95.57</v>
      </c>
      <c r="H103" s="319">
        <v>1</v>
      </c>
      <c r="I103" s="322">
        <v>1</v>
      </c>
      <c r="J103" s="26">
        <v>2.1999999999999999E-2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1.2090000000000001</v>
      </c>
      <c r="E104" s="93">
        <v>0.3</v>
      </c>
      <c r="F104" s="94">
        <v>0.03</v>
      </c>
      <c r="G104" s="319">
        <v>141.22999999999999</v>
      </c>
      <c r="H104" s="319">
        <v>1</v>
      </c>
      <c r="I104" s="322">
        <v>1</v>
      </c>
      <c r="J104" s="26">
        <v>2.1999999999999999E-2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1.2090000000000001</v>
      </c>
      <c r="E105" s="93">
        <v>0.3</v>
      </c>
      <c r="F105" s="94">
        <v>0.03</v>
      </c>
      <c r="G105" s="319">
        <v>288.43</v>
      </c>
      <c r="H105" s="319">
        <v>1</v>
      </c>
      <c r="I105" s="322">
        <v>1</v>
      </c>
      <c r="J105" s="26">
        <v>2.1999999999999999E-2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1.014</v>
      </c>
      <c r="E106" s="93">
        <v>0.23699999999999999</v>
      </c>
      <c r="F106" s="94">
        <v>2.1000000000000001E-2</v>
      </c>
      <c r="G106" s="319">
        <v>170.08</v>
      </c>
      <c r="H106" s="319">
        <v>1.53</v>
      </c>
      <c r="I106" s="322">
        <v>1.53</v>
      </c>
      <c r="J106" s="26">
        <v>1.7000000000000001E-2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1.014</v>
      </c>
      <c r="E107" s="93">
        <v>0.23699999999999999</v>
      </c>
      <c r="F107" s="94">
        <v>2.1000000000000001E-2</v>
      </c>
      <c r="G107" s="319">
        <v>504.79</v>
      </c>
      <c r="H107" s="319">
        <v>1.53</v>
      </c>
      <c r="I107" s="322">
        <v>1.53</v>
      </c>
      <c r="J107" s="26">
        <v>1.7000000000000001E-2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1.014</v>
      </c>
      <c r="E108" s="93">
        <v>0.23699999999999999</v>
      </c>
      <c r="F108" s="94">
        <v>2.1000000000000001E-2</v>
      </c>
      <c r="G108" s="319">
        <v>1173.1500000000001</v>
      </c>
      <c r="H108" s="319">
        <v>1.53</v>
      </c>
      <c r="I108" s="322">
        <v>1.53</v>
      </c>
      <c r="J108" s="26">
        <v>1.7000000000000001E-2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1.014</v>
      </c>
      <c r="E109" s="93">
        <v>0.23699999999999999</v>
      </c>
      <c r="F109" s="94">
        <v>2.1000000000000001E-2</v>
      </c>
      <c r="G109" s="319">
        <v>2221.23</v>
      </c>
      <c r="H109" s="319">
        <v>1.53</v>
      </c>
      <c r="I109" s="322">
        <v>1.53</v>
      </c>
      <c r="J109" s="26">
        <v>1.7000000000000001E-2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v>1.014</v>
      </c>
      <c r="E110" s="93">
        <v>0.23699999999999999</v>
      </c>
      <c r="F110" s="94">
        <v>2.1000000000000001E-2</v>
      </c>
      <c r="G110" s="319">
        <v>5171.59</v>
      </c>
      <c r="H110" s="319">
        <v>1.53</v>
      </c>
      <c r="I110" s="322">
        <v>1.53</v>
      </c>
      <c r="J110" s="26">
        <v>1.7000000000000001E-2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2110</v>
      </c>
      <c r="D111" s="95">
        <v>4.0030000000000001</v>
      </c>
      <c r="E111" s="96">
        <v>0.46700000000000003</v>
      </c>
      <c r="F111" s="94">
        <v>0.17399999999999999</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848</v>
      </c>
      <c r="D112" s="92">
        <v>-1.593</v>
      </c>
      <c r="E112" s="93">
        <v>-0.42699999999999999</v>
      </c>
      <c r="F112" s="94">
        <v>-0.05</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v>8</v>
      </c>
      <c r="D113" s="92">
        <v>-1.6319999999999999</v>
      </c>
      <c r="E113" s="93">
        <v>-0.432</v>
      </c>
      <c r="F113" s="94">
        <v>-4.9000000000000002E-2</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-1.593</v>
      </c>
      <c r="E114" s="93">
        <v>-0.42699999999999999</v>
      </c>
      <c r="F114" s="94">
        <v>-0.05</v>
      </c>
      <c r="G114" s="319" t="s">
        <v>840</v>
      </c>
      <c r="H114" s="320" t="s">
        <v>840</v>
      </c>
      <c r="I114" s="321" t="s">
        <v>840</v>
      </c>
      <c r="J114" s="26">
        <v>0.03</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-1.6319999999999999</v>
      </c>
      <c r="E115" s="93">
        <v>-0.432</v>
      </c>
      <c r="F115" s="94">
        <v>-4.9000000000000002E-2</v>
      </c>
      <c r="G115" s="319" t="s">
        <v>840</v>
      </c>
      <c r="H115" s="320" t="s">
        <v>840</v>
      </c>
      <c r="I115" s="321" t="s">
        <v>840</v>
      </c>
      <c r="J115" s="26">
        <v>3.3000000000000002E-2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-1.9570000000000001</v>
      </c>
      <c r="E116" s="93">
        <v>-0.48599999999999999</v>
      </c>
      <c r="F116" s="94">
        <v>-4.9000000000000002E-2</v>
      </c>
      <c r="G116" s="319">
        <v>64.88</v>
      </c>
      <c r="H116" s="320" t="s">
        <v>840</v>
      </c>
      <c r="I116" s="321" t="s">
        <v>840</v>
      </c>
      <c r="J116" s="26">
        <v>0.05</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845</v>
      </c>
      <c r="D117" s="92">
        <v>0.89200000000000002</v>
      </c>
      <c r="E117" s="93">
        <v>0.23899999999999999</v>
      </c>
      <c r="F117" s="94">
        <v>2.8000000000000001E-2</v>
      </c>
      <c r="G117" s="319">
        <v>2.37</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0.89200000000000002</v>
      </c>
      <c r="E118" s="93">
        <v>0.23899999999999999</v>
      </c>
      <c r="F118" s="94">
        <v>2.8000000000000001E-2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846</v>
      </c>
      <c r="D119" s="92">
        <v>1.073</v>
      </c>
      <c r="E119" s="93">
        <v>0.28799999999999998</v>
      </c>
      <c r="F119" s="94">
        <v>3.4000000000000002E-2</v>
      </c>
      <c r="G119" s="319">
        <v>1.59</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846</v>
      </c>
      <c r="D120" s="92">
        <v>1.073</v>
      </c>
      <c r="E120" s="93">
        <v>0.28799999999999998</v>
      </c>
      <c r="F120" s="94">
        <v>3.4000000000000002E-2</v>
      </c>
      <c r="G120" s="319">
        <v>2.34</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846</v>
      </c>
      <c r="D121" s="92">
        <v>1.073</v>
      </c>
      <c r="E121" s="93">
        <v>0.28799999999999998</v>
      </c>
      <c r="F121" s="94">
        <v>3.4000000000000002E-2</v>
      </c>
      <c r="G121" s="319">
        <v>3.47</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846</v>
      </c>
      <c r="D122" s="92">
        <v>1.073</v>
      </c>
      <c r="E122" s="93">
        <v>0.28799999999999998</v>
      </c>
      <c r="F122" s="94">
        <v>3.4000000000000002E-2</v>
      </c>
      <c r="G122" s="319">
        <v>5.51</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846</v>
      </c>
      <c r="D123" s="92">
        <v>1.073</v>
      </c>
      <c r="E123" s="93">
        <v>0.28799999999999998</v>
      </c>
      <c r="F123" s="94">
        <v>3.4000000000000002E-2</v>
      </c>
      <c r="G123" s="319">
        <v>12.5</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1.073</v>
      </c>
      <c r="E124" s="93">
        <v>0.28799999999999998</v>
      </c>
      <c r="F124" s="94">
        <v>3.4000000000000002E-2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0.76600000000000001</v>
      </c>
      <c r="E125" s="93">
        <v>0.20100000000000001</v>
      </c>
      <c r="F125" s="94">
        <v>2.3E-2</v>
      </c>
      <c r="G125" s="319">
        <v>2.12</v>
      </c>
      <c r="H125" s="319">
        <v>0.5</v>
      </c>
      <c r="I125" s="322">
        <v>0.5</v>
      </c>
      <c r="J125" s="26">
        <v>1.6E-2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0.76600000000000001</v>
      </c>
      <c r="E126" s="93">
        <v>0.20100000000000001</v>
      </c>
      <c r="F126" s="94">
        <v>2.3E-2</v>
      </c>
      <c r="G126" s="319">
        <v>20.34</v>
      </c>
      <c r="H126" s="319">
        <v>0.5</v>
      </c>
      <c r="I126" s="322">
        <v>0.5</v>
      </c>
      <c r="J126" s="26">
        <v>1.6E-2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0.76600000000000001</v>
      </c>
      <c r="E127" s="93">
        <v>0.20100000000000001</v>
      </c>
      <c r="F127" s="94">
        <v>2.3E-2</v>
      </c>
      <c r="G127" s="319">
        <v>38.590000000000003</v>
      </c>
      <c r="H127" s="319">
        <v>0.5</v>
      </c>
      <c r="I127" s="322">
        <v>0.5</v>
      </c>
      <c r="J127" s="26">
        <v>1.6E-2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0.76600000000000001</v>
      </c>
      <c r="E128" s="93">
        <v>0.20100000000000001</v>
      </c>
      <c r="F128" s="94">
        <v>2.3E-2</v>
      </c>
      <c r="G128" s="319">
        <v>57.03</v>
      </c>
      <c r="H128" s="319">
        <v>0.5</v>
      </c>
      <c r="I128" s="322">
        <v>0.5</v>
      </c>
      <c r="J128" s="26">
        <v>1.6E-2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0.76600000000000001</v>
      </c>
      <c r="E129" s="93">
        <v>0.20100000000000001</v>
      </c>
      <c r="F129" s="94">
        <v>2.3E-2</v>
      </c>
      <c r="G129" s="319">
        <v>116.47</v>
      </c>
      <c r="H129" s="319">
        <v>0.5</v>
      </c>
      <c r="I129" s="322">
        <v>0.5</v>
      </c>
      <c r="J129" s="26">
        <v>1.6E-2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0.81399999999999995</v>
      </c>
      <c r="E130" s="93">
        <v>0.20200000000000001</v>
      </c>
      <c r="F130" s="94">
        <v>0.02</v>
      </c>
      <c r="G130" s="319">
        <v>3.53</v>
      </c>
      <c r="H130" s="319">
        <v>0.67</v>
      </c>
      <c r="I130" s="322">
        <v>0.67</v>
      </c>
      <c r="J130" s="26">
        <v>1.4999999999999999E-2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0.81399999999999995</v>
      </c>
      <c r="E131" s="93">
        <v>0.20200000000000001</v>
      </c>
      <c r="F131" s="94">
        <v>0.02</v>
      </c>
      <c r="G131" s="319">
        <v>33.92</v>
      </c>
      <c r="H131" s="319">
        <v>0.67</v>
      </c>
      <c r="I131" s="322">
        <v>0.67</v>
      </c>
      <c r="J131" s="26">
        <v>1.4999999999999999E-2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0.81399999999999995</v>
      </c>
      <c r="E132" s="93">
        <v>0.20200000000000001</v>
      </c>
      <c r="F132" s="94">
        <v>0.02</v>
      </c>
      <c r="G132" s="319">
        <v>64.34</v>
      </c>
      <c r="H132" s="319">
        <v>0.67</v>
      </c>
      <c r="I132" s="322">
        <v>0.67</v>
      </c>
      <c r="J132" s="26">
        <v>1.4999999999999999E-2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0.81399999999999995</v>
      </c>
      <c r="E133" s="93">
        <v>0.20200000000000001</v>
      </c>
      <c r="F133" s="94">
        <v>0.02</v>
      </c>
      <c r="G133" s="319">
        <v>95.08</v>
      </c>
      <c r="H133" s="319">
        <v>0.67</v>
      </c>
      <c r="I133" s="322">
        <v>0.67</v>
      </c>
      <c r="J133" s="26">
        <v>1.4999999999999999E-2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0.81399999999999995</v>
      </c>
      <c r="E134" s="93">
        <v>0.20200000000000001</v>
      </c>
      <c r="F134" s="94">
        <v>0.02</v>
      </c>
      <c r="G134" s="319">
        <v>194.19</v>
      </c>
      <c r="H134" s="319">
        <v>0.67</v>
      </c>
      <c r="I134" s="322">
        <v>0.67</v>
      </c>
      <c r="J134" s="26">
        <v>1.4999999999999999E-2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0.68300000000000005</v>
      </c>
      <c r="E135" s="93">
        <v>0.16</v>
      </c>
      <c r="F135" s="94">
        <v>1.4E-2</v>
      </c>
      <c r="G135" s="319">
        <v>114.51</v>
      </c>
      <c r="H135" s="319">
        <v>1.03</v>
      </c>
      <c r="I135" s="322">
        <v>1.03</v>
      </c>
      <c r="J135" s="26">
        <v>1.0999999999999999E-2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0.68300000000000005</v>
      </c>
      <c r="E136" s="93">
        <v>0.16</v>
      </c>
      <c r="F136" s="94">
        <v>1.4E-2</v>
      </c>
      <c r="G136" s="319">
        <v>339.85</v>
      </c>
      <c r="H136" s="319">
        <v>1.03</v>
      </c>
      <c r="I136" s="322">
        <v>1.03</v>
      </c>
      <c r="J136" s="26">
        <v>1.0999999999999999E-2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0.68300000000000005</v>
      </c>
      <c r="E137" s="93">
        <v>0.16</v>
      </c>
      <c r="F137" s="94">
        <v>1.4E-2</v>
      </c>
      <c r="G137" s="319">
        <v>789.82</v>
      </c>
      <c r="H137" s="319">
        <v>1.03</v>
      </c>
      <c r="I137" s="322">
        <v>1.03</v>
      </c>
      <c r="J137" s="26">
        <v>1.0999999999999999E-2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0.68300000000000005</v>
      </c>
      <c r="E138" s="93">
        <v>0.16</v>
      </c>
      <c r="F138" s="94">
        <v>1.4E-2</v>
      </c>
      <c r="G138" s="319">
        <v>1495.44</v>
      </c>
      <c r="H138" s="319">
        <v>1.03</v>
      </c>
      <c r="I138" s="322">
        <v>1.03</v>
      </c>
      <c r="J138" s="26">
        <v>1.0999999999999999E-2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v>0.68300000000000005</v>
      </c>
      <c r="E139" s="93">
        <v>0.16</v>
      </c>
      <c r="F139" s="94">
        <v>1.4E-2</v>
      </c>
      <c r="G139" s="319">
        <v>3481.76</v>
      </c>
      <c r="H139" s="319">
        <v>1.03</v>
      </c>
      <c r="I139" s="322">
        <v>1.03</v>
      </c>
      <c r="J139" s="26">
        <v>1.0999999999999999E-2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2110</v>
      </c>
      <c r="D140" s="95">
        <v>2.6949999999999998</v>
      </c>
      <c r="E140" s="96">
        <v>0.314</v>
      </c>
      <c r="F140" s="94">
        <v>0.11700000000000001</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848</v>
      </c>
      <c r="D141" s="92">
        <v>-1.073</v>
      </c>
      <c r="E141" s="93">
        <v>-0.28699999999999998</v>
      </c>
      <c r="F141" s="94">
        <v>-3.4000000000000002E-2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8</v>
      </c>
      <c r="D142" s="92">
        <v>-1.099</v>
      </c>
      <c r="E142" s="93">
        <v>-0.29099999999999998</v>
      </c>
      <c r="F142" s="94">
        <v>-3.3000000000000002E-2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-1.073</v>
      </c>
      <c r="E143" s="93">
        <v>-0.28699999999999998</v>
      </c>
      <c r="F143" s="94">
        <v>-3.4000000000000002E-2</v>
      </c>
      <c r="G143" s="319" t="s">
        <v>840</v>
      </c>
      <c r="H143" s="320" t="s">
        <v>840</v>
      </c>
      <c r="I143" s="321" t="s">
        <v>840</v>
      </c>
      <c r="J143" s="26">
        <v>0.02</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-1.099</v>
      </c>
      <c r="E144" s="93">
        <v>-0.29099999999999998</v>
      </c>
      <c r="F144" s="94">
        <v>-3.3000000000000002E-2</v>
      </c>
      <c r="G144" s="319" t="s">
        <v>840</v>
      </c>
      <c r="H144" s="320" t="s">
        <v>840</v>
      </c>
      <c r="I144" s="321" t="s">
        <v>840</v>
      </c>
      <c r="J144" s="26">
        <v>2.1999999999999999E-2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-1.3169999999999999</v>
      </c>
      <c r="E145" s="93">
        <v>-0.32700000000000001</v>
      </c>
      <c r="F145" s="94">
        <v>-3.3000000000000002E-2</v>
      </c>
      <c r="G145" s="319">
        <v>43.68</v>
      </c>
      <c r="H145" s="320" t="s">
        <v>840</v>
      </c>
      <c r="I145" s="321" t="s">
        <v>840</v>
      </c>
      <c r="J145" s="26">
        <v>3.4000000000000002E-2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0.46200000000000002</v>
      </c>
      <c r="E146" s="93">
        <v>0.124</v>
      </c>
      <c r="F146" s="94">
        <v>1.4E-2</v>
      </c>
      <c r="G146" s="319">
        <v>1.23</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0.46200000000000002</v>
      </c>
      <c r="E147" s="93">
        <v>0.124</v>
      </c>
      <c r="F147" s="94">
        <v>1.4E-2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0.55600000000000005</v>
      </c>
      <c r="E148" s="93">
        <v>0.14899999999999999</v>
      </c>
      <c r="F148" s="94">
        <v>1.7000000000000001E-2</v>
      </c>
      <c r="G148" s="319">
        <v>0.82</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0.55600000000000005</v>
      </c>
      <c r="E149" s="93">
        <v>0.14899999999999999</v>
      </c>
      <c r="F149" s="94">
        <v>1.7000000000000001E-2</v>
      </c>
      <c r="G149" s="319">
        <v>1.21</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0.55600000000000005</v>
      </c>
      <c r="E150" s="93">
        <v>0.14899999999999999</v>
      </c>
      <c r="F150" s="94">
        <v>1.7000000000000001E-2</v>
      </c>
      <c r="G150" s="319">
        <v>1.8</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0.55600000000000005</v>
      </c>
      <c r="E151" s="93">
        <v>0.14899999999999999</v>
      </c>
      <c r="F151" s="94">
        <v>1.7000000000000001E-2</v>
      </c>
      <c r="G151" s="319">
        <v>2.86</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0.55600000000000005</v>
      </c>
      <c r="E152" s="93">
        <v>0.14899999999999999</v>
      </c>
      <c r="F152" s="94">
        <v>1.7000000000000001E-2</v>
      </c>
      <c r="G152" s="319">
        <v>6.47</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0.55600000000000005</v>
      </c>
      <c r="E153" s="93">
        <v>0.14899999999999999</v>
      </c>
      <c r="F153" s="94">
        <v>1.7000000000000001E-2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0.39700000000000002</v>
      </c>
      <c r="E154" s="93">
        <v>0.104</v>
      </c>
      <c r="F154" s="94">
        <v>1.2E-2</v>
      </c>
      <c r="G154" s="319">
        <v>1.1000000000000001</v>
      </c>
      <c r="H154" s="319">
        <v>0.26</v>
      </c>
      <c r="I154" s="322">
        <v>0.26</v>
      </c>
      <c r="J154" s="26">
        <v>8.0000000000000002E-3</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0.39700000000000002</v>
      </c>
      <c r="E155" s="93">
        <v>0.104</v>
      </c>
      <c r="F155" s="94">
        <v>1.2E-2</v>
      </c>
      <c r="G155" s="319">
        <v>10.54</v>
      </c>
      <c r="H155" s="319">
        <v>0.26</v>
      </c>
      <c r="I155" s="322">
        <v>0.26</v>
      </c>
      <c r="J155" s="26">
        <v>8.0000000000000002E-3</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0.39700000000000002</v>
      </c>
      <c r="E156" s="93">
        <v>0.104</v>
      </c>
      <c r="F156" s="94">
        <v>1.2E-2</v>
      </c>
      <c r="G156" s="319">
        <v>19.989999999999998</v>
      </c>
      <c r="H156" s="319">
        <v>0.26</v>
      </c>
      <c r="I156" s="322">
        <v>0.26</v>
      </c>
      <c r="J156" s="26">
        <v>8.0000000000000002E-3</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0.39700000000000002</v>
      </c>
      <c r="E157" s="93">
        <v>0.104</v>
      </c>
      <c r="F157" s="94">
        <v>1.2E-2</v>
      </c>
      <c r="G157" s="319">
        <v>29.54</v>
      </c>
      <c r="H157" s="319">
        <v>0.26</v>
      </c>
      <c r="I157" s="322">
        <v>0.26</v>
      </c>
      <c r="J157" s="26">
        <v>8.0000000000000002E-3</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0.39700000000000002</v>
      </c>
      <c r="E158" s="93">
        <v>0.104</v>
      </c>
      <c r="F158" s="94">
        <v>1.2E-2</v>
      </c>
      <c r="G158" s="319">
        <v>60.34</v>
      </c>
      <c r="H158" s="319">
        <v>0.26</v>
      </c>
      <c r="I158" s="322">
        <v>0.26</v>
      </c>
      <c r="J158" s="26">
        <v>8.0000000000000002E-3</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0.42199999999999999</v>
      </c>
      <c r="E159" s="93">
        <v>0.105</v>
      </c>
      <c r="F159" s="94">
        <v>1.0999999999999999E-2</v>
      </c>
      <c r="G159" s="319">
        <v>1.83</v>
      </c>
      <c r="H159" s="319">
        <v>0.35</v>
      </c>
      <c r="I159" s="322">
        <v>0.35</v>
      </c>
      <c r="J159" s="26">
        <v>8.0000000000000002E-3</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0.42199999999999999</v>
      </c>
      <c r="E160" s="93">
        <v>0.105</v>
      </c>
      <c r="F160" s="94">
        <v>1.0999999999999999E-2</v>
      </c>
      <c r="G160" s="319">
        <v>17.57</v>
      </c>
      <c r="H160" s="319">
        <v>0.35</v>
      </c>
      <c r="I160" s="322">
        <v>0.35</v>
      </c>
      <c r="J160" s="26">
        <v>8.0000000000000002E-3</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0.42199999999999999</v>
      </c>
      <c r="E161" s="93">
        <v>0.105</v>
      </c>
      <c r="F161" s="94">
        <v>1.0999999999999999E-2</v>
      </c>
      <c r="G161" s="319">
        <v>33.33</v>
      </c>
      <c r="H161" s="319">
        <v>0.35</v>
      </c>
      <c r="I161" s="322">
        <v>0.35</v>
      </c>
      <c r="J161" s="26">
        <v>8.0000000000000002E-3</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0.42199999999999999</v>
      </c>
      <c r="E162" s="93">
        <v>0.105</v>
      </c>
      <c r="F162" s="94">
        <v>1.0999999999999999E-2</v>
      </c>
      <c r="G162" s="319">
        <v>49.26</v>
      </c>
      <c r="H162" s="319">
        <v>0.35</v>
      </c>
      <c r="I162" s="322">
        <v>0.35</v>
      </c>
      <c r="J162" s="26">
        <v>8.0000000000000002E-3</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0.42199999999999999</v>
      </c>
      <c r="E163" s="93">
        <v>0.105</v>
      </c>
      <c r="F163" s="94">
        <v>1.0999999999999999E-2</v>
      </c>
      <c r="G163" s="319">
        <v>100.6</v>
      </c>
      <c r="H163" s="319">
        <v>0.35</v>
      </c>
      <c r="I163" s="322">
        <v>0.35</v>
      </c>
      <c r="J163" s="26">
        <v>8.0000000000000002E-3</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0.35399999999999998</v>
      </c>
      <c r="E164" s="93">
        <v>8.3000000000000004E-2</v>
      </c>
      <c r="F164" s="94">
        <v>7.0000000000000001E-3</v>
      </c>
      <c r="G164" s="319">
        <v>59.32</v>
      </c>
      <c r="H164" s="319">
        <v>0.53</v>
      </c>
      <c r="I164" s="322">
        <v>0.53</v>
      </c>
      <c r="J164" s="26">
        <v>6.0000000000000001E-3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0.35399999999999998</v>
      </c>
      <c r="E165" s="93">
        <v>8.3000000000000004E-2</v>
      </c>
      <c r="F165" s="94">
        <v>7.0000000000000001E-3</v>
      </c>
      <c r="G165" s="319">
        <v>176.06</v>
      </c>
      <c r="H165" s="319">
        <v>0.53</v>
      </c>
      <c r="I165" s="322">
        <v>0.53</v>
      </c>
      <c r="J165" s="26">
        <v>6.0000000000000001E-3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0.35399999999999998</v>
      </c>
      <c r="E166" s="93">
        <v>8.3000000000000004E-2</v>
      </c>
      <c r="F166" s="94">
        <v>7.0000000000000001E-3</v>
      </c>
      <c r="G166" s="319">
        <v>409.16</v>
      </c>
      <c r="H166" s="319">
        <v>0.53</v>
      </c>
      <c r="I166" s="322">
        <v>0.53</v>
      </c>
      <c r="J166" s="26">
        <v>6.0000000000000001E-3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0.35399999999999998</v>
      </c>
      <c r="E167" s="93">
        <v>8.3000000000000004E-2</v>
      </c>
      <c r="F167" s="94">
        <v>7.0000000000000001E-3</v>
      </c>
      <c r="G167" s="319">
        <v>774.7</v>
      </c>
      <c r="H167" s="319">
        <v>0.53</v>
      </c>
      <c r="I167" s="322">
        <v>0.53</v>
      </c>
      <c r="J167" s="26">
        <v>6.0000000000000001E-3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v>0.35399999999999998</v>
      </c>
      <c r="E168" s="93">
        <v>8.3000000000000004E-2</v>
      </c>
      <c r="F168" s="94">
        <v>7.0000000000000001E-3</v>
      </c>
      <c r="G168" s="319">
        <v>1803.69</v>
      </c>
      <c r="H168" s="319">
        <v>0.53</v>
      </c>
      <c r="I168" s="322">
        <v>0.53</v>
      </c>
      <c r="J168" s="26">
        <v>6.0000000000000001E-3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2110</v>
      </c>
      <c r="D169" s="95">
        <v>1.3959999999999999</v>
      </c>
      <c r="E169" s="96">
        <v>0.16300000000000001</v>
      </c>
      <c r="F169" s="94">
        <v>6.0999999999999999E-2</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848</v>
      </c>
      <c r="D170" s="92">
        <v>-0.55600000000000005</v>
      </c>
      <c r="E170" s="93">
        <v>-0.14899999999999999</v>
      </c>
      <c r="F170" s="94">
        <v>-1.7000000000000001E-2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8</v>
      </c>
      <c r="D171" s="92">
        <v>-0.56899999999999995</v>
      </c>
      <c r="E171" s="93">
        <v>-0.151</v>
      </c>
      <c r="F171" s="94">
        <v>-1.7000000000000001E-2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-0.55600000000000005</v>
      </c>
      <c r="E172" s="93">
        <v>-0.14899999999999999</v>
      </c>
      <c r="F172" s="94">
        <v>-1.7000000000000001E-2</v>
      </c>
      <c r="G172" s="319" t="s">
        <v>840</v>
      </c>
      <c r="H172" s="320" t="s">
        <v>840</v>
      </c>
      <c r="I172" s="321" t="s">
        <v>840</v>
      </c>
      <c r="J172" s="26">
        <v>0.01</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-0.56899999999999995</v>
      </c>
      <c r="E173" s="93">
        <v>-0.151</v>
      </c>
      <c r="F173" s="94">
        <v>-1.7000000000000001E-2</v>
      </c>
      <c r="G173" s="319" t="s">
        <v>840</v>
      </c>
      <c r="H173" s="320" t="s">
        <v>840</v>
      </c>
      <c r="I173" s="321" t="s">
        <v>840</v>
      </c>
      <c r="J173" s="26">
        <v>1.2E-2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-0.68200000000000005</v>
      </c>
      <c r="E174" s="93">
        <v>-0.17</v>
      </c>
      <c r="F174" s="94">
        <v>-1.7000000000000001E-2</v>
      </c>
      <c r="G174" s="319">
        <v>22.63</v>
      </c>
      <c r="H174" s="320" t="s">
        <v>840</v>
      </c>
      <c r="I174" s="321" t="s">
        <v>840</v>
      </c>
      <c r="J174" s="26">
        <v>1.7999999999999999E-2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0.189</v>
      </c>
      <c r="E175" s="93">
        <v>5.0999999999999997E-2</v>
      </c>
      <c r="F175" s="94">
        <v>6.0000000000000001E-3</v>
      </c>
      <c r="G175" s="319">
        <v>0.5</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0.189</v>
      </c>
      <c r="E176" s="93">
        <v>5.0999999999999997E-2</v>
      </c>
      <c r="F176" s="94">
        <v>6.0000000000000001E-3</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0.22800000000000001</v>
      </c>
      <c r="E177" s="93">
        <v>6.0999999999999999E-2</v>
      </c>
      <c r="F177" s="94">
        <v>7.0000000000000001E-3</v>
      </c>
      <c r="G177" s="319">
        <v>0.34</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0.22800000000000001</v>
      </c>
      <c r="E178" s="93">
        <v>6.0999999999999999E-2</v>
      </c>
      <c r="F178" s="94">
        <v>7.0000000000000001E-3</v>
      </c>
      <c r="G178" s="319">
        <v>0.5</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0.22800000000000001</v>
      </c>
      <c r="E179" s="93">
        <v>6.0999999999999999E-2</v>
      </c>
      <c r="F179" s="94">
        <v>7.0000000000000001E-3</v>
      </c>
      <c r="G179" s="319">
        <v>0.74</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0.22800000000000001</v>
      </c>
      <c r="E180" s="93">
        <v>6.0999999999999999E-2</v>
      </c>
      <c r="F180" s="94">
        <v>7.0000000000000001E-3</v>
      </c>
      <c r="G180" s="319">
        <v>1.17</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0.22800000000000001</v>
      </c>
      <c r="E181" s="93">
        <v>6.0999999999999999E-2</v>
      </c>
      <c r="F181" s="94">
        <v>7.0000000000000001E-3</v>
      </c>
      <c r="G181" s="319">
        <v>2.65</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0.22800000000000001</v>
      </c>
      <c r="E182" s="93">
        <v>6.0999999999999999E-2</v>
      </c>
      <c r="F182" s="94">
        <v>7.0000000000000001E-3</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0.16300000000000001</v>
      </c>
      <c r="E183" s="93">
        <v>4.2999999999999997E-2</v>
      </c>
      <c r="F183" s="94">
        <v>5.0000000000000001E-3</v>
      </c>
      <c r="G183" s="319">
        <v>0.45</v>
      </c>
      <c r="H183" s="319">
        <v>0.11</v>
      </c>
      <c r="I183" s="322">
        <v>0.11</v>
      </c>
      <c r="J183" s="26">
        <v>3.0000000000000001E-3</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0.16300000000000001</v>
      </c>
      <c r="E184" s="93">
        <v>4.2999999999999997E-2</v>
      </c>
      <c r="F184" s="94">
        <v>5.0000000000000001E-3</v>
      </c>
      <c r="G184" s="319">
        <v>4.32</v>
      </c>
      <c r="H184" s="319">
        <v>0.11</v>
      </c>
      <c r="I184" s="322">
        <v>0.11</v>
      </c>
      <c r="J184" s="26">
        <v>3.0000000000000001E-3</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0.16300000000000001</v>
      </c>
      <c r="E185" s="93">
        <v>4.2999999999999997E-2</v>
      </c>
      <c r="F185" s="94">
        <v>5.0000000000000001E-3</v>
      </c>
      <c r="G185" s="319">
        <v>8.1999999999999993</v>
      </c>
      <c r="H185" s="319">
        <v>0.11</v>
      </c>
      <c r="I185" s="322">
        <v>0.11</v>
      </c>
      <c r="J185" s="26">
        <v>3.0000000000000001E-3</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0.16300000000000001</v>
      </c>
      <c r="E186" s="93">
        <v>4.2999999999999997E-2</v>
      </c>
      <c r="F186" s="94">
        <v>5.0000000000000001E-3</v>
      </c>
      <c r="G186" s="319">
        <v>12.11</v>
      </c>
      <c r="H186" s="319">
        <v>0.11</v>
      </c>
      <c r="I186" s="322">
        <v>0.11</v>
      </c>
      <c r="J186" s="26">
        <v>3.0000000000000001E-3</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0.16300000000000001</v>
      </c>
      <c r="E187" s="93">
        <v>4.2999999999999997E-2</v>
      </c>
      <c r="F187" s="94">
        <v>5.0000000000000001E-3</v>
      </c>
      <c r="G187" s="319">
        <v>24.73</v>
      </c>
      <c r="H187" s="319">
        <v>0.11</v>
      </c>
      <c r="I187" s="322">
        <v>0.11</v>
      </c>
      <c r="J187" s="26">
        <v>3.0000000000000001E-3</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0.17299999999999999</v>
      </c>
      <c r="E188" s="93">
        <v>4.2999999999999997E-2</v>
      </c>
      <c r="F188" s="94">
        <v>4.0000000000000001E-3</v>
      </c>
      <c r="G188" s="319">
        <v>0.75</v>
      </c>
      <c r="H188" s="319">
        <v>0.14000000000000001</v>
      </c>
      <c r="I188" s="322">
        <v>0.14000000000000001</v>
      </c>
      <c r="J188" s="26">
        <v>3.0000000000000001E-3</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0.17299999999999999</v>
      </c>
      <c r="E189" s="93">
        <v>4.2999999999999997E-2</v>
      </c>
      <c r="F189" s="94">
        <v>4.0000000000000001E-3</v>
      </c>
      <c r="G189" s="319">
        <v>7.2</v>
      </c>
      <c r="H189" s="319">
        <v>0.14000000000000001</v>
      </c>
      <c r="I189" s="322">
        <v>0.14000000000000001</v>
      </c>
      <c r="J189" s="26">
        <v>3.0000000000000001E-3</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0.17299999999999999</v>
      </c>
      <c r="E190" s="93">
        <v>4.2999999999999997E-2</v>
      </c>
      <c r="F190" s="94">
        <v>4.0000000000000001E-3</v>
      </c>
      <c r="G190" s="319">
        <v>13.66</v>
      </c>
      <c r="H190" s="319">
        <v>0.14000000000000001</v>
      </c>
      <c r="I190" s="322">
        <v>0.14000000000000001</v>
      </c>
      <c r="J190" s="26">
        <v>3.0000000000000001E-3</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0.17299999999999999</v>
      </c>
      <c r="E191" s="93">
        <v>4.2999999999999997E-2</v>
      </c>
      <c r="F191" s="94">
        <v>4.0000000000000001E-3</v>
      </c>
      <c r="G191" s="319">
        <v>20.190000000000001</v>
      </c>
      <c r="H191" s="319">
        <v>0.14000000000000001</v>
      </c>
      <c r="I191" s="322">
        <v>0.14000000000000001</v>
      </c>
      <c r="J191" s="26">
        <v>3.0000000000000001E-3</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0.17299999999999999</v>
      </c>
      <c r="E192" s="93">
        <v>4.2999999999999997E-2</v>
      </c>
      <c r="F192" s="94">
        <v>4.0000000000000001E-3</v>
      </c>
      <c r="G192" s="319">
        <v>41.24</v>
      </c>
      <c r="H192" s="319">
        <v>0.14000000000000001</v>
      </c>
      <c r="I192" s="322">
        <v>0.14000000000000001</v>
      </c>
      <c r="J192" s="26">
        <v>3.0000000000000001E-3</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0.14499999999999999</v>
      </c>
      <c r="E193" s="93">
        <v>3.4000000000000002E-2</v>
      </c>
      <c r="F193" s="94">
        <v>3.0000000000000001E-3</v>
      </c>
      <c r="G193" s="319">
        <v>24.32</v>
      </c>
      <c r="H193" s="319">
        <v>0.22</v>
      </c>
      <c r="I193" s="322">
        <v>0.22</v>
      </c>
      <c r="J193" s="26">
        <v>2E-3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0.14499999999999999</v>
      </c>
      <c r="E194" s="93">
        <v>3.4000000000000002E-2</v>
      </c>
      <c r="F194" s="94">
        <v>3.0000000000000001E-3</v>
      </c>
      <c r="G194" s="319">
        <v>72.17</v>
      </c>
      <c r="H194" s="319">
        <v>0.22</v>
      </c>
      <c r="I194" s="322">
        <v>0.22</v>
      </c>
      <c r="J194" s="26">
        <v>2E-3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0.14499999999999999</v>
      </c>
      <c r="E195" s="93">
        <v>3.4000000000000002E-2</v>
      </c>
      <c r="F195" s="94">
        <v>3.0000000000000001E-3</v>
      </c>
      <c r="G195" s="319">
        <v>167.72</v>
      </c>
      <c r="H195" s="319">
        <v>0.22</v>
      </c>
      <c r="I195" s="322">
        <v>0.22</v>
      </c>
      <c r="J195" s="26">
        <v>2E-3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0.14499999999999999</v>
      </c>
      <c r="E196" s="93">
        <v>3.4000000000000002E-2</v>
      </c>
      <c r="F196" s="94">
        <v>3.0000000000000001E-3</v>
      </c>
      <c r="G196" s="319">
        <v>317.56</v>
      </c>
      <c r="H196" s="319">
        <v>0.22</v>
      </c>
      <c r="I196" s="322">
        <v>0.22</v>
      </c>
      <c r="J196" s="26">
        <v>2E-3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v>0.14499999999999999</v>
      </c>
      <c r="E197" s="93">
        <v>3.4000000000000002E-2</v>
      </c>
      <c r="F197" s="94">
        <v>3.0000000000000001E-3</v>
      </c>
      <c r="G197" s="319">
        <v>739.36</v>
      </c>
      <c r="H197" s="319">
        <v>0.22</v>
      </c>
      <c r="I197" s="322">
        <v>0.22</v>
      </c>
      <c r="J197" s="26">
        <v>2E-3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2110</v>
      </c>
      <c r="D198" s="95">
        <v>0.57199999999999995</v>
      </c>
      <c r="E198" s="96">
        <v>6.7000000000000004E-2</v>
      </c>
      <c r="F198" s="94">
        <v>2.5000000000000001E-2</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848</v>
      </c>
      <c r="D199" s="92">
        <v>-0.22800000000000001</v>
      </c>
      <c r="E199" s="93">
        <v>-6.0999999999999999E-2</v>
      </c>
      <c r="F199" s="94">
        <v>-7.0000000000000001E-3</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8</v>
      </c>
      <c r="D200" s="92">
        <v>-0.23300000000000001</v>
      </c>
      <c r="E200" s="93">
        <v>-6.2E-2</v>
      </c>
      <c r="F200" s="94">
        <v>-7.0000000000000001E-3</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-0.22800000000000001</v>
      </c>
      <c r="E201" s="93">
        <v>-6.0999999999999999E-2</v>
      </c>
      <c r="F201" s="94">
        <v>-7.0000000000000001E-3</v>
      </c>
      <c r="G201" s="319" t="s">
        <v>840</v>
      </c>
      <c r="H201" s="320" t="s">
        <v>840</v>
      </c>
      <c r="I201" s="321" t="s">
        <v>840</v>
      </c>
      <c r="J201" s="26">
        <v>4.0000000000000001E-3</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-0.23300000000000001</v>
      </c>
      <c r="E202" s="93">
        <v>-6.2E-2</v>
      </c>
      <c r="F202" s="94">
        <v>-7.0000000000000001E-3</v>
      </c>
      <c r="G202" s="319" t="s">
        <v>840</v>
      </c>
      <c r="H202" s="320" t="s">
        <v>840</v>
      </c>
      <c r="I202" s="321" t="s">
        <v>840</v>
      </c>
      <c r="J202" s="26">
        <v>5.0000000000000001E-3</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-0.28000000000000003</v>
      </c>
      <c r="E203" s="93">
        <v>-6.9000000000000006E-2</v>
      </c>
      <c r="F203" s="94">
        <v>-7.0000000000000001E-3</v>
      </c>
      <c r="G203" s="319">
        <v>9.2799999999999994</v>
      </c>
      <c r="H203" s="320" t="s">
        <v>840</v>
      </c>
      <c r="I203" s="321" t="s">
        <v>840</v>
      </c>
      <c r="J203" s="26">
        <v>7.0000000000000001E-3</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0">
    <mergeCell ref="H9:J9"/>
    <mergeCell ref="A2:J2"/>
    <mergeCell ref="A4:D4"/>
    <mergeCell ref="F4:J4"/>
    <mergeCell ref="F5:G5"/>
    <mergeCell ref="F6:G6"/>
    <mergeCell ref="F7:G7"/>
    <mergeCell ref="B8:D8"/>
    <mergeCell ref="F8:G8"/>
    <mergeCell ref="F9:G9"/>
  </mergeCells>
  <conditionalFormatting sqref="K14:Q203">
    <cfRule type="cellIs" dxfId="34" priority="2" operator="equal">
      <formula>0</formula>
    </cfRule>
    <cfRule type="cellIs" dxfId="33" priority="3" operator="lessThan">
      <formula>0</formula>
    </cfRule>
    <cfRule type="cellIs" dxfId="32" priority="4" operator="greaterThan">
      <formula>0</formula>
    </cfRule>
  </conditionalFormatting>
  <conditionalFormatting sqref="K14:R203">
    <cfRule type="expression" dxfId="31" priority="1">
      <formula>$K14&lt;&gt;""</formula>
    </cfRule>
  </conditionalFormatting>
  <hyperlinks>
    <hyperlink ref="A1" location="Overview!A1" display="Back to Overview" xr:uid="{56558805-C9C7-4625-8103-985335324A6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pageSetUpPr fitToPage="1"/>
  </sheetPr>
  <dimension ref="A1:Q203"/>
  <sheetViews>
    <sheetView zoomScale="70" zoomScaleNormal="70" workbookViewId="0"/>
  </sheetViews>
  <sheetFormatPr defaultColWidth="9.140625" defaultRowHeight="27.75" customHeight="1" x14ac:dyDescent="0.2"/>
  <cols>
    <col min="1" max="1" width="58" style="1" customWidth="1"/>
    <col min="2" max="2" width="17.7109375" style="2" customWidth="1"/>
    <col min="3" max="3" width="18.42578125" style="1" bestFit="1" customWidth="1"/>
    <col min="4" max="4" width="17.7109375" style="1" customWidth="1"/>
    <col min="5" max="7" width="17.7109375" style="2" customWidth="1"/>
    <col min="8" max="9" width="17.7109375" style="6" customWidth="1"/>
    <col min="10" max="10" width="17.7109375" style="3" customWidth="1"/>
    <col min="11" max="16" width="15.5703125" style="1" customWidth="1"/>
    <col min="17" max="16384" width="9.140625" style="1"/>
  </cols>
  <sheetData>
    <row r="1" spans="1:17" ht="27.75" customHeight="1" x14ac:dyDescent="0.2">
      <c r="A1" s="32" t="s">
        <v>19</v>
      </c>
      <c r="B1" s="46"/>
      <c r="C1" s="46"/>
      <c r="D1" s="46"/>
      <c r="F1" s="46"/>
      <c r="G1" s="46"/>
      <c r="H1" s="46"/>
      <c r="I1" s="3"/>
      <c r="J1" s="1"/>
    </row>
    <row r="2" spans="1:17" ht="42" customHeight="1" x14ac:dyDescent="0.2">
      <c r="A2" s="468" t="str">
        <f>Overview!B4&amp;" - Effective from "&amp;TEXT(Overview!$D$4,"d mmmm yyyy")&amp;" - Final LDNO tariffs in SP Distribution Area (GSP Group _N)"</f>
        <v>Leep Electricity Networks Limited - Effective from 1 April 2026 - Final LDNO tariffs in SP Distribution Area (GSP Group _N)</v>
      </c>
      <c r="B2" s="468"/>
      <c r="C2" s="468"/>
      <c r="D2" s="468"/>
      <c r="E2" s="468"/>
      <c r="F2" s="468"/>
      <c r="G2" s="468"/>
      <c r="H2" s="468"/>
      <c r="I2" s="468"/>
      <c r="J2" s="468"/>
    </row>
    <row r="3" spans="1:17" ht="8.25" customHeight="1" x14ac:dyDescent="0.2">
      <c r="A3" s="47"/>
      <c r="B3" s="47"/>
      <c r="C3" s="47"/>
      <c r="D3" s="47"/>
      <c r="E3" s="47"/>
      <c r="F3" s="47"/>
      <c r="G3" s="47"/>
      <c r="H3" s="47"/>
      <c r="I3" s="47"/>
      <c r="J3" s="47"/>
      <c r="K3" s="3"/>
    </row>
    <row r="4" spans="1:17" ht="18" customHeight="1" x14ac:dyDescent="0.2">
      <c r="A4" s="371" t="s">
        <v>308</v>
      </c>
      <c r="B4" s="371"/>
      <c r="C4" s="371"/>
      <c r="D4" s="371"/>
      <c r="E4" s="51"/>
      <c r="F4" s="371" t="s">
        <v>307</v>
      </c>
      <c r="G4" s="371"/>
      <c r="H4" s="371"/>
      <c r="I4" s="371"/>
      <c r="J4" s="371"/>
      <c r="K4" s="3"/>
      <c r="L4" s="3"/>
    </row>
    <row r="5" spans="1:17" ht="32.25" customHeight="1" x14ac:dyDescent="0.2">
      <c r="A5" s="40" t="s">
        <v>13</v>
      </c>
      <c r="B5" s="258" t="s">
        <v>299</v>
      </c>
      <c r="C5" s="271" t="s">
        <v>300</v>
      </c>
      <c r="D5" s="42" t="s">
        <v>301</v>
      </c>
      <c r="E5" s="46"/>
      <c r="F5" s="368"/>
      <c r="G5" s="369"/>
      <c r="H5" s="44" t="s">
        <v>305</v>
      </c>
      <c r="I5" s="45" t="s">
        <v>306</v>
      </c>
      <c r="J5" s="42" t="s">
        <v>301</v>
      </c>
      <c r="K5" s="46"/>
      <c r="L5" s="3"/>
      <c r="M5" s="3"/>
    </row>
    <row r="6" spans="1:17" ht="51" customHeight="1" x14ac:dyDescent="0.2">
      <c r="A6" s="43" t="str">
        <f>'Annex 1 LV and HV charges_N'!A6</f>
        <v>Monday to Friday 
(Including Bank Holidays)
All Year</v>
      </c>
      <c r="B6" s="107" t="str">
        <f>'Annex 1 LV and HV charges_N'!B6</f>
        <v>16.30 - 19.30</v>
      </c>
      <c r="C6" s="264" t="str">
        <f>'Annex 1 LV and HV charges_N'!C6</f>
        <v>08.00 - 16.30
19.30 - 22.30</v>
      </c>
      <c r="D6" s="108" t="str">
        <f>'Annex 1 LV and HV charges_N'!E6</f>
        <v>00.00 - 08.00
22.30 - 00.00</v>
      </c>
      <c r="E6" s="46"/>
      <c r="F6" s="413" t="str">
        <f>'Annex 1 LV and HV charges_N'!G6</f>
        <v>Monday to Friday 
(Including Bank Holidays)
June to August Inclusive</v>
      </c>
      <c r="G6" s="413">
        <f>'Annex 1 LV and HV charges_N'!H6</f>
        <v>0</v>
      </c>
      <c r="H6" s="252" t="str">
        <f>'Annex 1 LV and HV charges_N'!I6</f>
        <v/>
      </c>
      <c r="I6" s="250" t="str">
        <f>'Annex 1 LV and HV charges_N'!J6</f>
        <v>08.00 - 22.30</v>
      </c>
      <c r="J6" s="97" t="str">
        <f>'Annex 1 LV and HV charges_N'!K6</f>
        <v>00.00 - 08.00
22.30 - 00.00</v>
      </c>
      <c r="K6" s="46"/>
      <c r="L6" s="3"/>
      <c r="M6" s="3"/>
    </row>
    <row r="7" spans="1:17" ht="51" customHeight="1" x14ac:dyDescent="0.2">
      <c r="A7" s="43" t="str">
        <f>'Annex 1 LV and HV charges_N'!A7</f>
        <v>Saturday and Sunday
All Year</v>
      </c>
      <c r="B7" s="110" t="str">
        <f>'Annex 1 LV and HV charges_N'!B7</f>
        <v/>
      </c>
      <c r="C7" s="264" t="str">
        <f>'Annex 1 LV and HV charges_N'!C7</f>
        <v>16.00 - 20.00</v>
      </c>
      <c r="D7" s="109" t="str">
        <f>'Annex 1 LV and HV charges_N'!E7</f>
        <v>00.00 - 16.00
20.00 - 00.00</v>
      </c>
      <c r="E7" s="46"/>
      <c r="F7" s="413" t="str">
        <f>'Annex 1 LV and HV charges_N'!G7</f>
        <v>Monday to Friday 
(Including Bank Holidays)
November to February Inclusive</v>
      </c>
      <c r="G7" s="413">
        <f>'Annex 1 LV and HV charges_N'!H7</f>
        <v>0</v>
      </c>
      <c r="H7" s="13" t="str">
        <f>'Annex 1 LV and HV charges_N'!I7</f>
        <v>16.30 - 19.30</v>
      </c>
      <c r="I7" s="250" t="str">
        <f>'Annex 1 LV and HV charges_N'!J7</f>
        <v>08.00 - 16.30
19.30 - 22.30</v>
      </c>
      <c r="J7" s="97" t="str">
        <f>'Annex 1 LV and HV charges_N'!K7</f>
        <v>00.00 - 08.00
22.30 - 00.00</v>
      </c>
      <c r="K7" s="46"/>
      <c r="L7" s="3"/>
      <c r="M7" s="3"/>
    </row>
    <row r="8" spans="1:17" ht="51" customHeight="1" x14ac:dyDescent="0.2">
      <c r="A8" s="255" t="str">
        <f>'Annex 1 LV and HV charges_N'!A8</f>
        <v>Notes</v>
      </c>
      <c r="B8" s="378" t="str">
        <f>'Annex 1 LV and HV charges_N'!B8</f>
        <v>All the above times are in UK Clock time</v>
      </c>
      <c r="C8" s="378">
        <f>'Annex 1 LV and HV charges_N'!C8</f>
        <v>0</v>
      </c>
      <c r="D8" s="378">
        <f>'Annex 1 LV and HV charges_N'!D8</f>
        <v>0</v>
      </c>
      <c r="E8" s="46"/>
      <c r="F8" s="413" t="str">
        <f>'Annex 1 LV and HV charges_N'!G8</f>
        <v>Monday to Friday 
(Including Bank Holidays)
March, April, May and September, October</v>
      </c>
      <c r="G8" s="413">
        <f>'Annex 1 LV and HV charges_N'!H8</f>
        <v>0</v>
      </c>
      <c r="H8" s="252" t="str">
        <f>'Annex 1 LV and HV charges_N'!I8</f>
        <v/>
      </c>
      <c r="I8" s="250" t="str">
        <f>'Annex 1 LV and HV charges_N'!J8</f>
        <v>08.00 - 22.30</v>
      </c>
      <c r="J8" s="97" t="str">
        <f>'Annex 1 LV and HV charges_N'!K8</f>
        <v>00.00 - 08.00
22.30 - 00.00</v>
      </c>
      <c r="K8" s="46"/>
      <c r="L8" s="3"/>
      <c r="M8" s="3"/>
    </row>
    <row r="9" spans="1:17" ht="51" customHeight="1" x14ac:dyDescent="0.2">
      <c r="A9" s="297"/>
      <c r="B9" s="298"/>
      <c r="C9" s="298"/>
      <c r="D9" s="298"/>
      <c r="E9" s="46"/>
      <c r="F9" s="374" t="str">
        <f>'Annex 1 LV and HV charges_N'!G9</f>
        <v>Saturday and Sunday
All year</v>
      </c>
      <c r="G9" s="374">
        <f>'Annex 1 LV and HV charges_N'!H9</f>
        <v>0</v>
      </c>
      <c r="H9" s="252" t="str">
        <f>'Annex 1 LV and HV charges_N'!I9</f>
        <v/>
      </c>
      <c r="I9" s="97" t="str">
        <f>'Annex 1 LV and HV charges_N'!J9</f>
        <v>16.00 - 20.00</v>
      </c>
      <c r="J9" s="97" t="str">
        <f>'Annex 1 LV and HV charges_N'!K9</f>
        <v>00:00-16:00
20:00-00:00</v>
      </c>
      <c r="K9" s="46"/>
      <c r="L9" s="3"/>
      <c r="M9" s="3"/>
    </row>
    <row r="10" spans="1:17" s="41" customFormat="1" ht="29.25" customHeight="1" x14ac:dyDescent="0.2">
      <c r="A10" s="186"/>
      <c r="B10" s="257"/>
      <c r="C10" s="187"/>
      <c r="D10" s="257"/>
      <c r="E10" s="48"/>
      <c r="F10" s="407" t="str">
        <f>'Annex 1 LV and HV charges_N'!G10</f>
        <v>Notes</v>
      </c>
      <c r="G10" s="407">
        <f>'Annex 1 LV and HV charges_N'!H10</f>
        <v>0</v>
      </c>
      <c r="H10" s="389" t="str">
        <f>'Annex 1 LV and HV charges_N'!I10</f>
        <v>All the above times are in UK Clock time</v>
      </c>
      <c r="I10" s="390">
        <f>'Annex 1 LV and HV charges_N'!J10</f>
        <v>0</v>
      </c>
      <c r="J10" s="391">
        <f>'Annex 1 LV and HV charges_N'!K10</f>
        <v>0</v>
      </c>
      <c r="K10" s="46"/>
      <c r="L10" s="31"/>
      <c r="M10" s="31"/>
    </row>
    <row r="11" spans="1:17" s="41" customFormat="1" ht="18" x14ac:dyDescent="0.2">
      <c r="A11" s="120"/>
      <c r="B11" s="409"/>
      <c r="C11" s="409"/>
      <c r="D11" s="409"/>
      <c r="E11" s="188"/>
      <c r="F11" s="483"/>
      <c r="G11" s="484"/>
      <c r="H11" s="189"/>
      <c r="I11" s="257"/>
      <c r="J11" s="257"/>
      <c r="K11" s="46"/>
      <c r="L11" s="31"/>
      <c r="M11" s="31"/>
    </row>
    <row r="12" spans="1:17" s="41" customFormat="1" ht="18" x14ac:dyDescent="0.2">
      <c r="A12" s="46"/>
      <c r="B12" s="46"/>
      <c r="C12" s="46"/>
      <c r="D12" s="46"/>
      <c r="E12" s="46"/>
      <c r="F12" s="485"/>
      <c r="G12" s="486"/>
      <c r="H12" s="487"/>
      <c r="I12" s="406"/>
      <c r="J12" s="406"/>
      <c r="K12" s="31"/>
      <c r="L12" s="31"/>
    </row>
    <row r="13" spans="1:17" ht="66" customHeight="1" x14ac:dyDescent="0.2">
      <c r="A13" s="19" t="s">
        <v>458</v>
      </c>
      <c r="B13" s="19" t="s">
        <v>31</v>
      </c>
      <c r="C13" s="16" t="s">
        <v>24</v>
      </c>
      <c r="D13" s="16" t="s">
        <v>577</v>
      </c>
      <c r="E13" s="16" t="s">
        <v>578</v>
      </c>
      <c r="F13" s="16" t="s">
        <v>579</v>
      </c>
      <c r="G13" s="16" t="s">
        <v>25</v>
      </c>
      <c r="H13" s="16" t="s">
        <v>26</v>
      </c>
      <c r="I13" s="16" t="s">
        <v>459</v>
      </c>
      <c r="J13" s="16" t="s">
        <v>270</v>
      </c>
    </row>
    <row r="14" spans="1:17" ht="26.1" customHeight="1" x14ac:dyDescent="0.2">
      <c r="A14" s="324" t="s">
        <v>779</v>
      </c>
      <c r="B14" s="25"/>
      <c r="C14" s="326">
        <v>0</v>
      </c>
      <c r="D14" s="92">
        <v>7.8419999999999996</v>
      </c>
      <c r="E14" s="93">
        <v>0.85299999999999998</v>
      </c>
      <c r="F14" s="94">
        <v>2.1999999999999999E-2</v>
      </c>
      <c r="G14" s="319">
        <v>10.55</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7" ht="26.1" customHeight="1" x14ac:dyDescent="0.2">
      <c r="A15" s="324" t="s">
        <v>642</v>
      </c>
      <c r="B15" s="25"/>
      <c r="C15" s="326">
        <v>0</v>
      </c>
      <c r="D15" s="92">
        <v>7.8419999999999996</v>
      </c>
      <c r="E15" s="93">
        <v>0.85299999999999998</v>
      </c>
      <c r="F15" s="94">
        <v>2.1999999999999999E-2</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7" ht="26.1" customHeight="1" x14ac:dyDescent="0.2">
      <c r="A16" s="324" t="s">
        <v>786</v>
      </c>
      <c r="B16" s="25"/>
      <c r="C16" s="326">
        <v>0</v>
      </c>
      <c r="D16" s="92">
        <v>8.4480000000000004</v>
      </c>
      <c r="E16" s="93">
        <v>0.91900000000000004</v>
      </c>
      <c r="F16" s="94">
        <v>2.3E-2</v>
      </c>
      <c r="G16" s="319">
        <v>5.26</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6.1" customHeight="1" x14ac:dyDescent="0.2">
      <c r="A17" s="324" t="s">
        <v>793</v>
      </c>
      <c r="B17" s="25"/>
      <c r="C17" s="326">
        <v>0</v>
      </c>
      <c r="D17" s="92">
        <v>8.4480000000000004</v>
      </c>
      <c r="E17" s="93">
        <v>0.91900000000000004</v>
      </c>
      <c r="F17" s="94">
        <v>2.3E-2</v>
      </c>
      <c r="G17" s="319">
        <v>12.58</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6.1" customHeight="1" x14ac:dyDescent="0.2">
      <c r="A18" s="324" t="s">
        <v>800</v>
      </c>
      <c r="B18" s="25"/>
      <c r="C18" s="326">
        <v>0</v>
      </c>
      <c r="D18" s="92">
        <v>8.4480000000000004</v>
      </c>
      <c r="E18" s="93">
        <v>0.91900000000000004</v>
      </c>
      <c r="F18" s="94">
        <v>2.3E-2</v>
      </c>
      <c r="G18" s="319">
        <v>21.59</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6.1" customHeight="1" x14ac:dyDescent="0.2">
      <c r="A19" s="324" t="s">
        <v>807</v>
      </c>
      <c r="B19" s="25"/>
      <c r="C19" s="326">
        <v>0</v>
      </c>
      <c r="D19" s="92">
        <v>8.4480000000000004</v>
      </c>
      <c r="E19" s="93">
        <v>0.91900000000000004</v>
      </c>
      <c r="F19" s="94">
        <v>2.3E-2</v>
      </c>
      <c r="G19" s="319">
        <v>39.22</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6.1" customHeight="1" x14ac:dyDescent="0.2">
      <c r="A20" s="324" t="s">
        <v>814</v>
      </c>
      <c r="B20" s="25"/>
      <c r="C20" s="326">
        <v>0</v>
      </c>
      <c r="D20" s="92">
        <v>8.4480000000000004</v>
      </c>
      <c r="E20" s="93">
        <v>0.91900000000000004</v>
      </c>
      <c r="F20" s="94">
        <v>2.3E-2</v>
      </c>
      <c r="G20" s="319">
        <v>101.23</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6.1" customHeight="1" x14ac:dyDescent="0.2">
      <c r="A21" s="324" t="s">
        <v>580</v>
      </c>
      <c r="B21" s="25"/>
      <c r="C21" s="326">
        <v>0</v>
      </c>
      <c r="D21" s="92">
        <v>8.4480000000000004</v>
      </c>
      <c r="E21" s="93">
        <v>0.91900000000000004</v>
      </c>
      <c r="F21" s="94">
        <v>2.3E-2</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6.1" customHeight="1" x14ac:dyDescent="0.2">
      <c r="A22" s="324" t="s">
        <v>643</v>
      </c>
      <c r="B22" s="18"/>
      <c r="C22" s="326">
        <v>0</v>
      </c>
      <c r="D22" s="92">
        <v>6.468</v>
      </c>
      <c r="E22" s="93">
        <v>0.66100000000000003</v>
      </c>
      <c r="F22" s="94">
        <v>1.7000000000000001E-2</v>
      </c>
      <c r="G22" s="319">
        <v>17.91</v>
      </c>
      <c r="H22" s="319">
        <v>3.2</v>
      </c>
      <c r="I22" s="322">
        <v>3.2</v>
      </c>
      <c r="J22" s="26">
        <v>0.14199999999999999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6.1" customHeight="1" x14ac:dyDescent="0.2">
      <c r="A23" s="324" t="s">
        <v>644</v>
      </c>
      <c r="B23" s="25"/>
      <c r="C23" s="326">
        <v>0</v>
      </c>
      <c r="D23" s="92">
        <v>6.468</v>
      </c>
      <c r="E23" s="93">
        <v>0.66100000000000003</v>
      </c>
      <c r="F23" s="94">
        <v>1.7000000000000001E-2</v>
      </c>
      <c r="G23" s="319">
        <v>225.5</v>
      </c>
      <c r="H23" s="319">
        <v>3.2</v>
      </c>
      <c r="I23" s="322">
        <v>3.2</v>
      </c>
      <c r="J23" s="26">
        <v>0.14199999999999999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6.1" customHeight="1" x14ac:dyDescent="0.2">
      <c r="A24" s="324" t="s">
        <v>645</v>
      </c>
      <c r="B24" s="18"/>
      <c r="C24" s="326">
        <v>0</v>
      </c>
      <c r="D24" s="92">
        <v>6.468</v>
      </c>
      <c r="E24" s="93">
        <v>0.66100000000000003</v>
      </c>
      <c r="F24" s="94">
        <v>1.7000000000000001E-2</v>
      </c>
      <c r="G24" s="319">
        <v>364.2</v>
      </c>
      <c r="H24" s="319">
        <v>3.2</v>
      </c>
      <c r="I24" s="322">
        <v>3.2</v>
      </c>
      <c r="J24" s="26">
        <v>0.14199999999999999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6.1" customHeight="1" x14ac:dyDescent="0.2">
      <c r="A25" s="324" t="s">
        <v>646</v>
      </c>
      <c r="B25" s="18"/>
      <c r="C25" s="326">
        <v>0</v>
      </c>
      <c r="D25" s="92">
        <v>6.468</v>
      </c>
      <c r="E25" s="93">
        <v>0.66100000000000003</v>
      </c>
      <c r="F25" s="94">
        <v>1.7000000000000001E-2</v>
      </c>
      <c r="G25" s="319">
        <v>604.37</v>
      </c>
      <c r="H25" s="319">
        <v>3.2</v>
      </c>
      <c r="I25" s="322">
        <v>3.2</v>
      </c>
      <c r="J25" s="26">
        <v>0.14199999999999999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6.1" customHeight="1" x14ac:dyDescent="0.2">
      <c r="A26" s="324" t="s">
        <v>647</v>
      </c>
      <c r="B26" s="18"/>
      <c r="C26" s="326">
        <v>0</v>
      </c>
      <c r="D26" s="92">
        <v>6.468</v>
      </c>
      <c r="E26" s="93">
        <v>0.66100000000000003</v>
      </c>
      <c r="F26" s="94">
        <v>1.7000000000000001E-2</v>
      </c>
      <c r="G26" s="319">
        <v>1256.01</v>
      </c>
      <c r="H26" s="319">
        <v>3.2</v>
      </c>
      <c r="I26" s="322">
        <v>3.2</v>
      </c>
      <c r="J26" s="26">
        <v>0.14199999999999999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6.1" customHeight="1" x14ac:dyDescent="0.2">
      <c r="A27" s="324" t="s">
        <v>581</v>
      </c>
      <c r="B27" s="25"/>
      <c r="C27" s="327">
        <v>0</v>
      </c>
      <c r="D27" s="95">
        <v>21.459</v>
      </c>
      <c r="E27" s="96">
        <v>1.833</v>
      </c>
      <c r="F27" s="94">
        <v>1.1000000000000001</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6.1" customHeight="1" x14ac:dyDescent="0.2">
      <c r="A28" s="324" t="s">
        <v>610</v>
      </c>
      <c r="B28" s="25"/>
      <c r="C28" s="327">
        <v>0</v>
      </c>
      <c r="D28" s="92">
        <v>-9.4149999999999991</v>
      </c>
      <c r="E28" s="93">
        <v>-1.024</v>
      </c>
      <c r="F28" s="94">
        <v>-2.5999999999999999E-2</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6.1" customHeight="1" x14ac:dyDescent="0.2">
      <c r="A29" s="324" t="s">
        <v>611</v>
      </c>
      <c r="B29" s="25"/>
      <c r="C29" s="327">
        <v>0</v>
      </c>
      <c r="D29" s="92">
        <v>-9.4149999999999991</v>
      </c>
      <c r="E29" s="93">
        <v>-1.024</v>
      </c>
      <c r="F29" s="94">
        <v>-2.5999999999999999E-2</v>
      </c>
      <c r="G29" s="319" t="s">
        <v>840</v>
      </c>
      <c r="H29" s="320" t="s">
        <v>840</v>
      </c>
      <c r="I29" s="321" t="s">
        <v>840</v>
      </c>
      <c r="J29" s="26">
        <v>0.22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6.1" customHeight="1" x14ac:dyDescent="0.2">
      <c r="A30" s="325" t="s">
        <v>780</v>
      </c>
      <c r="B30" s="25"/>
      <c r="C30" s="327">
        <v>0</v>
      </c>
      <c r="D30" s="92">
        <v>5.117</v>
      </c>
      <c r="E30" s="93">
        <v>0.55600000000000005</v>
      </c>
      <c r="F30" s="94">
        <v>1.4E-2</v>
      </c>
      <c r="G30" s="319">
        <v>6.88</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6.1" customHeight="1" x14ac:dyDescent="0.2">
      <c r="A31" s="325" t="s">
        <v>648</v>
      </c>
      <c r="B31" s="25"/>
      <c r="C31" s="327">
        <v>0</v>
      </c>
      <c r="D31" s="92">
        <v>5.117</v>
      </c>
      <c r="E31" s="93">
        <v>0.55600000000000005</v>
      </c>
      <c r="F31" s="94">
        <v>1.4E-2</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6.1" customHeight="1" x14ac:dyDescent="0.2">
      <c r="A32" s="325" t="s">
        <v>787</v>
      </c>
      <c r="B32" s="18"/>
      <c r="C32" s="327">
        <v>0</v>
      </c>
      <c r="D32" s="92">
        <v>5.5119999999999996</v>
      </c>
      <c r="E32" s="93">
        <v>0.59899999999999998</v>
      </c>
      <c r="F32" s="94">
        <v>1.4999999999999999E-2</v>
      </c>
      <c r="G32" s="319">
        <v>3.43</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6.1" customHeight="1" x14ac:dyDescent="0.2">
      <c r="A33" s="325" t="s">
        <v>794</v>
      </c>
      <c r="B33" s="25"/>
      <c r="C33" s="327">
        <v>0</v>
      </c>
      <c r="D33" s="92">
        <v>5.5119999999999996</v>
      </c>
      <c r="E33" s="93">
        <v>0.59899999999999998</v>
      </c>
      <c r="F33" s="94">
        <v>1.4999999999999999E-2</v>
      </c>
      <c r="G33" s="319">
        <v>8.2100000000000009</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6.1" customHeight="1" x14ac:dyDescent="0.2">
      <c r="A34" s="325" t="s">
        <v>801</v>
      </c>
      <c r="B34" s="18"/>
      <c r="C34" s="327">
        <v>0</v>
      </c>
      <c r="D34" s="92">
        <v>5.5119999999999996</v>
      </c>
      <c r="E34" s="93">
        <v>0.59899999999999998</v>
      </c>
      <c r="F34" s="94">
        <v>1.4999999999999999E-2</v>
      </c>
      <c r="G34" s="319">
        <v>14.09</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6.1" customHeight="1" x14ac:dyDescent="0.2">
      <c r="A35" s="325" t="s">
        <v>808</v>
      </c>
      <c r="B35" s="18"/>
      <c r="C35" s="327">
        <v>0</v>
      </c>
      <c r="D35" s="92">
        <v>5.5119999999999996</v>
      </c>
      <c r="E35" s="93">
        <v>0.59899999999999998</v>
      </c>
      <c r="F35" s="94">
        <v>1.4999999999999999E-2</v>
      </c>
      <c r="G35" s="319">
        <v>25.59</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6.1" customHeight="1" x14ac:dyDescent="0.2">
      <c r="A36" s="325" t="s">
        <v>815</v>
      </c>
      <c r="B36" s="18"/>
      <c r="C36" s="327">
        <v>0</v>
      </c>
      <c r="D36" s="92">
        <v>5.5119999999999996</v>
      </c>
      <c r="E36" s="93">
        <v>0.59899999999999998</v>
      </c>
      <c r="F36" s="94">
        <v>1.4999999999999999E-2</v>
      </c>
      <c r="G36" s="319">
        <v>66.05</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6.1" customHeight="1" x14ac:dyDescent="0.2">
      <c r="A37" s="325" t="s">
        <v>582</v>
      </c>
      <c r="B37" s="25"/>
      <c r="C37" s="327">
        <v>0</v>
      </c>
      <c r="D37" s="92">
        <v>5.5119999999999996</v>
      </c>
      <c r="E37" s="93">
        <v>0.59899999999999998</v>
      </c>
      <c r="F37" s="94">
        <v>1.4999999999999999E-2</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6.1" customHeight="1" x14ac:dyDescent="0.2">
      <c r="A38" s="325" t="s">
        <v>649</v>
      </c>
      <c r="B38" s="18"/>
      <c r="C38" s="327">
        <v>0</v>
      </c>
      <c r="D38" s="92">
        <v>4.22</v>
      </c>
      <c r="E38" s="93">
        <v>0.43099999999999999</v>
      </c>
      <c r="F38" s="94">
        <v>1.0999999999999999E-2</v>
      </c>
      <c r="G38" s="319">
        <v>11.69</v>
      </c>
      <c r="H38" s="319">
        <v>2.09</v>
      </c>
      <c r="I38" s="322">
        <v>2.09</v>
      </c>
      <c r="J38" s="26">
        <v>9.2999999999999999E-2</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6.1" customHeight="1" x14ac:dyDescent="0.2">
      <c r="A39" s="325" t="s">
        <v>650</v>
      </c>
      <c r="B39" s="25"/>
      <c r="C39" s="327">
        <v>0</v>
      </c>
      <c r="D39" s="92">
        <v>4.22</v>
      </c>
      <c r="E39" s="93">
        <v>0.43099999999999999</v>
      </c>
      <c r="F39" s="94">
        <v>1.0999999999999999E-2</v>
      </c>
      <c r="G39" s="319">
        <v>147.13</v>
      </c>
      <c r="H39" s="319">
        <v>2.09</v>
      </c>
      <c r="I39" s="322">
        <v>2.09</v>
      </c>
      <c r="J39" s="26">
        <v>9.2999999999999999E-2</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6.1" customHeight="1" x14ac:dyDescent="0.2">
      <c r="A40" s="325" t="s">
        <v>651</v>
      </c>
      <c r="B40" s="18"/>
      <c r="C40" s="327">
        <v>0</v>
      </c>
      <c r="D40" s="92">
        <v>4.22</v>
      </c>
      <c r="E40" s="93">
        <v>0.43099999999999999</v>
      </c>
      <c r="F40" s="94">
        <v>1.0999999999999999E-2</v>
      </c>
      <c r="G40" s="319">
        <v>237.64</v>
      </c>
      <c r="H40" s="319">
        <v>2.09</v>
      </c>
      <c r="I40" s="322">
        <v>2.09</v>
      </c>
      <c r="J40" s="26">
        <v>9.2999999999999999E-2</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6.1" customHeight="1" x14ac:dyDescent="0.2">
      <c r="A41" s="325" t="s">
        <v>652</v>
      </c>
      <c r="B41" s="18"/>
      <c r="C41" s="327">
        <v>0</v>
      </c>
      <c r="D41" s="92">
        <v>4.22</v>
      </c>
      <c r="E41" s="93">
        <v>0.43099999999999999</v>
      </c>
      <c r="F41" s="94">
        <v>1.0999999999999999E-2</v>
      </c>
      <c r="G41" s="319">
        <v>394.35</v>
      </c>
      <c r="H41" s="319">
        <v>2.09</v>
      </c>
      <c r="I41" s="322">
        <v>2.09</v>
      </c>
      <c r="J41" s="26">
        <v>9.2999999999999999E-2</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6.1" customHeight="1" x14ac:dyDescent="0.2">
      <c r="A42" s="325" t="s">
        <v>653</v>
      </c>
      <c r="B42" s="18"/>
      <c r="C42" s="327">
        <v>0</v>
      </c>
      <c r="D42" s="92">
        <v>4.22</v>
      </c>
      <c r="E42" s="93">
        <v>0.43099999999999999</v>
      </c>
      <c r="F42" s="94">
        <v>1.0999999999999999E-2</v>
      </c>
      <c r="G42" s="319">
        <v>819.53</v>
      </c>
      <c r="H42" s="319">
        <v>2.09</v>
      </c>
      <c r="I42" s="322">
        <v>2.09</v>
      </c>
      <c r="J42" s="26">
        <v>9.2999999999999999E-2</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6.1" customHeight="1" x14ac:dyDescent="0.2">
      <c r="A43" s="325" t="s">
        <v>654</v>
      </c>
      <c r="B43" s="18"/>
      <c r="C43" s="327">
        <v>0</v>
      </c>
      <c r="D43" s="92">
        <v>3.9830000000000001</v>
      </c>
      <c r="E43" s="93">
        <v>0.32900000000000001</v>
      </c>
      <c r="F43" s="94">
        <v>0.01</v>
      </c>
      <c r="G43" s="319">
        <v>6.9</v>
      </c>
      <c r="H43" s="319">
        <v>4.9400000000000004</v>
      </c>
      <c r="I43" s="322">
        <v>4.9400000000000004</v>
      </c>
      <c r="J43" s="26">
        <v>8.1000000000000003E-2</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6.1" customHeight="1" x14ac:dyDescent="0.2">
      <c r="A44" s="325" t="s">
        <v>655</v>
      </c>
      <c r="B44" s="25"/>
      <c r="C44" s="327">
        <v>0</v>
      </c>
      <c r="D44" s="92">
        <v>3.9830000000000001</v>
      </c>
      <c r="E44" s="93">
        <v>0.32900000000000001</v>
      </c>
      <c r="F44" s="94">
        <v>0.01</v>
      </c>
      <c r="G44" s="319">
        <v>233.44</v>
      </c>
      <c r="H44" s="319">
        <v>4.9400000000000004</v>
      </c>
      <c r="I44" s="322">
        <v>4.9400000000000004</v>
      </c>
      <c r="J44" s="26">
        <v>8.1000000000000003E-2</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6.1" customHeight="1" x14ac:dyDescent="0.2">
      <c r="A45" s="325" t="s">
        <v>656</v>
      </c>
      <c r="B45" s="18"/>
      <c r="C45" s="327">
        <v>0</v>
      </c>
      <c r="D45" s="92">
        <v>3.9830000000000001</v>
      </c>
      <c r="E45" s="93">
        <v>0.32900000000000001</v>
      </c>
      <c r="F45" s="94">
        <v>0.01</v>
      </c>
      <c r="G45" s="319">
        <v>384.8</v>
      </c>
      <c r="H45" s="319">
        <v>4.9400000000000004</v>
      </c>
      <c r="I45" s="322">
        <v>4.9400000000000004</v>
      </c>
      <c r="J45" s="26">
        <v>8.1000000000000003E-2</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6.1" customHeight="1" x14ac:dyDescent="0.2">
      <c r="A46" s="325" t="s">
        <v>657</v>
      </c>
      <c r="B46" s="18"/>
      <c r="C46" s="327">
        <v>0</v>
      </c>
      <c r="D46" s="92">
        <v>3.9830000000000001</v>
      </c>
      <c r="E46" s="93">
        <v>0.32900000000000001</v>
      </c>
      <c r="F46" s="94">
        <v>0.01</v>
      </c>
      <c r="G46" s="319">
        <v>646.91</v>
      </c>
      <c r="H46" s="319">
        <v>4.9400000000000004</v>
      </c>
      <c r="I46" s="322">
        <v>4.9400000000000004</v>
      </c>
      <c r="J46" s="26">
        <v>8.1000000000000003E-2</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6.1" customHeight="1" x14ac:dyDescent="0.2">
      <c r="A47" s="325" t="s">
        <v>658</v>
      </c>
      <c r="B47" s="18"/>
      <c r="C47" s="327">
        <v>0</v>
      </c>
      <c r="D47" s="92">
        <v>3.9830000000000001</v>
      </c>
      <c r="E47" s="93">
        <v>0.32900000000000001</v>
      </c>
      <c r="F47" s="94">
        <v>0.01</v>
      </c>
      <c r="G47" s="319">
        <v>1358.04</v>
      </c>
      <c r="H47" s="319">
        <v>4.9400000000000004</v>
      </c>
      <c r="I47" s="322">
        <v>4.9400000000000004</v>
      </c>
      <c r="J47" s="26">
        <v>8.1000000000000003E-2</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6.1" customHeight="1" x14ac:dyDescent="0.2">
      <c r="A48" s="325" t="s">
        <v>659</v>
      </c>
      <c r="B48" s="18"/>
      <c r="C48" s="327">
        <v>0</v>
      </c>
      <c r="D48" s="92">
        <v>3.2919999999999998</v>
      </c>
      <c r="E48" s="93">
        <v>0.24199999999999999</v>
      </c>
      <c r="F48" s="94">
        <v>8.0000000000000002E-3</v>
      </c>
      <c r="G48" s="319">
        <v>120.19</v>
      </c>
      <c r="H48" s="319">
        <v>6.76</v>
      </c>
      <c r="I48" s="322">
        <v>6.76</v>
      </c>
      <c r="J48" s="26">
        <v>6.2E-2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6.1" customHeight="1" x14ac:dyDescent="0.2">
      <c r="A49" s="325" t="s">
        <v>660</v>
      </c>
      <c r="B49" s="18"/>
      <c r="C49" s="327">
        <v>0</v>
      </c>
      <c r="D49" s="92">
        <v>3.2919999999999998</v>
      </c>
      <c r="E49" s="93">
        <v>0.24199999999999999</v>
      </c>
      <c r="F49" s="94">
        <v>8.0000000000000002E-3</v>
      </c>
      <c r="G49" s="319">
        <v>1361.36</v>
      </c>
      <c r="H49" s="319">
        <v>6.76</v>
      </c>
      <c r="I49" s="322">
        <v>6.76</v>
      </c>
      <c r="J49" s="26">
        <v>6.2E-2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6.1" customHeight="1" x14ac:dyDescent="0.2">
      <c r="A50" s="325" t="s">
        <v>661</v>
      </c>
      <c r="B50" s="25"/>
      <c r="C50" s="327">
        <v>0</v>
      </c>
      <c r="D50" s="92">
        <v>3.2919999999999998</v>
      </c>
      <c r="E50" s="93">
        <v>0.24199999999999999</v>
      </c>
      <c r="F50" s="94">
        <v>8.0000000000000002E-3</v>
      </c>
      <c r="G50" s="319">
        <v>4080.28</v>
      </c>
      <c r="H50" s="319">
        <v>6.76</v>
      </c>
      <c r="I50" s="322">
        <v>6.76</v>
      </c>
      <c r="J50" s="26">
        <v>6.2E-2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6.1" customHeight="1" x14ac:dyDescent="0.2">
      <c r="A51" s="325" t="s">
        <v>662</v>
      </c>
      <c r="B51" s="18"/>
      <c r="C51" s="327">
        <v>0</v>
      </c>
      <c r="D51" s="92">
        <v>3.2919999999999998</v>
      </c>
      <c r="E51" s="93">
        <v>0.24199999999999999</v>
      </c>
      <c r="F51" s="94">
        <v>8.0000000000000002E-3</v>
      </c>
      <c r="G51" s="319">
        <v>7931.73</v>
      </c>
      <c r="H51" s="319">
        <v>6.76</v>
      </c>
      <c r="I51" s="322">
        <v>6.76</v>
      </c>
      <c r="J51" s="26">
        <v>6.2E-2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6.1" customHeight="1" x14ac:dyDescent="0.2">
      <c r="A52" s="325" t="s">
        <v>663</v>
      </c>
      <c r="B52" s="18"/>
      <c r="C52" s="327">
        <v>0</v>
      </c>
      <c r="D52" s="92">
        <v>3.2919999999999998</v>
      </c>
      <c r="E52" s="93">
        <v>0.24199999999999999</v>
      </c>
      <c r="F52" s="94">
        <v>8.0000000000000002E-3</v>
      </c>
      <c r="G52" s="319">
        <v>20866.16</v>
      </c>
      <c r="H52" s="319">
        <v>6.76</v>
      </c>
      <c r="I52" s="322">
        <v>6.76</v>
      </c>
      <c r="J52" s="26">
        <v>6.2E-2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6.1" customHeight="1" x14ac:dyDescent="0.2">
      <c r="A53" s="325" t="s">
        <v>583</v>
      </c>
      <c r="B53" s="25"/>
      <c r="C53" s="327">
        <v>0</v>
      </c>
      <c r="D53" s="95">
        <v>14.002000000000001</v>
      </c>
      <c r="E53" s="96">
        <v>1.196</v>
      </c>
      <c r="F53" s="94">
        <v>0.71799999999999997</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6.1" customHeight="1" x14ac:dyDescent="0.2">
      <c r="A54" s="325" t="s">
        <v>612</v>
      </c>
      <c r="B54" s="25"/>
      <c r="C54" s="327">
        <v>0</v>
      </c>
      <c r="D54" s="92">
        <v>-9.4149999999999991</v>
      </c>
      <c r="E54" s="93">
        <v>-1.024</v>
      </c>
      <c r="F54" s="94">
        <v>-2.5999999999999999E-2</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6.1" customHeight="1" x14ac:dyDescent="0.2">
      <c r="A55" s="325" t="s">
        <v>613</v>
      </c>
      <c r="B55" s="323"/>
      <c r="C55" s="327">
        <v>0</v>
      </c>
      <c r="D55" s="92">
        <v>-8.1029999999999998</v>
      </c>
      <c r="E55" s="93">
        <v>-0.85299999999999998</v>
      </c>
      <c r="F55" s="94">
        <v>-2.1999999999999999E-2</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6.1" customHeight="1" x14ac:dyDescent="0.2">
      <c r="A56" s="325" t="s">
        <v>614</v>
      </c>
      <c r="B56" s="25"/>
      <c r="C56" s="327">
        <v>0</v>
      </c>
      <c r="D56" s="92">
        <v>-9.4149999999999991</v>
      </c>
      <c r="E56" s="93">
        <v>-1.024</v>
      </c>
      <c r="F56" s="94">
        <v>-2.5999999999999999E-2</v>
      </c>
      <c r="G56" s="319" t="s">
        <v>840</v>
      </c>
      <c r="H56" s="320" t="s">
        <v>840</v>
      </c>
      <c r="I56" s="321" t="s">
        <v>840</v>
      </c>
      <c r="J56" s="26">
        <v>0.22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6.1" customHeight="1" x14ac:dyDescent="0.2">
      <c r="A57" s="325" t="s">
        <v>615</v>
      </c>
      <c r="B57" s="25"/>
      <c r="C57" s="327">
        <v>0</v>
      </c>
      <c r="D57" s="92">
        <v>-8.1029999999999998</v>
      </c>
      <c r="E57" s="93">
        <v>-0.85299999999999998</v>
      </c>
      <c r="F57" s="94">
        <v>-2.1999999999999999E-2</v>
      </c>
      <c r="G57" s="319" t="s">
        <v>840</v>
      </c>
      <c r="H57" s="320" t="s">
        <v>840</v>
      </c>
      <c r="I57" s="321" t="s">
        <v>840</v>
      </c>
      <c r="J57" s="26">
        <v>0.17899999999999999</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6.1" customHeight="1" x14ac:dyDescent="0.2">
      <c r="A58" s="325" t="s">
        <v>616</v>
      </c>
      <c r="B58" s="25"/>
      <c r="C58" s="327">
        <v>0</v>
      </c>
      <c r="D58" s="92">
        <v>-5.194</v>
      </c>
      <c r="E58" s="93">
        <v>-0.43</v>
      </c>
      <c r="F58" s="94">
        <v>-1.2999999999999999E-2</v>
      </c>
      <c r="G58" s="319" t="s">
        <v>840</v>
      </c>
      <c r="H58" s="320" t="s">
        <v>840</v>
      </c>
      <c r="I58" s="321" t="s">
        <v>840</v>
      </c>
      <c r="J58" s="26">
        <v>0.16</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6.1" customHeight="1" x14ac:dyDescent="0.2">
      <c r="A59" s="324" t="s">
        <v>781</v>
      </c>
      <c r="B59" s="25"/>
      <c r="C59" s="327">
        <v>0</v>
      </c>
      <c r="D59" s="92">
        <v>3.0840000000000001</v>
      </c>
      <c r="E59" s="93">
        <v>0.33500000000000002</v>
      </c>
      <c r="F59" s="94">
        <v>8.9999999999999993E-3</v>
      </c>
      <c r="G59" s="319">
        <v>4.1500000000000004</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6.1" customHeight="1" x14ac:dyDescent="0.2">
      <c r="A60" s="324" t="s">
        <v>664</v>
      </c>
      <c r="B60" s="25"/>
      <c r="C60" s="327">
        <v>0</v>
      </c>
      <c r="D60" s="92">
        <v>3.0840000000000001</v>
      </c>
      <c r="E60" s="93">
        <v>0.33500000000000002</v>
      </c>
      <c r="F60" s="94">
        <v>8.9999999999999993E-3</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6.1" customHeight="1" x14ac:dyDescent="0.2">
      <c r="A61" s="324" t="s">
        <v>788</v>
      </c>
      <c r="B61" s="18"/>
      <c r="C61" s="327">
        <v>0</v>
      </c>
      <c r="D61" s="92">
        <v>3.323</v>
      </c>
      <c r="E61" s="93">
        <v>0.36099999999999999</v>
      </c>
      <c r="F61" s="94">
        <v>8.9999999999999993E-3</v>
      </c>
      <c r="G61" s="319">
        <v>2.0699999999999998</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6.1" customHeight="1" x14ac:dyDescent="0.2">
      <c r="A62" s="324" t="s">
        <v>795</v>
      </c>
      <c r="B62" s="25"/>
      <c r="C62" s="327">
        <v>0</v>
      </c>
      <c r="D62" s="92">
        <v>3.323</v>
      </c>
      <c r="E62" s="93">
        <v>0.36099999999999999</v>
      </c>
      <c r="F62" s="94">
        <v>8.9999999999999993E-3</v>
      </c>
      <c r="G62" s="319">
        <v>4.95</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6.1" customHeight="1" x14ac:dyDescent="0.2">
      <c r="A63" s="324" t="s">
        <v>802</v>
      </c>
      <c r="B63" s="18"/>
      <c r="C63" s="327">
        <v>0</v>
      </c>
      <c r="D63" s="92">
        <v>3.323</v>
      </c>
      <c r="E63" s="93">
        <v>0.36099999999999999</v>
      </c>
      <c r="F63" s="94">
        <v>8.9999999999999993E-3</v>
      </c>
      <c r="G63" s="319">
        <v>8.49</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6.1" customHeight="1" x14ac:dyDescent="0.2">
      <c r="A64" s="324" t="s">
        <v>809</v>
      </c>
      <c r="B64" s="18"/>
      <c r="C64" s="327">
        <v>0</v>
      </c>
      <c r="D64" s="92">
        <v>3.323</v>
      </c>
      <c r="E64" s="93">
        <v>0.36099999999999999</v>
      </c>
      <c r="F64" s="94">
        <v>8.9999999999999993E-3</v>
      </c>
      <c r="G64" s="319">
        <v>15.43</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6.1" customHeight="1" x14ac:dyDescent="0.2">
      <c r="A65" s="324" t="s">
        <v>816</v>
      </c>
      <c r="B65" s="18"/>
      <c r="C65" s="327">
        <v>0</v>
      </c>
      <c r="D65" s="92">
        <v>3.323</v>
      </c>
      <c r="E65" s="93">
        <v>0.36099999999999999</v>
      </c>
      <c r="F65" s="94">
        <v>8.9999999999999993E-3</v>
      </c>
      <c r="G65" s="319">
        <v>39.82</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6.1" customHeight="1" x14ac:dyDescent="0.2">
      <c r="A66" s="324" t="s">
        <v>584</v>
      </c>
      <c r="B66" s="25"/>
      <c r="C66" s="327">
        <v>0</v>
      </c>
      <c r="D66" s="92">
        <v>3.323</v>
      </c>
      <c r="E66" s="93">
        <v>0.36099999999999999</v>
      </c>
      <c r="F66" s="94">
        <v>8.9999999999999993E-3</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6.1" customHeight="1" x14ac:dyDescent="0.2">
      <c r="A67" s="324" t="s">
        <v>665</v>
      </c>
      <c r="B67" s="18"/>
      <c r="C67" s="327">
        <v>0</v>
      </c>
      <c r="D67" s="92">
        <v>2.544</v>
      </c>
      <c r="E67" s="93">
        <v>0.26</v>
      </c>
      <c r="F67" s="94">
        <v>7.0000000000000001E-3</v>
      </c>
      <c r="G67" s="319">
        <v>7.05</v>
      </c>
      <c r="H67" s="319">
        <v>1.26</v>
      </c>
      <c r="I67" s="322">
        <v>1.26</v>
      </c>
      <c r="J67" s="26">
        <v>5.6000000000000001E-2</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6.1" customHeight="1" x14ac:dyDescent="0.2">
      <c r="A68" s="324" t="s">
        <v>666</v>
      </c>
      <c r="B68" s="25"/>
      <c r="C68" s="327">
        <v>0</v>
      </c>
      <c r="D68" s="92">
        <v>2.544</v>
      </c>
      <c r="E68" s="93">
        <v>0.26</v>
      </c>
      <c r="F68" s="94">
        <v>7.0000000000000001E-3</v>
      </c>
      <c r="G68" s="319">
        <v>88.69</v>
      </c>
      <c r="H68" s="319">
        <v>1.26</v>
      </c>
      <c r="I68" s="322">
        <v>1.26</v>
      </c>
      <c r="J68" s="26">
        <v>5.6000000000000001E-2</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6.1" customHeight="1" x14ac:dyDescent="0.2">
      <c r="A69" s="324" t="s">
        <v>667</v>
      </c>
      <c r="B69" s="18"/>
      <c r="C69" s="327">
        <v>0</v>
      </c>
      <c r="D69" s="92">
        <v>2.544</v>
      </c>
      <c r="E69" s="93">
        <v>0.26</v>
      </c>
      <c r="F69" s="94">
        <v>7.0000000000000001E-3</v>
      </c>
      <c r="G69" s="319">
        <v>143.25</v>
      </c>
      <c r="H69" s="319">
        <v>1.26</v>
      </c>
      <c r="I69" s="322">
        <v>1.26</v>
      </c>
      <c r="J69" s="26">
        <v>5.6000000000000001E-2</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6.1" customHeight="1" x14ac:dyDescent="0.2">
      <c r="A70" s="324" t="s">
        <v>668</v>
      </c>
      <c r="B70" s="18"/>
      <c r="C70" s="327">
        <v>0</v>
      </c>
      <c r="D70" s="92">
        <v>2.544</v>
      </c>
      <c r="E70" s="93">
        <v>0.26</v>
      </c>
      <c r="F70" s="94">
        <v>7.0000000000000001E-3</v>
      </c>
      <c r="G70" s="319">
        <v>237.72</v>
      </c>
      <c r="H70" s="319">
        <v>1.26</v>
      </c>
      <c r="I70" s="322">
        <v>1.26</v>
      </c>
      <c r="J70" s="26">
        <v>5.6000000000000001E-2</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6.1" customHeight="1" x14ac:dyDescent="0.2">
      <c r="A71" s="324" t="s">
        <v>669</v>
      </c>
      <c r="B71" s="18"/>
      <c r="C71" s="327">
        <v>0</v>
      </c>
      <c r="D71" s="92">
        <v>2.544</v>
      </c>
      <c r="E71" s="93">
        <v>0.26</v>
      </c>
      <c r="F71" s="94">
        <v>7.0000000000000001E-3</v>
      </c>
      <c r="G71" s="319">
        <v>494.02</v>
      </c>
      <c r="H71" s="319">
        <v>1.26</v>
      </c>
      <c r="I71" s="322">
        <v>1.26</v>
      </c>
      <c r="J71" s="26">
        <v>5.6000000000000001E-2</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6.1" customHeight="1" x14ac:dyDescent="0.2">
      <c r="A72" s="324" t="s">
        <v>670</v>
      </c>
      <c r="B72" s="18"/>
      <c r="C72" s="327">
        <v>0</v>
      </c>
      <c r="D72" s="92">
        <v>2.3149999999999999</v>
      </c>
      <c r="E72" s="93">
        <v>0.191</v>
      </c>
      <c r="F72" s="94">
        <v>6.0000000000000001E-3</v>
      </c>
      <c r="G72" s="319">
        <v>4.01</v>
      </c>
      <c r="H72" s="319">
        <v>2.87</v>
      </c>
      <c r="I72" s="322">
        <v>2.87</v>
      </c>
      <c r="J72" s="26">
        <v>4.7E-2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6.1" customHeight="1" x14ac:dyDescent="0.2">
      <c r="A73" s="324" t="s">
        <v>671</v>
      </c>
      <c r="B73" s="25"/>
      <c r="C73" s="327">
        <v>0</v>
      </c>
      <c r="D73" s="92">
        <v>2.3149999999999999</v>
      </c>
      <c r="E73" s="93">
        <v>0.191</v>
      </c>
      <c r="F73" s="94">
        <v>6.0000000000000001E-3</v>
      </c>
      <c r="G73" s="319">
        <v>135.66</v>
      </c>
      <c r="H73" s="319">
        <v>2.87</v>
      </c>
      <c r="I73" s="322">
        <v>2.87</v>
      </c>
      <c r="J73" s="26">
        <v>4.7E-2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6.1" customHeight="1" x14ac:dyDescent="0.2">
      <c r="A74" s="324" t="s">
        <v>672</v>
      </c>
      <c r="B74" s="18"/>
      <c r="C74" s="327">
        <v>0</v>
      </c>
      <c r="D74" s="92">
        <v>2.3149999999999999</v>
      </c>
      <c r="E74" s="93">
        <v>0.191</v>
      </c>
      <c r="F74" s="94">
        <v>6.0000000000000001E-3</v>
      </c>
      <c r="G74" s="319">
        <v>223.63</v>
      </c>
      <c r="H74" s="319">
        <v>2.87</v>
      </c>
      <c r="I74" s="322">
        <v>2.87</v>
      </c>
      <c r="J74" s="26">
        <v>4.7E-2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6.1" customHeight="1" x14ac:dyDescent="0.2">
      <c r="A75" s="324" t="s">
        <v>673</v>
      </c>
      <c r="B75" s="18"/>
      <c r="C75" s="327">
        <v>0</v>
      </c>
      <c r="D75" s="92">
        <v>2.3149999999999999</v>
      </c>
      <c r="E75" s="93">
        <v>0.191</v>
      </c>
      <c r="F75" s="94">
        <v>6.0000000000000001E-3</v>
      </c>
      <c r="G75" s="319">
        <v>375.96</v>
      </c>
      <c r="H75" s="319">
        <v>2.87</v>
      </c>
      <c r="I75" s="322">
        <v>2.87</v>
      </c>
      <c r="J75" s="26">
        <v>4.7E-2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6.1" customHeight="1" x14ac:dyDescent="0.2">
      <c r="A76" s="324" t="s">
        <v>674</v>
      </c>
      <c r="B76" s="18"/>
      <c r="C76" s="327">
        <v>0</v>
      </c>
      <c r="D76" s="92">
        <v>2.3149999999999999</v>
      </c>
      <c r="E76" s="93">
        <v>0.191</v>
      </c>
      <c r="F76" s="94">
        <v>6.0000000000000001E-3</v>
      </c>
      <c r="G76" s="319">
        <v>789.24</v>
      </c>
      <c r="H76" s="319">
        <v>2.87</v>
      </c>
      <c r="I76" s="322">
        <v>2.87</v>
      </c>
      <c r="J76" s="26">
        <v>4.7E-2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6.1" customHeight="1" x14ac:dyDescent="0.2">
      <c r="A77" s="324" t="s">
        <v>675</v>
      </c>
      <c r="B77" s="18"/>
      <c r="C77" s="327">
        <v>0</v>
      </c>
      <c r="D77" s="92">
        <v>1.8879999999999999</v>
      </c>
      <c r="E77" s="93">
        <v>0.13900000000000001</v>
      </c>
      <c r="F77" s="94">
        <v>4.0000000000000001E-3</v>
      </c>
      <c r="G77" s="319">
        <v>68.92</v>
      </c>
      <c r="H77" s="319">
        <v>3.88</v>
      </c>
      <c r="I77" s="322">
        <v>3.88</v>
      </c>
      <c r="J77" s="26">
        <v>3.5999999999999997E-2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6.1" customHeight="1" x14ac:dyDescent="0.2">
      <c r="A78" s="324" t="s">
        <v>676</v>
      </c>
      <c r="B78" s="25"/>
      <c r="C78" s="327">
        <v>0</v>
      </c>
      <c r="D78" s="92">
        <v>1.8879999999999999</v>
      </c>
      <c r="E78" s="93">
        <v>0.13900000000000001</v>
      </c>
      <c r="F78" s="94">
        <v>4.0000000000000001E-3</v>
      </c>
      <c r="G78" s="319">
        <v>780.64</v>
      </c>
      <c r="H78" s="319">
        <v>3.88</v>
      </c>
      <c r="I78" s="322">
        <v>3.88</v>
      </c>
      <c r="J78" s="26">
        <v>3.5999999999999997E-2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6.1" customHeight="1" x14ac:dyDescent="0.2">
      <c r="A79" s="324" t="s">
        <v>677</v>
      </c>
      <c r="B79" s="18"/>
      <c r="C79" s="327">
        <v>0</v>
      </c>
      <c r="D79" s="92">
        <v>1.8879999999999999</v>
      </c>
      <c r="E79" s="93">
        <v>0.13900000000000001</v>
      </c>
      <c r="F79" s="94">
        <v>4.0000000000000001E-3</v>
      </c>
      <c r="G79" s="319">
        <v>2339.7600000000002</v>
      </c>
      <c r="H79" s="319">
        <v>3.88</v>
      </c>
      <c r="I79" s="322">
        <v>3.88</v>
      </c>
      <c r="J79" s="26">
        <v>3.5999999999999997E-2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6.1" customHeight="1" x14ac:dyDescent="0.2">
      <c r="A80" s="324" t="s">
        <v>678</v>
      </c>
      <c r="B80" s="18"/>
      <c r="C80" s="327">
        <v>0</v>
      </c>
      <c r="D80" s="92">
        <v>1.8879999999999999</v>
      </c>
      <c r="E80" s="93">
        <v>0.13900000000000001</v>
      </c>
      <c r="F80" s="94">
        <v>4.0000000000000001E-3</v>
      </c>
      <c r="G80" s="319">
        <v>4548.3100000000004</v>
      </c>
      <c r="H80" s="319">
        <v>3.88</v>
      </c>
      <c r="I80" s="322">
        <v>3.88</v>
      </c>
      <c r="J80" s="26">
        <v>3.5999999999999997E-2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6.1" customHeight="1" x14ac:dyDescent="0.2">
      <c r="A81" s="324" t="s">
        <v>679</v>
      </c>
      <c r="B81" s="18"/>
      <c r="C81" s="327">
        <v>0</v>
      </c>
      <c r="D81" s="92">
        <v>1.8879999999999999</v>
      </c>
      <c r="E81" s="93">
        <v>0.13900000000000001</v>
      </c>
      <c r="F81" s="94">
        <v>4.0000000000000001E-3</v>
      </c>
      <c r="G81" s="319">
        <v>11965.32</v>
      </c>
      <c r="H81" s="319">
        <v>3.88</v>
      </c>
      <c r="I81" s="322">
        <v>3.88</v>
      </c>
      <c r="J81" s="26">
        <v>3.5999999999999997E-2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6.1" customHeight="1" x14ac:dyDescent="0.2">
      <c r="A82" s="324" t="s">
        <v>585</v>
      </c>
      <c r="B82" s="25"/>
      <c r="C82" s="327">
        <v>0</v>
      </c>
      <c r="D82" s="95">
        <v>8.44</v>
      </c>
      <c r="E82" s="96">
        <v>0.72099999999999997</v>
      </c>
      <c r="F82" s="94">
        <v>0.433</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6.1" customHeight="1" x14ac:dyDescent="0.2">
      <c r="A83" s="324" t="s">
        <v>617</v>
      </c>
      <c r="B83" s="25"/>
      <c r="C83" s="327">
        <v>0</v>
      </c>
      <c r="D83" s="92">
        <v>-3.577</v>
      </c>
      <c r="E83" s="93">
        <v>-0.38900000000000001</v>
      </c>
      <c r="F83" s="94">
        <v>-0.01</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6.1" customHeight="1" x14ac:dyDescent="0.2">
      <c r="A84" s="324" t="s">
        <v>618</v>
      </c>
      <c r="B84" s="323"/>
      <c r="C84" s="327">
        <v>0</v>
      </c>
      <c r="D84" s="92">
        <v>-3.4950000000000001</v>
      </c>
      <c r="E84" s="93">
        <v>-0.36799999999999999</v>
      </c>
      <c r="F84" s="94">
        <v>-0.01</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6.1" customHeight="1" x14ac:dyDescent="0.2">
      <c r="A85" s="324" t="s">
        <v>619</v>
      </c>
      <c r="B85" s="25"/>
      <c r="C85" s="327">
        <v>0</v>
      </c>
      <c r="D85" s="92">
        <v>-3.577</v>
      </c>
      <c r="E85" s="93">
        <v>-0.38900000000000001</v>
      </c>
      <c r="F85" s="94">
        <v>-0.01</v>
      </c>
      <c r="G85" s="319" t="s">
        <v>840</v>
      </c>
      <c r="H85" s="320" t="s">
        <v>840</v>
      </c>
      <c r="I85" s="321" t="s">
        <v>840</v>
      </c>
      <c r="J85" s="26">
        <v>8.3000000000000004E-2</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6.1" customHeight="1" x14ac:dyDescent="0.2">
      <c r="A86" s="324" t="s">
        <v>620</v>
      </c>
      <c r="B86" s="25"/>
      <c r="C86" s="327">
        <v>0</v>
      </c>
      <c r="D86" s="92">
        <v>-3.4950000000000001</v>
      </c>
      <c r="E86" s="93">
        <v>-0.36799999999999999</v>
      </c>
      <c r="F86" s="94">
        <v>-0.01</v>
      </c>
      <c r="G86" s="319" t="s">
        <v>840</v>
      </c>
      <c r="H86" s="320" t="s">
        <v>840</v>
      </c>
      <c r="I86" s="321" t="s">
        <v>840</v>
      </c>
      <c r="J86" s="26">
        <v>7.6999999999999999E-2</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6.1" customHeight="1" x14ac:dyDescent="0.2">
      <c r="A87" s="324" t="s">
        <v>621</v>
      </c>
      <c r="B87" s="25"/>
      <c r="C87" s="327">
        <v>0</v>
      </c>
      <c r="D87" s="92">
        <v>-5.194</v>
      </c>
      <c r="E87" s="93">
        <v>-0.43</v>
      </c>
      <c r="F87" s="94">
        <v>-1.2999999999999999E-2</v>
      </c>
      <c r="G87" s="319">
        <v>116.68</v>
      </c>
      <c r="H87" s="320" t="s">
        <v>840</v>
      </c>
      <c r="I87" s="321" t="s">
        <v>840</v>
      </c>
      <c r="J87" s="26">
        <v>0.16</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6.1" customHeight="1" x14ac:dyDescent="0.2">
      <c r="A88" s="324" t="s">
        <v>782</v>
      </c>
      <c r="B88" s="25"/>
      <c r="C88" s="327">
        <v>0</v>
      </c>
      <c r="D88" s="92">
        <v>1.5029999999999999</v>
      </c>
      <c r="E88" s="93">
        <v>0.16300000000000001</v>
      </c>
      <c r="F88" s="94">
        <v>4.0000000000000001E-3</v>
      </c>
      <c r="G88" s="319">
        <v>2.02</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6.1" customHeight="1" x14ac:dyDescent="0.2">
      <c r="A89" s="324" t="s">
        <v>680</v>
      </c>
      <c r="B89" s="25"/>
      <c r="C89" s="327">
        <v>0</v>
      </c>
      <c r="D89" s="92">
        <v>1.5029999999999999</v>
      </c>
      <c r="E89" s="93">
        <v>0.16300000000000001</v>
      </c>
      <c r="F89" s="94">
        <v>4.0000000000000001E-3</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6.1" customHeight="1" x14ac:dyDescent="0.2">
      <c r="A90" s="324" t="s">
        <v>789</v>
      </c>
      <c r="B90" s="18"/>
      <c r="C90" s="327">
        <v>0</v>
      </c>
      <c r="D90" s="92">
        <v>1.619</v>
      </c>
      <c r="E90" s="93">
        <v>0.17599999999999999</v>
      </c>
      <c r="F90" s="94">
        <v>4.0000000000000001E-3</v>
      </c>
      <c r="G90" s="319">
        <v>1.01</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6.1" customHeight="1" x14ac:dyDescent="0.2">
      <c r="A91" s="324" t="s">
        <v>796</v>
      </c>
      <c r="B91" s="25"/>
      <c r="C91" s="327">
        <v>0</v>
      </c>
      <c r="D91" s="92">
        <v>1.619</v>
      </c>
      <c r="E91" s="93">
        <v>0.17599999999999999</v>
      </c>
      <c r="F91" s="94">
        <v>4.0000000000000001E-3</v>
      </c>
      <c r="G91" s="319">
        <v>2.41</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6.1" customHeight="1" x14ac:dyDescent="0.2">
      <c r="A92" s="324" t="s">
        <v>803</v>
      </c>
      <c r="B92" s="18"/>
      <c r="C92" s="327">
        <v>0</v>
      </c>
      <c r="D92" s="92">
        <v>1.619</v>
      </c>
      <c r="E92" s="93">
        <v>0.17599999999999999</v>
      </c>
      <c r="F92" s="94">
        <v>4.0000000000000001E-3</v>
      </c>
      <c r="G92" s="319">
        <v>4.1399999999999997</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6.1" customHeight="1" x14ac:dyDescent="0.2">
      <c r="A93" s="324" t="s">
        <v>810</v>
      </c>
      <c r="B93" s="18"/>
      <c r="C93" s="327">
        <v>0</v>
      </c>
      <c r="D93" s="92">
        <v>1.619</v>
      </c>
      <c r="E93" s="93">
        <v>0.17599999999999999</v>
      </c>
      <c r="F93" s="94">
        <v>4.0000000000000001E-3</v>
      </c>
      <c r="G93" s="319">
        <v>7.52</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6.1" customHeight="1" x14ac:dyDescent="0.2">
      <c r="A94" s="324" t="s">
        <v>817</v>
      </c>
      <c r="B94" s="18"/>
      <c r="C94" s="327">
        <v>0</v>
      </c>
      <c r="D94" s="92">
        <v>1.619</v>
      </c>
      <c r="E94" s="93">
        <v>0.17599999999999999</v>
      </c>
      <c r="F94" s="94">
        <v>4.0000000000000001E-3</v>
      </c>
      <c r="G94" s="319">
        <v>19.399999999999999</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6.1" customHeight="1" x14ac:dyDescent="0.2">
      <c r="A95" s="324" t="s">
        <v>586</v>
      </c>
      <c r="B95" s="25"/>
      <c r="C95" s="327">
        <v>0</v>
      </c>
      <c r="D95" s="92">
        <v>1.619</v>
      </c>
      <c r="E95" s="93">
        <v>0.17599999999999999</v>
      </c>
      <c r="F95" s="94">
        <v>4.0000000000000001E-3</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6.1" customHeight="1" x14ac:dyDescent="0.2">
      <c r="A96" s="324" t="s">
        <v>681</v>
      </c>
      <c r="B96" s="18"/>
      <c r="C96" s="327">
        <v>0</v>
      </c>
      <c r="D96" s="92">
        <v>1.2390000000000001</v>
      </c>
      <c r="E96" s="93">
        <v>0.127</v>
      </c>
      <c r="F96" s="94">
        <v>3.0000000000000001E-3</v>
      </c>
      <c r="G96" s="319">
        <v>3.43</v>
      </c>
      <c r="H96" s="319">
        <v>0.61</v>
      </c>
      <c r="I96" s="322">
        <v>0.61</v>
      </c>
      <c r="J96" s="26">
        <v>2.7E-2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6.1" customHeight="1" x14ac:dyDescent="0.2">
      <c r="A97" s="324" t="s">
        <v>682</v>
      </c>
      <c r="B97" s="25"/>
      <c r="C97" s="327">
        <v>0</v>
      </c>
      <c r="D97" s="92">
        <v>1.2390000000000001</v>
      </c>
      <c r="E97" s="93">
        <v>0.127</v>
      </c>
      <c r="F97" s="94">
        <v>3.0000000000000001E-3</v>
      </c>
      <c r="G97" s="319">
        <v>43.21</v>
      </c>
      <c r="H97" s="319">
        <v>0.61</v>
      </c>
      <c r="I97" s="322">
        <v>0.61</v>
      </c>
      <c r="J97" s="26">
        <v>2.7E-2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6.1" customHeight="1" x14ac:dyDescent="0.2">
      <c r="A98" s="324" t="s">
        <v>683</v>
      </c>
      <c r="B98" s="18"/>
      <c r="C98" s="327">
        <v>0</v>
      </c>
      <c r="D98" s="92">
        <v>1.2390000000000001</v>
      </c>
      <c r="E98" s="93">
        <v>0.127</v>
      </c>
      <c r="F98" s="94">
        <v>3.0000000000000001E-3</v>
      </c>
      <c r="G98" s="319">
        <v>69.790000000000006</v>
      </c>
      <c r="H98" s="319">
        <v>0.61</v>
      </c>
      <c r="I98" s="322">
        <v>0.61</v>
      </c>
      <c r="J98" s="26">
        <v>2.7E-2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6.1" customHeight="1" x14ac:dyDescent="0.2">
      <c r="A99" s="324" t="s">
        <v>684</v>
      </c>
      <c r="B99" s="18"/>
      <c r="C99" s="327">
        <v>0</v>
      </c>
      <c r="D99" s="92">
        <v>1.2390000000000001</v>
      </c>
      <c r="E99" s="93">
        <v>0.127</v>
      </c>
      <c r="F99" s="94">
        <v>3.0000000000000001E-3</v>
      </c>
      <c r="G99" s="319">
        <v>115.81</v>
      </c>
      <c r="H99" s="319">
        <v>0.61</v>
      </c>
      <c r="I99" s="322">
        <v>0.61</v>
      </c>
      <c r="J99" s="26">
        <v>2.7E-2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6.1" customHeight="1" x14ac:dyDescent="0.2">
      <c r="A100" s="324" t="s">
        <v>685</v>
      </c>
      <c r="B100" s="18"/>
      <c r="C100" s="327">
        <v>0</v>
      </c>
      <c r="D100" s="92">
        <v>1.2390000000000001</v>
      </c>
      <c r="E100" s="93">
        <v>0.127</v>
      </c>
      <c r="F100" s="94">
        <v>3.0000000000000001E-3</v>
      </c>
      <c r="G100" s="319">
        <v>240.68</v>
      </c>
      <c r="H100" s="319">
        <v>0.61</v>
      </c>
      <c r="I100" s="322">
        <v>0.61</v>
      </c>
      <c r="J100" s="26">
        <v>2.7E-2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6.1" customHeight="1" x14ac:dyDescent="0.2">
      <c r="A101" s="324" t="s">
        <v>686</v>
      </c>
      <c r="B101" s="18"/>
      <c r="C101" s="327">
        <v>0</v>
      </c>
      <c r="D101" s="92">
        <v>1.1279999999999999</v>
      </c>
      <c r="E101" s="93">
        <v>9.2999999999999999E-2</v>
      </c>
      <c r="F101" s="94">
        <v>3.0000000000000001E-3</v>
      </c>
      <c r="G101" s="319">
        <v>1.95</v>
      </c>
      <c r="H101" s="319">
        <v>1.4</v>
      </c>
      <c r="I101" s="322">
        <v>1.4</v>
      </c>
      <c r="J101" s="26">
        <v>2.3E-2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6.1" customHeight="1" x14ac:dyDescent="0.2">
      <c r="A102" s="324" t="s">
        <v>687</v>
      </c>
      <c r="B102" s="25"/>
      <c r="C102" s="327">
        <v>0</v>
      </c>
      <c r="D102" s="92">
        <v>1.1279999999999999</v>
      </c>
      <c r="E102" s="93">
        <v>9.2999999999999999E-2</v>
      </c>
      <c r="F102" s="94">
        <v>3.0000000000000001E-3</v>
      </c>
      <c r="G102" s="319">
        <v>66.09</v>
      </c>
      <c r="H102" s="319">
        <v>1.4</v>
      </c>
      <c r="I102" s="322">
        <v>1.4</v>
      </c>
      <c r="J102" s="26">
        <v>2.3E-2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6.1" customHeight="1" x14ac:dyDescent="0.2">
      <c r="A103" s="324" t="s">
        <v>688</v>
      </c>
      <c r="B103" s="18"/>
      <c r="C103" s="327">
        <v>0</v>
      </c>
      <c r="D103" s="92">
        <v>1.1279999999999999</v>
      </c>
      <c r="E103" s="93">
        <v>9.2999999999999999E-2</v>
      </c>
      <c r="F103" s="94">
        <v>3.0000000000000001E-3</v>
      </c>
      <c r="G103" s="319">
        <v>108.95</v>
      </c>
      <c r="H103" s="319">
        <v>1.4</v>
      </c>
      <c r="I103" s="322">
        <v>1.4</v>
      </c>
      <c r="J103" s="26">
        <v>2.3E-2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6.1" customHeight="1" x14ac:dyDescent="0.2">
      <c r="A104" s="324" t="s">
        <v>689</v>
      </c>
      <c r="B104" s="18"/>
      <c r="C104" s="327">
        <v>0</v>
      </c>
      <c r="D104" s="92">
        <v>1.1279999999999999</v>
      </c>
      <c r="E104" s="93">
        <v>9.2999999999999999E-2</v>
      </c>
      <c r="F104" s="94">
        <v>3.0000000000000001E-3</v>
      </c>
      <c r="G104" s="319">
        <v>183.16</v>
      </c>
      <c r="H104" s="319">
        <v>1.4</v>
      </c>
      <c r="I104" s="322">
        <v>1.4</v>
      </c>
      <c r="J104" s="26">
        <v>2.3E-2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6.1" customHeight="1" x14ac:dyDescent="0.2">
      <c r="A105" s="324" t="s">
        <v>690</v>
      </c>
      <c r="B105" s="18"/>
      <c r="C105" s="327">
        <v>0</v>
      </c>
      <c r="D105" s="92">
        <v>1.1279999999999999</v>
      </c>
      <c r="E105" s="93">
        <v>9.2999999999999999E-2</v>
      </c>
      <c r="F105" s="94">
        <v>3.0000000000000001E-3</v>
      </c>
      <c r="G105" s="319">
        <v>384.5</v>
      </c>
      <c r="H105" s="319">
        <v>1.4</v>
      </c>
      <c r="I105" s="322">
        <v>1.4</v>
      </c>
      <c r="J105" s="26">
        <v>2.3E-2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6.1" customHeight="1" x14ac:dyDescent="0.2">
      <c r="A106" s="324" t="s">
        <v>691</v>
      </c>
      <c r="B106" s="18"/>
      <c r="C106" s="327">
        <v>0</v>
      </c>
      <c r="D106" s="92">
        <v>0.92</v>
      </c>
      <c r="E106" s="93">
        <v>6.8000000000000005E-2</v>
      </c>
      <c r="F106" s="94">
        <v>2E-3</v>
      </c>
      <c r="G106" s="319">
        <v>33.58</v>
      </c>
      <c r="H106" s="319">
        <v>1.89</v>
      </c>
      <c r="I106" s="322">
        <v>1.89</v>
      </c>
      <c r="J106" s="26">
        <v>1.7000000000000001E-2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6.1" customHeight="1" x14ac:dyDescent="0.2">
      <c r="A107" s="324" t="s">
        <v>692</v>
      </c>
      <c r="B107" s="25"/>
      <c r="C107" s="327">
        <v>0</v>
      </c>
      <c r="D107" s="92">
        <v>0.92</v>
      </c>
      <c r="E107" s="93">
        <v>6.8000000000000005E-2</v>
      </c>
      <c r="F107" s="94">
        <v>2E-3</v>
      </c>
      <c r="G107" s="319">
        <v>380.31</v>
      </c>
      <c r="H107" s="319">
        <v>1.89</v>
      </c>
      <c r="I107" s="322">
        <v>1.89</v>
      </c>
      <c r="J107" s="26">
        <v>1.7000000000000001E-2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6.1" customHeight="1" x14ac:dyDescent="0.2">
      <c r="A108" s="324" t="s">
        <v>693</v>
      </c>
      <c r="B108" s="18"/>
      <c r="C108" s="327">
        <v>0</v>
      </c>
      <c r="D108" s="92">
        <v>0.92</v>
      </c>
      <c r="E108" s="93">
        <v>6.8000000000000005E-2</v>
      </c>
      <c r="F108" s="94">
        <v>2E-3</v>
      </c>
      <c r="G108" s="319">
        <v>1139.8800000000001</v>
      </c>
      <c r="H108" s="319">
        <v>1.89</v>
      </c>
      <c r="I108" s="322">
        <v>1.89</v>
      </c>
      <c r="J108" s="26">
        <v>1.7000000000000001E-2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6.1" customHeight="1" x14ac:dyDescent="0.2">
      <c r="A109" s="324" t="s">
        <v>694</v>
      </c>
      <c r="B109" s="18"/>
      <c r="C109" s="327">
        <v>0</v>
      </c>
      <c r="D109" s="92">
        <v>0.92</v>
      </c>
      <c r="E109" s="93">
        <v>6.8000000000000005E-2</v>
      </c>
      <c r="F109" s="94">
        <v>2E-3</v>
      </c>
      <c r="G109" s="319">
        <v>2215.84</v>
      </c>
      <c r="H109" s="319">
        <v>1.89</v>
      </c>
      <c r="I109" s="322">
        <v>1.89</v>
      </c>
      <c r="J109" s="26">
        <v>1.7000000000000001E-2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6.1" customHeight="1" x14ac:dyDescent="0.2">
      <c r="A110" s="324" t="s">
        <v>695</v>
      </c>
      <c r="B110" s="18"/>
      <c r="C110" s="327">
        <v>0</v>
      </c>
      <c r="D110" s="92">
        <v>0.92</v>
      </c>
      <c r="E110" s="93">
        <v>6.8000000000000005E-2</v>
      </c>
      <c r="F110" s="94">
        <v>2E-3</v>
      </c>
      <c r="G110" s="319">
        <v>5829.25</v>
      </c>
      <c r="H110" s="319">
        <v>1.89</v>
      </c>
      <c r="I110" s="322">
        <v>1.89</v>
      </c>
      <c r="J110" s="26">
        <v>1.7000000000000001E-2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6.1" customHeight="1" x14ac:dyDescent="0.2">
      <c r="A111" s="324" t="s">
        <v>587</v>
      </c>
      <c r="B111" s="25"/>
      <c r="C111" s="327">
        <v>0</v>
      </c>
      <c r="D111" s="95">
        <v>4.1120000000000001</v>
      </c>
      <c r="E111" s="96">
        <v>0.35099999999999998</v>
      </c>
      <c r="F111" s="94">
        <v>0.21099999999999999</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6.1" customHeight="1" x14ac:dyDescent="0.2">
      <c r="A112" s="324" t="s">
        <v>622</v>
      </c>
      <c r="B112" s="25"/>
      <c r="C112" s="327">
        <v>0</v>
      </c>
      <c r="D112" s="92">
        <v>-1.7430000000000001</v>
      </c>
      <c r="E112" s="93">
        <v>-0.189</v>
      </c>
      <c r="F112" s="94">
        <v>-5.0000000000000001E-3</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6.1" customHeight="1" x14ac:dyDescent="0.2">
      <c r="A113" s="324" t="s">
        <v>623</v>
      </c>
      <c r="B113" s="25"/>
      <c r="C113" s="327">
        <v>0</v>
      </c>
      <c r="D113" s="92">
        <v>-1.7030000000000001</v>
      </c>
      <c r="E113" s="93">
        <v>-0.17899999999999999</v>
      </c>
      <c r="F113" s="94">
        <v>-5.0000000000000001E-3</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6.1" customHeight="1" x14ac:dyDescent="0.2">
      <c r="A114" s="324" t="s">
        <v>624</v>
      </c>
      <c r="B114" s="25"/>
      <c r="C114" s="327">
        <v>0</v>
      </c>
      <c r="D114" s="92">
        <v>-1.7430000000000001</v>
      </c>
      <c r="E114" s="93">
        <v>-0.189</v>
      </c>
      <c r="F114" s="94">
        <v>-5.0000000000000001E-3</v>
      </c>
      <c r="G114" s="319" t="s">
        <v>840</v>
      </c>
      <c r="H114" s="320" t="s">
        <v>840</v>
      </c>
      <c r="I114" s="321" t="s">
        <v>840</v>
      </c>
      <c r="J114" s="26">
        <v>4.1000000000000002E-2</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6.1" customHeight="1" x14ac:dyDescent="0.2">
      <c r="A115" s="324" t="s">
        <v>625</v>
      </c>
      <c r="B115" s="25"/>
      <c r="C115" s="327">
        <v>0</v>
      </c>
      <c r="D115" s="92">
        <v>-1.7030000000000001</v>
      </c>
      <c r="E115" s="93">
        <v>-0.17899999999999999</v>
      </c>
      <c r="F115" s="94">
        <v>-5.0000000000000001E-3</v>
      </c>
      <c r="G115" s="319" t="s">
        <v>840</v>
      </c>
      <c r="H115" s="320" t="s">
        <v>840</v>
      </c>
      <c r="I115" s="321" t="s">
        <v>840</v>
      </c>
      <c r="J115" s="26">
        <v>3.7999999999999999E-2</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6.1" customHeight="1" x14ac:dyDescent="0.2">
      <c r="A116" s="324" t="s">
        <v>626</v>
      </c>
      <c r="B116" s="25"/>
      <c r="C116" s="327">
        <v>0</v>
      </c>
      <c r="D116" s="92">
        <v>-2.5299999999999998</v>
      </c>
      <c r="E116" s="93">
        <v>-0.20899999999999999</v>
      </c>
      <c r="F116" s="94">
        <v>-6.0000000000000001E-3</v>
      </c>
      <c r="G116" s="319">
        <v>56.84</v>
      </c>
      <c r="H116" s="320" t="s">
        <v>840</v>
      </c>
      <c r="I116" s="321" t="s">
        <v>840</v>
      </c>
      <c r="J116" s="26">
        <v>7.8E-2</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6.1" customHeight="1" x14ac:dyDescent="0.2">
      <c r="A117" s="324" t="s">
        <v>783</v>
      </c>
      <c r="B117" s="25"/>
      <c r="C117" s="327">
        <v>0</v>
      </c>
      <c r="D117" s="92">
        <v>0.27500000000000002</v>
      </c>
      <c r="E117" s="93">
        <v>0.03</v>
      </c>
      <c r="F117" s="94">
        <v>1E-3</v>
      </c>
      <c r="G117" s="319">
        <v>0.37</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6.1" customHeight="1" x14ac:dyDescent="0.2">
      <c r="A118" s="324" t="s">
        <v>696</v>
      </c>
      <c r="B118" s="25"/>
      <c r="C118" s="327">
        <v>0</v>
      </c>
      <c r="D118" s="92">
        <v>0.27500000000000002</v>
      </c>
      <c r="E118" s="93">
        <v>0.03</v>
      </c>
      <c r="F118" s="94">
        <v>1E-3</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6.1" customHeight="1" x14ac:dyDescent="0.2">
      <c r="A119" s="324" t="s">
        <v>790</v>
      </c>
      <c r="B119" s="18"/>
      <c r="C119" s="327">
        <v>0</v>
      </c>
      <c r="D119" s="92">
        <v>0.29599999999999999</v>
      </c>
      <c r="E119" s="93">
        <v>3.2000000000000001E-2</v>
      </c>
      <c r="F119" s="94">
        <v>1E-3</v>
      </c>
      <c r="G119" s="319">
        <v>0.18</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6.1" customHeight="1" x14ac:dyDescent="0.2">
      <c r="A120" s="324" t="s">
        <v>797</v>
      </c>
      <c r="B120" s="25"/>
      <c r="C120" s="327">
        <v>0</v>
      </c>
      <c r="D120" s="92">
        <v>0.29599999999999999</v>
      </c>
      <c r="E120" s="93">
        <v>3.2000000000000001E-2</v>
      </c>
      <c r="F120" s="94">
        <v>1E-3</v>
      </c>
      <c r="G120" s="319">
        <v>0.44</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6.1" customHeight="1" x14ac:dyDescent="0.2">
      <c r="A121" s="324" t="s">
        <v>804</v>
      </c>
      <c r="B121" s="18"/>
      <c r="C121" s="327">
        <v>0</v>
      </c>
      <c r="D121" s="92">
        <v>0.29599999999999999</v>
      </c>
      <c r="E121" s="93">
        <v>3.2000000000000001E-2</v>
      </c>
      <c r="F121" s="94">
        <v>1E-3</v>
      </c>
      <c r="G121" s="319">
        <v>0.76</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6.1" customHeight="1" x14ac:dyDescent="0.2">
      <c r="A122" s="324" t="s">
        <v>811</v>
      </c>
      <c r="B122" s="18"/>
      <c r="C122" s="327">
        <v>0</v>
      </c>
      <c r="D122" s="92">
        <v>0.29599999999999999</v>
      </c>
      <c r="E122" s="93">
        <v>3.2000000000000001E-2</v>
      </c>
      <c r="F122" s="94">
        <v>1E-3</v>
      </c>
      <c r="G122" s="319">
        <v>1.38</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6.1" customHeight="1" x14ac:dyDescent="0.2">
      <c r="A123" s="324" t="s">
        <v>818</v>
      </c>
      <c r="B123" s="18"/>
      <c r="C123" s="327">
        <v>0</v>
      </c>
      <c r="D123" s="92">
        <v>0.29599999999999999</v>
      </c>
      <c r="E123" s="93">
        <v>3.2000000000000001E-2</v>
      </c>
      <c r="F123" s="94">
        <v>1E-3</v>
      </c>
      <c r="G123" s="319">
        <v>3.55</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6.1" customHeight="1" x14ac:dyDescent="0.2">
      <c r="A124" s="324" t="s">
        <v>588</v>
      </c>
      <c r="B124" s="25"/>
      <c r="C124" s="327">
        <v>0</v>
      </c>
      <c r="D124" s="92">
        <v>0.29599999999999999</v>
      </c>
      <c r="E124" s="93">
        <v>3.2000000000000001E-2</v>
      </c>
      <c r="F124" s="94">
        <v>1E-3</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6.1" customHeight="1" x14ac:dyDescent="0.2">
      <c r="A125" s="324" t="s">
        <v>697</v>
      </c>
      <c r="B125" s="18"/>
      <c r="C125" s="327">
        <v>0</v>
      </c>
      <c r="D125" s="92">
        <v>0.22700000000000001</v>
      </c>
      <c r="E125" s="93">
        <v>2.3E-2</v>
      </c>
      <c r="F125" s="94">
        <v>1E-3</v>
      </c>
      <c r="G125" s="319">
        <v>0.63</v>
      </c>
      <c r="H125" s="319">
        <v>0.11</v>
      </c>
      <c r="I125" s="322">
        <v>0.11</v>
      </c>
      <c r="J125" s="26">
        <v>5.0000000000000001E-3</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6.1" customHeight="1" x14ac:dyDescent="0.2">
      <c r="A126" s="324" t="s">
        <v>698</v>
      </c>
      <c r="B126" s="25"/>
      <c r="C126" s="327">
        <v>0</v>
      </c>
      <c r="D126" s="92">
        <v>0.22700000000000001</v>
      </c>
      <c r="E126" s="93">
        <v>2.3E-2</v>
      </c>
      <c r="F126" s="94">
        <v>1E-3</v>
      </c>
      <c r="G126" s="319">
        <v>7.91</v>
      </c>
      <c r="H126" s="319">
        <v>0.11</v>
      </c>
      <c r="I126" s="322">
        <v>0.11</v>
      </c>
      <c r="J126" s="26">
        <v>5.0000000000000001E-3</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6.1" customHeight="1" x14ac:dyDescent="0.2">
      <c r="A127" s="324" t="s">
        <v>699</v>
      </c>
      <c r="B127" s="18"/>
      <c r="C127" s="327">
        <v>0</v>
      </c>
      <c r="D127" s="92">
        <v>0.22700000000000001</v>
      </c>
      <c r="E127" s="93">
        <v>2.3E-2</v>
      </c>
      <c r="F127" s="94">
        <v>1E-3</v>
      </c>
      <c r="G127" s="319">
        <v>12.78</v>
      </c>
      <c r="H127" s="319">
        <v>0.11</v>
      </c>
      <c r="I127" s="322">
        <v>0.11</v>
      </c>
      <c r="J127" s="26">
        <v>5.0000000000000001E-3</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6.1" customHeight="1" x14ac:dyDescent="0.2">
      <c r="A128" s="324" t="s">
        <v>700</v>
      </c>
      <c r="B128" s="18"/>
      <c r="C128" s="327">
        <v>0</v>
      </c>
      <c r="D128" s="92">
        <v>0.22700000000000001</v>
      </c>
      <c r="E128" s="93">
        <v>2.3E-2</v>
      </c>
      <c r="F128" s="94">
        <v>1E-3</v>
      </c>
      <c r="G128" s="319">
        <v>21.2</v>
      </c>
      <c r="H128" s="319">
        <v>0.11</v>
      </c>
      <c r="I128" s="322">
        <v>0.11</v>
      </c>
      <c r="J128" s="26">
        <v>5.0000000000000001E-3</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6.1" customHeight="1" x14ac:dyDescent="0.2">
      <c r="A129" s="324" t="s">
        <v>701</v>
      </c>
      <c r="B129" s="18"/>
      <c r="C129" s="327">
        <v>0</v>
      </c>
      <c r="D129" s="92">
        <v>0.22700000000000001</v>
      </c>
      <c r="E129" s="93">
        <v>2.3E-2</v>
      </c>
      <c r="F129" s="94">
        <v>1E-3</v>
      </c>
      <c r="G129" s="319">
        <v>44.06</v>
      </c>
      <c r="H129" s="319">
        <v>0.11</v>
      </c>
      <c r="I129" s="322">
        <v>0.11</v>
      </c>
      <c r="J129" s="26">
        <v>5.0000000000000001E-3</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6.1" customHeight="1" x14ac:dyDescent="0.2">
      <c r="A130" s="324" t="s">
        <v>702</v>
      </c>
      <c r="B130" s="18"/>
      <c r="C130" s="327">
        <v>0</v>
      </c>
      <c r="D130" s="92">
        <v>0.20599999999999999</v>
      </c>
      <c r="E130" s="93">
        <v>1.7000000000000001E-2</v>
      </c>
      <c r="F130" s="94">
        <v>1E-3</v>
      </c>
      <c r="G130" s="319">
        <v>0.36</v>
      </c>
      <c r="H130" s="319">
        <v>0.26</v>
      </c>
      <c r="I130" s="322">
        <v>0.26</v>
      </c>
      <c r="J130" s="26">
        <v>4.0000000000000001E-3</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6.1" customHeight="1" x14ac:dyDescent="0.2">
      <c r="A131" s="324" t="s">
        <v>703</v>
      </c>
      <c r="B131" s="25"/>
      <c r="C131" s="327">
        <v>0</v>
      </c>
      <c r="D131" s="92">
        <v>0.20599999999999999</v>
      </c>
      <c r="E131" s="93">
        <v>1.7000000000000001E-2</v>
      </c>
      <c r="F131" s="94">
        <v>1E-3</v>
      </c>
      <c r="G131" s="319">
        <v>12.1</v>
      </c>
      <c r="H131" s="319">
        <v>0.26</v>
      </c>
      <c r="I131" s="322">
        <v>0.26</v>
      </c>
      <c r="J131" s="26">
        <v>4.0000000000000001E-3</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6.1" customHeight="1" x14ac:dyDescent="0.2">
      <c r="A132" s="324" t="s">
        <v>704</v>
      </c>
      <c r="B132" s="18"/>
      <c r="C132" s="327">
        <v>0</v>
      </c>
      <c r="D132" s="92">
        <v>0.20599999999999999</v>
      </c>
      <c r="E132" s="93">
        <v>1.7000000000000001E-2</v>
      </c>
      <c r="F132" s="94">
        <v>1E-3</v>
      </c>
      <c r="G132" s="319">
        <v>19.95</v>
      </c>
      <c r="H132" s="319">
        <v>0.26</v>
      </c>
      <c r="I132" s="322">
        <v>0.26</v>
      </c>
      <c r="J132" s="26">
        <v>4.0000000000000001E-3</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6.1" customHeight="1" x14ac:dyDescent="0.2">
      <c r="A133" s="324" t="s">
        <v>705</v>
      </c>
      <c r="B133" s="18"/>
      <c r="C133" s="327">
        <v>0</v>
      </c>
      <c r="D133" s="92">
        <v>0.20599999999999999</v>
      </c>
      <c r="E133" s="93">
        <v>1.7000000000000001E-2</v>
      </c>
      <c r="F133" s="94">
        <v>1E-3</v>
      </c>
      <c r="G133" s="319">
        <v>33.53</v>
      </c>
      <c r="H133" s="319">
        <v>0.26</v>
      </c>
      <c r="I133" s="322">
        <v>0.26</v>
      </c>
      <c r="J133" s="26">
        <v>4.0000000000000001E-3</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6.1" customHeight="1" x14ac:dyDescent="0.2">
      <c r="A134" s="324" t="s">
        <v>706</v>
      </c>
      <c r="B134" s="18"/>
      <c r="C134" s="327">
        <v>0</v>
      </c>
      <c r="D134" s="92">
        <v>0.20599999999999999</v>
      </c>
      <c r="E134" s="93">
        <v>1.7000000000000001E-2</v>
      </c>
      <c r="F134" s="94">
        <v>1E-3</v>
      </c>
      <c r="G134" s="319">
        <v>70.39</v>
      </c>
      <c r="H134" s="319">
        <v>0.26</v>
      </c>
      <c r="I134" s="322">
        <v>0.26</v>
      </c>
      <c r="J134" s="26">
        <v>4.0000000000000001E-3</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6.1" customHeight="1" x14ac:dyDescent="0.2">
      <c r="A135" s="324" t="s">
        <v>707</v>
      </c>
      <c r="B135" s="18"/>
      <c r="C135" s="327">
        <v>0</v>
      </c>
      <c r="D135" s="92">
        <v>0.16800000000000001</v>
      </c>
      <c r="E135" s="93">
        <v>1.2E-2</v>
      </c>
      <c r="F135" s="94" t="s">
        <v>840</v>
      </c>
      <c r="G135" s="319">
        <v>6.15</v>
      </c>
      <c r="H135" s="319">
        <v>0.35</v>
      </c>
      <c r="I135" s="322">
        <v>0.35</v>
      </c>
      <c r="J135" s="26">
        <v>3.0000000000000001E-3</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6.1" customHeight="1" x14ac:dyDescent="0.2">
      <c r="A136" s="324" t="s">
        <v>708</v>
      </c>
      <c r="B136" s="25"/>
      <c r="C136" s="327">
        <v>0</v>
      </c>
      <c r="D136" s="92">
        <v>0.16800000000000001</v>
      </c>
      <c r="E136" s="93">
        <v>1.2E-2</v>
      </c>
      <c r="F136" s="94" t="s">
        <v>840</v>
      </c>
      <c r="G136" s="319">
        <v>69.63</v>
      </c>
      <c r="H136" s="319">
        <v>0.35</v>
      </c>
      <c r="I136" s="322">
        <v>0.35</v>
      </c>
      <c r="J136" s="26">
        <v>3.0000000000000001E-3</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6.1" customHeight="1" x14ac:dyDescent="0.2">
      <c r="A137" s="324" t="s">
        <v>709</v>
      </c>
      <c r="B137" s="18"/>
      <c r="C137" s="327">
        <v>0</v>
      </c>
      <c r="D137" s="92">
        <v>0.16800000000000001</v>
      </c>
      <c r="E137" s="93">
        <v>1.2E-2</v>
      </c>
      <c r="F137" s="94" t="s">
        <v>840</v>
      </c>
      <c r="G137" s="319">
        <v>208.68</v>
      </c>
      <c r="H137" s="319">
        <v>0.35</v>
      </c>
      <c r="I137" s="322">
        <v>0.35</v>
      </c>
      <c r="J137" s="26">
        <v>3.0000000000000001E-3</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6.1" customHeight="1" x14ac:dyDescent="0.2">
      <c r="A138" s="324" t="s">
        <v>710</v>
      </c>
      <c r="B138" s="18"/>
      <c r="C138" s="327">
        <v>0</v>
      </c>
      <c r="D138" s="92">
        <v>0.16800000000000001</v>
      </c>
      <c r="E138" s="93">
        <v>1.2E-2</v>
      </c>
      <c r="F138" s="94" t="s">
        <v>840</v>
      </c>
      <c r="G138" s="319">
        <v>405.66</v>
      </c>
      <c r="H138" s="319">
        <v>0.35</v>
      </c>
      <c r="I138" s="322">
        <v>0.35</v>
      </c>
      <c r="J138" s="26">
        <v>3.0000000000000001E-3</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6.1" customHeight="1" x14ac:dyDescent="0.2">
      <c r="A139" s="324" t="s">
        <v>711</v>
      </c>
      <c r="B139" s="18"/>
      <c r="C139" s="327">
        <v>0</v>
      </c>
      <c r="D139" s="92">
        <v>0.16800000000000001</v>
      </c>
      <c r="E139" s="93">
        <v>1.2E-2</v>
      </c>
      <c r="F139" s="94" t="s">
        <v>840</v>
      </c>
      <c r="G139" s="319">
        <v>1067.18</v>
      </c>
      <c r="H139" s="319">
        <v>0.35</v>
      </c>
      <c r="I139" s="322">
        <v>0.35</v>
      </c>
      <c r="J139" s="26">
        <v>3.0000000000000001E-3</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6.1" customHeight="1" x14ac:dyDescent="0.2">
      <c r="A140" s="324" t="s">
        <v>589</v>
      </c>
      <c r="B140" s="25"/>
      <c r="C140" s="327">
        <v>0</v>
      </c>
      <c r="D140" s="95">
        <v>0.753</v>
      </c>
      <c r="E140" s="96">
        <v>6.4000000000000001E-2</v>
      </c>
      <c r="F140" s="94">
        <v>3.9E-2</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v>0</v>
      </c>
      <c r="D141" s="92">
        <v>-0.31900000000000001</v>
      </c>
      <c r="E141" s="93">
        <v>-3.5000000000000003E-2</v>
      </c>
      <c r="F141" s="94">
        <v>-1E-3</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v>0</v>
      </c>
      <c r="D142" s="92">
        <v>-0.312</v>
      </c>
      <c r="E142" s="93">
        <v>-3.3000000000000002E-2</v>
      </c>
      <c r="F142" s="94">
        <v>-1E-3</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-0.31900000000000001</v>
      </c>
      <c r="E143" s="93">
        <v>-3.5000000000000003E-2</v>
      </c>
      <c r="F143" s="94">
        <v>-1E-3</v>
      </c>
      <c r="G143" s="319" t="s">
        <v>840</v>
      </c>
      <c r="H143" s="320" t="s">
        <v>840</v>
      </c>
      <c r="I143" s="321" t="s">
        <v>840</v>
      </c>
      <c r="J143" s="26">
        <v>7.0000000000000001E-3</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-0.312</v>
      </c>
      <c r="E144" s="93">
        <v>-3.3000000000000002E-2</v>
      </c>
      <c r="F144" s="94">
        <v>-1E-3</v>
      </c>
      <c r="G144" s="319" t="s">
        <v>840</v>
      </c>
      <c r="H144" s="320" t="s">
        <v>840</v>
      </c>
      <c r="I144" s="321" t="s">
        <v>840</v>
      </c>
      <c r="J144" s="26">
        <v>7.0000000000000001E-3</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-0.46300000000000002</v>
      </c>
      <c r="E145" s="93">
        <v>-3.7999999999999999E-2</v>
      </c>
      <c r="F145" s="94">
        <v>-1E-3</v>
      </c>
      <c r="G145" s="319">
        <v>10.41</v>
      </c>
      <c r="H145" s="320" t="s">
        <v>840</v>
      </c>
      <c r="I145" s="321" t="s">
        <v>840</v>
      </c>
      <c r="J145" s="26">
        <v>1.4E-2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v>0</v>
      </c>
      <c r="D146" s="92" t="s">
        <v>840</v>
      </c>
      <c r="E146" s="93" t="s">
        <v>840</v>
      </c>
      <c r="F146" s="94" t="s">
        <v>840</v>
      </c>
      <c r="G146" s="319" t="s">
        <v>840</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0</v>
      </c>
      <c r="D147" s="92" t="s">
        <v>840</v>
      </c>
      <c r="E147" s="93" t="s">
        <v>840</v>
      </c>
      <c r="F147" s="94" t="s">
        <v>840</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v>0</v>
      </c>
      <c r="D148" s="92" t="s">
        <v>840</v>
      </c>
      <c r="E148" s="93" t="s">
        <v>840</v>
      </c>
      <c r="F148" s="94" t="s">
        <v>840</v>
      </c>
      <c r="G148" s="319" t="s">
        <v>840</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v>0</v>
      </c>
      <c r="D149" s="92" t="s">
        <v>840</v>
      </c>
      <c r="E149" s="93" t="s">
        <v>840</v>
      </c>
      <c r="F149" s="94" t="s">
        <v>840</v>
      </c>
      <c r="G149" s="319" t="s">
        <v>840</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v>0</v>
      </c>
      <c r="D150" s="92" t="s">
        <v>840</v>
      </c>
      <c r="E150" s="93" t="s">
        <v>840</v>
      </c>
      <c r="F150" s="94" t="s">
        <v>840</v>
      </c>
      <c r="G150" s="319" t="s">
        <v>840</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v>0</v>
      </c>
      <c r="D151" s="92" t="s">
        <v>840</v>
      </c>
      <c r="E151" s="93" t="s">
        <v>840</v>
      </c>
      <c r="F151" s="94" t="s">
        <v>840</v>
      </c>
      <c r="G151" s="319" t="s">
        <v>840</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v>0</v>
      </c>
      <c r="D152" s="92" t="s">
        <v>840</v>
      </c>
      <c r="E152" s="93" t="s">
        <v>840</v>
      </c>
      <c r="F152" s="94" t="s">
        <v>840</v>
      </c>
      <c r="G152" s="319" t="s">
        <v>840</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0</v>
      </c>
      <c r="D153" s="92" t="s">
        <v>840</v>
      </c>
      <c r="E153" s="93" t="s">
        <v>840</v>
      </c>
      <c r="F153" s="94" t="s">
        <v>840</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t="s">
        <v>840</v>
      </c>
      <c r="E154" s="93" t="s">
        <v>840</v>
      </c>
      <c r="F154" s="94" t="s">
        <v>840</v>
      </c>
      <c r="G154" s="319" t="s">
        <v>840</v>
      </c>
      <c r="H154" s="319" t="s">
        <v>840</v>
      </c>
      <c r="I154" s="322" t="s">
        <v>840</v>
      </c>
      <c r="J154" s="26" t="s">
        <v>840</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t="s">
        <v>840</v>
      </c>
      <c r="E155" s="93" t="s">
        <v>840</v>
      </c>
      <c r="F155" s="94" t="s">
        <v>840</v>
      </c>
      <c r="G155" s="319" t="s">
        <v>840</v>
      </c>
      <c r="H155" s="319" t="s">
        <v>840</v>
      </c>
      <c r="I155" s="322" t="s">
        <v>840</v>
      </c>
      <c r="J155" s="26" t="s">
        <v>840</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t="s">
        <v>840</v>
      </c>
      <c r="E156" s="93" t="s">
        <v>840</v>
      </c>
      <c r="F156" s="94" t="s">
        <v>840</v>
      </c>
      <c r="G156" s="319" t="s">
        <v>840</v>
      </c>
      <c r="H156" s="319" t="s">
        <v>840</v>
      </c>
      <c r="I156" s="322" t="s">
        <v>840</v>
      </c>
      <c r="J156" s="26" t="s">
        <v>840</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t="s">
        <v>840</v>
      </c>
      <c r="E157" s="93" t="s">
        <v>840</v>
      </c>
      <c r="F157" s="94" t="s">
        <v>840</v>
      </c>
      <c r="G157" s="319" t="s">
        <v>840</v>
      </c>
      <c r="H157" s="319" t="s">
        <v>840</v>
      </c>
      <c r="I157" s="322" t="s">
        <v>840</v>
      </c>
      <c r="J157" s="26" t="s">
        <v>840</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t="s">
        <v>840</v>
      </c>
      <c r="E158" s="93" t="s">
        <v>840</v>
      </c>
      <c r="F158" s="94" t="s">
        <v>840</v>
      </c>
      <c r="G158" s="319" t="s">
        <v>840</v>
      </c>
      <c r="H158" s="319" t="s">
        <v>840</v>
      </c>
      <c r="I158" s="322" t="s">
        <v>840</v>
      </c>
      <c r="J158" s="26" t="s">
        <v>840</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t="s">
        <v>840</v>
      </c>
      <c r="E159" s="93" t="s">
        <v>840</v>
      </c>
      <c r="F159" s="94" t="s">
        <v>840</v>
      </c>
      <c r="G159" s="319" t="s">
        <v>840</v>
      </c>
      <c r="H159" s="319" t="s">
        <v>840</v>
      </c>
      <c r="I159" s="322" t="s">
        <v>840</v>
      </c>
      <c r="J159" s="26" t="s">
        <v>840</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t="s">
        <v>840</v>
      </c>
      <c r="E160" s="93" t="s">
        <v>840</v>
      </c>
      <c r="F160" s="94" t="s">
        <v>840</v>
      </c>
      <c r="G160" s="319" t="s">
        <v>840</v>
      </c>
      <c r="H160" s="319" t="s">
        <v>840</v>
      </c>
      <c r="I160" s="322" t="s">
        <v>840</v>
      </c>
      <c r="J160" s="26" t="s">
        <v>840</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t="s">
        <v>840</v>
      </c>
      <c r="E161" s="93" t="s">
        <v>840</v>
      </c>
      <c r="F161" s="94" t="s">
        <v>840</v>
      </c>
      <c r="G161" s="319" t="s">
        <v>840</v>
      </c>
      <c r="H161" s="319" t="s">
        <v>840</v>
      </c>
      <c r="I161" s="322" t="s">
        <v>840</v>
      </c>
      <c r="J161" s="26" t="s">
        <v>840</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t="s">
        <v>840</v>
      </c>
      <c r="E162" s="93" t="s">
        <v>840</v>
      </c>
      <c r="F162" s="94" t="s">
        <v>840</v>
      </c>
      <c r="G162" s="319" t="s">
        <v>840</v>
      </c>
      <c r="H162" s="319" t="s">
        <v>840</v>
      </c>
      <c r="I162" s="322" t="s">
        <v>840</v>
      </c>
      <c r="J162" s="26" t="s">
        <v>840</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t="s">
        <v>840</v>
      </c>
      <c r="E163" s="93" t="s">
        <v>840</v>
      </c>
      <c r="F163" s="94" t="s">
        <v>840</v>
      </c>
      <c r="G163" s="319" t="s">
        <v>840</v>
      </c>
      <c r="H163" s="319" t="s">
        <v>840</v>
      </c>
      <c r="I163" s="322" t="s">
        <v>840</v>
      </c>
      <c r="J163" s="26" t="s">
        <v>840</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t="s">
        <v>840</v>
      </c>
      <c r="E164" s="93" t="s">
        <v>840</v>
      </c>
      <c r="F164" s="94" t="s">
        <v>840</v>
      </c>
      <c r="G164" s="319" t="s">
        <v>840</v>
      </c>
      <c r="H164" s="319" t="s">
        <v>840</v>
      </c>
      <c r="I164" s="322" t="s">
        <v>840</v>
      </c>
      <c r="J164" s="26" t="s">
        <v>840</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t="s">
        <v>840</v>
      </c>
      <c r="E165" s="93" t="s">
        <v>840</v>
      </c>
      <c r="F165" s="94" t="s">
        <v>840</v>
      </c>
      <c r="G165" s="319" t="s">
        <v>840</v>
      </c>
      <c r="H165" s="319" t="s">
        <v>840</v>
      </c>
      <c r="I165" s="322" t="s">
        <v>840</v>
      </c>
      <c r="J165" s="26" t="s">
        <v>840</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t="s">
        <v>840</v>
      </c>
      <c r="E166" s="93" t="s">
        <v>840</v>
      </c>
      <c r="F166" s="94" t="s">
        <v>840</v>
      </c>
      <c r="G166" s="319" t="s">
        <v>840</v>
      </c>
      <c r="H166" s="319" t="s">
        <v>840</v>
      </c>
      <c r="I166" s="322" t="s">
        <v>840</v>
      </c>
      <c r="J166" s="26" t="s">
        <v>840</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t="s">
        <v>840</v>
      </c>
      <c r="E167" s="93" t="s">
        <v>840</v>
      </c>
      <c r="F167" s="94" t="s">
        <v>840</v>
      </c>
      <c r="G167" s="319" t="s">
        <v>840</v>
      </c>
      <c r="H167" s="319" t="s">
        <v>840</v>
      </c>
      <c r="I167" s="322" t="s">
        <v>840</v>
      </c>
      <c r="J167" s="26" t="s">
        <v>840</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840</v>
      </c>
      <c r="E168" s="93" t="s">
        <v>840</v>
      </c>
      <c r="F168" s="94" t="s">
        <v>840</v>
      </c>
      <c r="G168" s="319" t="s">
        <v>840</v>
      </c>
      <c r="H168" s="319" t="s">
        <v>840</v>
      </c>
      <c r="I168" s="322" t="s">
        <v>840</v>
      </c>
      <c r="J168" s="26" t="s">
        <v>840</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v>0</v>
      </c>
      <c r="D169" s="95" t="s">
        <v>840</v>
      </c>
      <c r="E169" s="96" t="s">
        <v>840</v>
      </c>
      <c r="F169" s="94" t="s">
        <v>840</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v>0</v>
      </c>
      <c r="D170" s="92" t="s">
        <v>840</v>
      </c>
      <c r="E170" s="93" t="s">
        <v>840</v>
      </c>
      <c r="F170" s="94" t="s">
        <v>840</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v>0</v>
      </c>
      <c r="D171" s="92" t="s">
        <v>840</v>
      </c>
      <c r="E171" s="93" t="s">
        <v>840</v>
      </c>
      <c r="F171" s="94" t="s">
        <v>840</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t="s">
        <v>840</v>
      </c>
      <c r="E172" s="93" t="s">
        <v>840</v>
      </c>
      <c r="F172" s="94" t="s">
        <v>840</v>
      </c>
      <c r="G172" s="319" t="s">
        <v>840</v>
      </c>
      <c r="H172" s="320" t="s">
        <v>840</v>
      </c>
      <c r="I172" s="321" t="s">
        <v>840</v>
      </c>
      <c r="J172" s="26" t="s">
        <v>840</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t="s">
        <v>840</v>
      </c>
      <c r="E173" s="93" t="s">
        <v>840</v>
      </c>
      <c r="F173" s="94" t="s">
        <v>840</v>
      </c>
      <c r="G173" s="319" t="s">
        <v>840</v>
      </c>
      <c r="H173" s="320" t="s">
        <v>840</v>
      </c>
      <c r="I173" s="321" t="s">
        <v>840</v>
      </c>
      <c r="J173" s="26" t="s">
        <v>840</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t="s">
        <v>840</v>
      </c>
      <c r="E174" s="93" t="s">
        <v>840</v>
      </c>
      <c r="F174" s="94" t="s">
        <v>840</v>
      </c>
      <c r="G174" s="319" t="s">
        <v>840</v>
      </c>
      <c r="H174" s="320" t="s">
        <v>840</v>
      </c>
      <c r="I174" s="321" t="s">
        <v>840</v>
      </c>
      <c r="J174" s="26" t="s">
        <v>840</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v>0</v>
      </c>
      <c r="D175" s="92" t="s">
        <v>840</v>
      </c>
      <c r="E175" s="93" t="s">
        <v>840</v>
      </c>
      <c r="F175" s="94" t="s">
        <v>840</v>
      </c>
      <c r="G175" s="319" t="s">
        <v>840</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0</v>
      </c>
      <c r="D176" s="92" t="s">
        <v>840</v>
      </c>
      <c r="E176" s="93" t="s">
        <v>840</v>
      </c>
      <c r="F176" s="94" t="s">
        <v>840</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v>0</v>
      </c>
      <c r="D177" s="92" t="s">
        <v>840</v>
      </c>
      <c r="E177" s="93" t="s">
        <v>840</v>
      </c>
      <c r="F177" s="94" t="s">
        <v>840</v>
      </c>
      <c r="G177" s="319" t="s">
        <v>840</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v>0</v>
      </c>
      <c r="D178" s="92" t="s">
        <v>840</v>
      </c>
      <c r="E178" s="93" t="s">
        <v>840</v>
      </c>
      <c r="F178" s="94" t="s">
        <v>840</v>
      </c>
      <c r="G178" s="319" t="s">
        <v>840</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v>0</v>
      </c>
      <c r="D179" s="92" t="s">
        <v>840</v>
      </c>
      <c r="E179" s="93" t="s">
        <v>840</v>
      </c>
      <c r="F179" s="94" t="s">
        <v>840</v>
      </c>
      <c r="G179" s="319" t="s">
        <v>840</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v>0</v>
      </c>
      <c r="D180" s="92" t="s">
        <v>840</v>
      </c>
      <c r="E180" s="93" t="s">
        <v>840</v>
      </c>
      <c r="F180" s="94" t="s">
        <v>840</v>
      </c>
      <c r="G180" s="319" t="s">
        <v>840</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v>0</v>
      </c>
      <c r="D181" s="92" t="s">
        <v>840</v>
      </c>
      <c r="E181" s="93" t="s">
        <v>840</v>
      </c>
      <c r="F181" s="94" t="s">
        <v>840</v>
      </c>
      <c r="G181" s="319" t="s">
        <v>840</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0</v>
      </c>
      <c r="D182" s="92" t="s">
        <v>840</v>
      </c>
      <c r="E182" s="93" t="s">
        <v>840</v>
      </c>
      <c r="F182" s="94" t="s">
        <v>840</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t="s">
        <v>840</v>
      </c>
      <c r="E183" s="93" t="s">
        <v>840</v>
      </c>
      <c r="F183" s="94" t="s">
        <v>840</v>
      </c>
      <c r="G183" s="319" t="s">
        <v>840</v>
      </c>
      <c r="H183" s="319" t="s">
        <v>840</v>
      </c>
      <c r="I183" s="322" t="s">
        <v>840</v>
      </c>
      <c r="J183" s="26" t="s">
        <v>840</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t="s">
        <v>840</v>
      </c>
      <c r="E184" s="93" t="s">
        <v>840</v>
      </c>
      <c r="F184" s="94" t="s">
        <v>840</v>
      </c>
      <c r="G184" s="319" t="s">
        <v>840</v>
      </c>
      <c r="H184" s="319" t="s">
        <v>840</v>
      </c>
      <c r="I184" s="322" t="s">
        <v>840</v>
      </c>
      <c r="J184" s="26" t="s">
        <v>840</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t="s">
        <v>840</v>
      </c>
      <c r="E185" s="93" t="s">
        <v>840</v>
      </c>
      <c r="F185" s="94" t="s">
        <v>840</v>
      </c>
      <c r="G185" s="319" t="s">
        <v>840</v>
      </c>
      <c r="H185" s="319" t="s">
        <v>840</v>
      </c>
      <c r="I185" s="322" t="s">
        <v>840</v>
      </c>
      <c r="J185" s="26" t="s">
        <v>840</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t="s">
        <v>840</v>
      </c>
      <c r="E186" s="93" t="s">
        <v>840</v>
      </c>
      <c r="F186" s="94" t="s">
        <v>840</v>
      </c>
      <c r="G186" s="319" t="s">
        <v>840</v>
      </c>
      <c r="H186" s="319" t="s">
        <v>840</v>
      </c>
      <c r="I186" s="322" t="s">
        <v>840</v>
      </c>
      <c r="J186" s="26" t="s">
        <v>840</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t="s">
        <v>840</v>
      </c>
      <c r="E187" s="93" t="s">
        <v>840</v>
      </c>
      <c r="F187" s="94" t="s">
        <v>840</v>
      </c>
      <c r="G187" s="319" t="s">
        <v>840</v>
      </c>
      <c r="H187" s="319" t="s">
        <v>840</v>
      </c>
      <c r="I187" s="322" t="s">
        <v>840</v>
      </c>
      <c r="J187" s="26" t="s">
        <v>840</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t="s">
        <v>840</v>
      </c>
      <c r="E188" s="93" t="s">
        <v>840</v>
      </c>
      <c r="F188" s="94" t="s">
        <v>840</v>
      </c>
      <c r="G188" s="319" t="s">
        <v>840</v>
      </c>
      <c r="H188" s="319" t="s">
        <v>840</v>
      </c>
      <c r="I188" s="322" t="s">
        <v>840</v>
      </c>
      <c r="J188" s="26" t="s">
        <v>840</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t="s">
        <v>840</v>
      </c>
      <c r="E189" s="93" t="s">
        <v>840</v>
      </c>
      <c r="F189" s="94" t="s">
        <v>840</v>
      </c>
      <c r="G189" s="319" t="s">
        <v>840</v>
      </c>
      <c r="H189" s="319" t="s">
        <v>840</v>
      </c>
      <c r="I189" s="322" t="s">
        <v>840</v>
      </c>
      <c r="J189" s="26" t="s">
        <v>840</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t="s">
        <v>840</v>
      </c>
      <c r="E190" s="93" t="s">
        <v>840</v>
      </c>
      <c r="F190" s="94" t="s">
        <v>840</v>
      </c>
      <c r="G190" s="319" t="s">
        <v>840</v>
      </c>
      <c r="H190" s="319" t="s">
        <v>840</v>
      </c>
      <c r="I190" s="322" t="s">
        <v>840</v>
      </c>
      <c r="J190" s="26" t="s">
        <v>840</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t="s">
        <v>840</v>
      </c>
      <c r="E191" s="93" t="s">
        <v>840</v>
      </c>
      <c r="F191" s="94" t="s">
        <v>840</v>
      </c>
      <c r="G191" s="319" t="s">
        <v>840</v>
      </c>
      <c r="H191" s="319" t="s">
        <v>840</v>
      </c>
      <c r="I191" s="322" t="s">
        <v>840</v>
      </c>
      <c r="J191" s="26" t="s">
        <v>840</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t="s">
        <v>840</v>
      </c>
      <c r="E192" s="93" t="s">
        <v>840</v>
      </c>
      <c r="F192" s="94" t="s">
        <v>840</v>
      </c>
      <c r="G192" s="319" t="s">
        <v>840</v>
      </c>
      <c r="H192" s="319" t="s">
        <v>840</v>
      </c>
      <c r="I192" s="322" t="s">
        <v>840</v>
      </c>
      <c r="J192" s="26" t="s">
        <v>840</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t="s">
        <v>840</v>
      </c>
      <c r="E193" s="93" t="s">
        <v>840</v>
      </c>
      <c r="F193" s="94" t="s">
        <v>840</v>
      </c>
      <c r="G193" s="319" t="s">
        <v>840</v>
      </c>
      <c r="H193" s="319" t="s">
        <v>840</v>
      </c>
      <c r="I193" s="322" t="s">
        <v>840</v>
      </c>
      <c r="J193" s="26" t="s">
        <v>840</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t="s">
        <v>840</v>
      </c>
      <c r="E194" s="93" t="s">
        <v>840</v>
      </c>
      <c r="F194" s="94" t="s">
        <v>840</v>
      </c>
      <c r="G194" s="319" t="s">
        <v>840</v>
      </c>
      <c r="H194" s="319" t="s">
        <v>840</v>
      </c>
      <c r="I194" s="322" t="s">
        <v>840</v>
      </c>
      <c r="J194" s="26" t="s">
        <v>840</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t="s">
        <v>840</v>
      </c>
      <c r="E195" s="93" t="s">
        <v>840</v>
      </c>
      <c r="F195" s="94" t="s">
        <v>840</v>
      </c>
      <c r="G195" s="319" t="s">
        <v>840</v>
      </c>
      <c r="H195" s="319" t="s">
        <v>840</v>
      </c>
      <c r="I195" s="322" t="s">
        <v>840</v>
      </c>
      <c r="J195" s="26" t="s">
        <v>840</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t="s">
        <v>840</v>
      </c>
      <c r="E196" s="93" t="s">
        <v>840</v>
      </c>
      <c r="F196" s="94" t="s">
        <v>840</v>
      </c>
      <c r="G196" s="319" t="s">
        <v>840</v>
      </c>
      <c r="H196" s="319" t="s">
        <v>840</v>
      </c>
      <c r="I196" s="322" t="s">
        <v>840</v>
      </c>
      <c r="J196" s="26" t="s">
        <v>840</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840</v>
      </c>
      <c r="E197" s="93" t="s">
        <v>840</v>
      </c>
      <c r="F197" s="94" t="s">
        <v>840</v>
      </c>
      <c r="G197" s="319" t="s">
        <v>840</v>
      </c>
      <c r="H197" s="319" t="s">
        <v>840</v>
      </c>
      <c r="I197" s="322" t="s">
        <v>840</v>
      </c>
      <c r="J197" s="26" t="s">
        <v>840</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v>0</v>
      </c>
      <c r="D198" s="95" t="s">
        <v>840</v>
      </c>
      <c r="E198" s="96" t="s">
        <v>840</v>
      </c>
      <c r="F198" s="94" t="s">
        <v>840</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v>0</v>
      </c>
      <c r="D199" s="92" t="s">
        <v>840</v>
      </c>
      <c r="E199" s="93" t="s">
        <v>840</v>
      </c>
      <c r="F199" s="94" t="s">
        <v>840</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v>0</v>
      </c>
      <c r="D200" s="92" t="s">
        <v>840</v>
      </c>
      <c r="E200" s="93" t="s">
        <v>840</v>
      </c>
      <c r="F200" s="94" t="s">
        <v>840</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t="s">
        <v>840</v>
      </c>
      <c r="E201" s="93" t="s">
        <v>840</v>
      </c>
      <c r="F201" s="94" t="s">
        <v>840</v>
      </c>
      <c r="G201" s="319" t="s">
        <v>840</v>
      </c>
      <c r="H201" s="320" t="s">
        <v>840</v>
      </c>
      <c r="I201" s="321" t="s">
        <v>840</v>
      </c>
      <c r="J201" s="26" t="s">
        <v>840</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t="s">
        <v>840</v>
      </c>
      <c r="E202" s="93" t="s">
        <v>840</v>
      </c>
      <c r="F202" s="94" t="s">
        <v>840</v>
      </c>
      <c r="G202" s="319" t="s">
        <v>840</v>
      </c>
      <c r="H202" s="320" t="s">
        <v>840</v>
      </c>
      <c r="I202" s="321" t="s">
        <v>840</v>
      </c>
      <c r="J202" s="26" t="s">
        <v>840</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t="s">
        <v>840</v>
      </c>
      <c r="E203" s="93" t="s">
        <v>840</v>
      </c>
      <c r="F203" s="94" t="s">
        <v>840</v>
      </c>
      <c r="G203" s="319" t="s">
        <v>840</v>
      </c>
      <c r="H203" s="320" t="s">
        <v>840</v>
      </c>
      <c r="I203" s="321" t="s">
        <v>840</v>
      </c>
      <c r="J203" s="26" t="s">
        <v>840</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5">
    <mergeCell ref="F12:G12"/>
    <mergeCell ref="H12:J12"/>
    <mergeCell ref="F9:G9"/>
    <mergeCell ref="B8:D8"/>
    <mergeCell ref="F8:G8"/>
    <mergeCell ref="F10:G10"/>
    <mergeCell ref="H10:J10"/>
    <mergeCell ref="B11:D11"/>
    <mergeCell ref="F11:G11"/>
    <mergeCell ref="F7:G7"/>
    <mergeCell ref="A2:J2"/>
    <mergeCell ref="A4:D4"/>
    <mergeCell ref="F4:J4"/>
    <mergeCell ref="F5:G5"/>
    <mergeCell ref="F6:G6"/>
  </mergeCells>
  <conditionalFormatting sqref="K14:Q203">
    <cfRule type="cellIs" dxfId="30" priority="2" operator="equal">
      <formula>0</formula>
    </cfRule>
    <cfRule type="cellIs" dxfId="29" priority="3" operator="lessThan">
      <formula>0</formula>
    </cfRule>
    <cfRule type="cellIs" dxfId="28" priority="4" operator="greaterThan">
      <formula>0</formula>
    </cfRule>
  </conditionalFormatting>
  <conditionalFormatting sqref="K14:R203">
    <cfRule type="expression" dxfId="27" priority="1">
      <formula>$K14&lt;&gt;""</formula>
    </cfRule>
  </conditionalFormatting>
  <hyperlinks>
    <hyperlink ref="A1" location="Overview!A1" display="Back to Overview" xr:uid="{E94A7E1D-97CC-46CC-AC65-E39C0EC4336E}"/>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pageSetUpPr fitToPage="1"/>
  </sheetPr>
  <dimension ref="A1:S203"/>
  <sheetViews>
    <sheetView zoomScale="70" zoomScaleNormal="70" workbookViewId="0"/>
  </sheetViews>
  <sheetFormatPr defaultColWidth="9.140625" defaultRowHeight="27.75" customHeight="1" x14ac:dyDescent="0.2"/>
  <cols>
    <col min="1" max="1" width="58" style="1" customWidth="1"/>
    <col min="2" max="2" width="17.7109375" style="2" customWidth="1"/>
    <col min="3" max="4" width="17.7109375" style="1" customWidth="1"/>
    <col min="5" max="7" width="17.7109375" style="2" customWidth="1"/>
    <col min="8" max="9" width="17.7109375" style="6" customWidth="1"/>
    <col min="10" max="10" width="17.7109375" style="3" customWidth="1"/>
    <col min="11" max="16384" width="9.140625" style="1"/>
  </cols>
  <sheetData>
    <row r="1" spans="1:19" ht="27.75" customHeight="1" x14ac:dyDescent="0.2">
      <c r="A1" s="32" t="s">
        <v>19</v>
      </c>
      <c r="B1" s="488"/>
      <c r="C1" s="488"/>
      <c r="D1" s="488"/>
      <c r="F1" s="489"/>
      <c r="G1" s="489"/>
      <c r="H1" s="489"/>
      <c r="I1" s="3"/>
      <c r="J1" s="1"/>
    </row>
    <row r="2" spans="1:19" ht="31.5" customHeight="1" x14ac:dyDescent="0.2">
      <c r="A2" s="468" t="str">
        <f>Overview!B4&amp;" - Effective from "&amp;TEXT(Overview!$D$4,"d mmmm yyyy")&amp;" - Final LDNO tariffs in SSE SHEPD Area (GSP Group_P)"</f>
        <v>Leep Electricity Networks Limited - Effective from 1 April 2026 - Final LDNO tariffs in SSE SHEPD Area (GSP Group_P)</v>
      </c>
      <c r="B2" s="468"/>
      <c r="C2" s="468"/>
      <c r="D2" s="468"/>
      <c r="E2" s="468"/>
      <c r="F2" s="468"/>
      <c r="G2" s="468"/>
      <c r="H2" s="468"/>
      <c r="I2" s="468"/>
      <c r="J2" s="468"/>
    </row>
    <row r="3" spans="1:19" ht="8.25" customHeight="1" x14ac:dyDescent="0.2">
      <c r="A3" s="47"/>
      <c r="B3" s="47"/>
      <c r="C3" s="47"/>
      <c r="D3" s="47"/>
      <c r="E3" s="47"/>
      <c r="F3" s="47"/>
      <c r="G3" s="47"/>
      <c r="H3" s="47"/>
      <c r="I3" s="47"/>
      <c r="J3" s="47"/>
    </row>
    <row r="4" spans="1:19" ht="27" customHeight="1" x14ac:dyDescent="0.2">
      <c r="A4" s="468" t="s">
        <v>308</v>
      </c>
      <c r="B4" s="468"/>
      <c r="C4" s="468"/>
      <c r="D4" s="468"/>
      <c r="E4" s="276"/>
      <c r="F4" s="468" t="s">
        <v>307</v>
      </c>
      <c r="G4" s="468"/>
      <c r="H4" s="468"/>
      <c r="I4" s="468"/>
      <c r="J4" s="468"/>
      <c r="K4" s="3"/>
      <c r="M4" s="395"/>
      <c r="N4" s="396"/>
      <c r="O4" s="396"/>
      <c r="P4" s="396"/>
      <c r="Q4" s="396"/>
      <c r="R4" s="396"/>
      <c r="S4" s="397"/>
    </row>
    <row r="5" spans="1:19" ht="32.25" customHeight="1" x14ac:dyDescent="0.2">
      <c r="A5" s="277" t="s">
        <v>13</v>
      </c>
      <c r="B5" s="278" t="s">
        <v>299</v>
      </c>
      <c r="C5" s="279" t="s">
        <v>300</v>
      </c>
      <c r="D5" s="280" t="s">
        <v>301</v>
      </c>
      <c r="E5" s="47"/>
      <c r="F5" s="481"/>
      <c r="G5" s="482"/>
      <c r="H5" s="281" t="s">
        <v>305</v>
      </c>
      <c r="I5" s="282" t="s">
        <v>306</v>
      </c>
      <c r="J5" s="280" t="s">
        <v>301</v>
      </c>
      <c r="K5" s="3"/>
      <c r="L5" s="3"/>
      <c r="M5" s="396"/>
      <c r="N5" s="396"/>
      <c r="O5" s="396"/>
      <c r="P5" s="396"/>
      <c r="Q5" s="396"/>
      <c r="R5" s="396"/>
      <c r="S5" s="397"/>
    </row>
    <row r="6" spans="1:19" ht="38.25" customHeight="1" x14ac:dyDescent="0.2">
      <c r="A6" s="43" t="str">
        <f>'Annex 1 LV and HV charges_P'!A6</f>
        <v>Monday to Friday 
(Including Bank Holidays)
All Year</v>
      </c>
      <c r="B6" s="13" t="str">
        <f>'Annex 1 LV and HV charges_P'!B6</f>
        <v>16:00 - 19:00</v>
      </c>
      <c r="C6" s="283" t="str">
        <f>'Annex 1 LV and HV charges_P'!C6</f>
        <v/>
      </c>
      <c r="D6" s="252" t="str">
        <f>'Annex 1 LV and HV charges_P'!E6</f>
        <v/>
      </c>
      <c r="E6" s="47"/>
      <c r="F6" s="412" t="str">
        <f>'Annex 1 LV and HV charges_P'!G6</f>
        <v>Monday to Friday 
(Including Bank Holidays)
March to October Inclusive</v>
      </c>
      <c r="G6" s="412">
        <f>'Annex 1 LV and HV charges_P'!H6</f>
        <v>0</v>
      </c>
      <c r="H6" s="252" t="str">
        <f>'Annex 1 LV and HV charges_P'!I6</f>
        <v/>
      </c>
      <c r="I6" s="250" t="str">
        <f>'Annex 1 LV and HV charges_P'!J6</f>
        <v>07:00 - 21:00</v>
      </c>
      <c r="J6" s="252" t="str">
        <f>'Annex 1 LV and HV charges_P'!K6</f>
        <v/>
      </c>
      <c r="K6" s="3"/>
      <c r="L6" s="3"/>
    </row>
    <row r="7" spans="1:19" ht="38.25" customHeight="1" x14ac:dyDescent="0.2">
      <c r="A7" s="43" t="str">
        <f>'Annex 1 LV and HV charges_P'!A7</f>
        <v>Monday to Friday 
(Including Bank Holidays)
All Year</v>
      </c>
      <c r="B7" s="252" t="str">
        <f>'Annex 1 LV and HV charges_P'!B7</f>
        <v/>
      </c>
      <c r="C7" s="267" t="str">
        <f>'Annex 1 LV and HV charges_P'!C7</f>
        <v>07:00 - 16:00
19:00 - 21:00</v>
      </c>
      <c r="D7" s="252" t="str">
        <f>'Annex 1 LV and HV charges_P'!E7</f>
        <v/>
      </c>
      <c r="E7" s="47"/>
      <c r="F7" s="412" t="str">
        <f>'Annex 1 LV and HV charges_P'!G7</f>
        <v>Monday to Friday 
(Including Bank Holidays)
November to February Inclusive</v>
      </c>
      <c r="G7" s="412">
        <f>'Annex 1 LV and HV charges_P'!H7</f>
        <v>0</v>
      </c>
      <c r="H7" s="250" t="str">
        <f>'Annex 1 LV and HV charges_P'!I7</f>
        <v>16:00 - 19:00</v>
      </c>
      <c r="I7" s="250" t="str">
        <f>'Annex 1 LV and HV charges_P'!J7</f>
        <v>07:00 - 16:00
19:00 - 21:00</v>
      </c>
      <c r="J7" s="252" t="str">
        <f>'Annex 1 LV and HV charges_P'!K7</f>
        <v/>
      </c>
      <c r="K7" s="3"/>
      <c r="L7" s="3"/>
    </row>
    <row r="8" spans="1:19" ht="38.25" customHeight="1" x14ac:dyDescent="0.2">
      <c r="A8" s="43" t="str">
        <f>'Annex 1 LV and HV charges_P'!A8</f>
        <v>Monday to Friday 
(Including Bank Holidays)
All Year</v>
      </c>
      <c r="B8" s="252" t="str">
        <f>'Annex 1 LV and HV charges_P'!B8</f>
        <v/>
      </c>
      <c r="C8" s="283" t="str">
        <f>'Annex 1 LV and HV charges_P'!C8</f>
        <v/>
      </c>
      <c r="D8" s="97" t="str">
        <f>'Annex 1 LV and HV charges_P'!E8</f>
        <v>00:00 - 07:00
21:00 - 24:00</v>
      </c>
      <c r="E8" s="47"/>
      <c r="F8" s="412" t="str">
        <f>'Annex 1 LV and HV charges_P'!G8</f>
        <v>Monday to Friday 
(Including Bank Holidays)
April to March Inclusive</v>
      </c>
      <c r="G8" s="412">
        <f>'Annex 1 LV and HV charges_P'!H8</f>
        <v>0</v>
      </c>
      <c r="H8" s="252" t="str">
        <f>'Annex 1 LV and HV charges_P'!I8</f>
        <v/>
      </c>
      <c r="I8" s="252" t="str">
        <f>'Annex 1 LV and HV charges_P'!J8</f>
        <v/>
      </c>
      <c r="J8" s="97" t="str">
        <f>'Annex 1 LV and HV charges_P'!K8</f>
        <v>00:00 - 07:00
21:00 - 24:00</v>
      </c>
      <c r="K8" s="3"/>
      <c r="L8" s="3"/>
    </row>
    <row r="9" spans="1:19" s="41" customFormat="1" ht="38.25" customHeight="1" x14ac:dyDescent="0.2">
      <c r="A9" s="259" t="str">
        <f>'Annex 1 LV and HV charges_P'!A9</f>
        <v>Saturday and Sunday
All Year</v>
      </c>
      <c r="B9" s="252" t="str">
        <f>'Annex 1 LV and HV charges_P'!B9</f>
        <v/>
      </c>
      <c r="C9" s="267" t="str">
        <f>'Annex 1 LV and HV charges_P'!C9</f>
        <v>12:00 - 20:00</v>
      </c>
      <c r="D9" s="97" t="str">
        <f>'Annex 1 LV and HV charges_P'!E9</f>
        <v>00:00 - 12:00
20:00 - 24:00</v>
      </c>
      <c r="E9" s="284"/>
      <c r="F9" s="412" t="str">
        <f>'Annex 1 LV and HV charges_P'!G9</f>
        <v>Saturday and Sunday
All year</v>
      </c>
      <c r="G9" s="412">
        <f>'Annex 1 LV and HV charges_P'!H9</f>
        <v>0</v>
      </c>
      <c r="H9" s="252" t="str">
        <f>'Annex 1 LV and HV charges_P'!I9</f>
        <v/>
      </c>
      <c r="I9" s="250" t="str">
        <f>'Annex 1 LV and HV charges_P'!J9</f>
        <v>12:00 - 20:00</v>
      </c>
      <c r="J9" s="97" t="str">
        <f>'Annex 1 LV and HV charges_P'!K9</f>
        <v>00:00 - 12:00
20:00 - 24:00</v>
      </c>
      <c r="K9" s="31"/>
      <c r="L9" s="31"/>
    </row>
    <row r="10" spans="1:19" s="41" customFormat="1" ht="18" customHeight="1" x14ac:dyDescent="0.2">
      <c r="A10" s="259" t="str">
        <f>'Annex 1 LV and HV charges_P'!A10</f>
        <v>Notes</v>
      </c>
      <c r="B10" s="402" t="str">
        <f>'Annex 1 LV and HV charges_P'!B10</f>
        <v>All the above times are in UK Clock time</v>
      </c>
      <c r="C10" s="403">
        <f>'Annex 1 LV and HV charges_P'!C10</f>
        <v>0</v>
      </c>
      <c r="D10" s="404">
        <f>'Annex 1 LV and HV charges_P'!D10</f>
        <v>0</v>
      </c>
      <c r="F10" s="412" t="str">
        <f>'Annex 1 LV and HV charges_P'!G10</f>
        <v>Notes</v>
      </c>
      <c r="G10" s="412">
        <f>'Annex 1 LV and HV charges_P'!H10</f>
        <v>0</v>
      </c>
      <c r="H10" s="417" t="str">
        <f>'Annex 1 LV and HV charges_P'!I10</f>
        <v>All the above times are in UK Clock time</v>
      </c>
      <c r="I10" s="417">
        <f>'Annex 1 LV and HV charges_P'!J10</f>
        <v>0</v>
      </c>
      <c r="J10" s="417">
        <f>'Annex 1 LV and HV charges_P'!K10</f>
        <v>0</v>
      </c>
      <c r="K10" s="31"/>
      <c r="L10" s="31"/>
    </row>
    <row r="11" spans="1:19" s="41" customFormat="1" ht="21" customHeight="1" x14ac:dyDescent="0.2">
      <c r="B11" s="46"/>
      <c r="C11" s="46"/>
      <c r="D11" s="46"/>
      <c r="E11" s="31"/>
      <c r="F11" s="31"/>
      <c r="G11" s="31"/>
      <c r="H11" s="31"/>
      <c r="I11" s="31"/>
      <c r="J11" s="31"/>
      <c r="K11" s="31"/>
    </row>
    <row r="12" spans="1:19" s="41" customFormat="1" ht="12" customHeight="1" x14ac:dyDescent="0.2">
      <c r="A12" s="46"/>
      <c r="B12" s="46"/>
      <c r="C12" s="46"/>
      <c r="D12" s="46"/>
      <c r="E12" s="46"/>
      <c r="F12" s="49"/>
      <c r="G12" s="49"/>
      <c r="H12" s="50"/>
      <c r="I12" s="50"/>
      <c r="J12" s="50"/>
      <c r="K12" s="31"/>
    </row>
    <row r="13" spans="1:19" ht="66" customHeight="1" x14ac:dyDescent="0.2">
      <c r="A13" s="19" t="s">
        <v>458</v>
      </c>
      <c r="B13" s="19" t="s">
        <v>31</v>
      </c>
      <c r="C13" s="16" t="s">
        <v>24</v>
      </c>
      <c r="D13" s="16" t="s">
        <v>577</v>
      </c>
      <c r="E13" s="16" t="s">
        <v>578</v>
      </c>
      <c r="F13" s="16" t="s">
        <v>579</v>
      </c>
      <c r="G13" s="16" t="s">
        <v>25</v>
      </c>
      <c r="H13" s="16" t="s">
        <v>26</v>
      </c>
      <c r="I13" s="16" t="s">
        <v>459</v>
      </c>
      <c r="J13" s="16" t="s">
        <v>270</v>
      </c>
    </row>
    <row r="14" spans="1:19" ht="27" customHeight="1" x14ac:dyDescent="0.2">
      <c r="A14" s="324" t="s">
        <v>779</v>
      </c>
      <c r="B14" s="25"/>
      <c r="C14" s="326" t="s">
        <v>845</v>
      </c>
      <c r="D14" s="92">
        <v>7.9320000000000004</v>
      </c>
      <c r="E14" s="93">
        <v>2.7669999999999999</v>
      </c>
      <c r="F14" s="94">
        <v>0.59399999999999997</v>
      </c>
      <c r="G14" s="319">
        <v>8.16</v>
      </c>
      <c r="H14" s="320" t="s">
        <v>840</v>
      </c>
      <c r="I14" s="321" t="s">
        <v>840</v>
      </c>
      <c r="J14" s="27" t="s">
        <v>840</v>
      </c>
      <c r="K14" s="328" t="str">
        <f ca="1">IFERROR(IF(#REF!="","",INDEX(INDIRECT("'Annex 1 LV and HV charges"&amp;MID($A$2,FIND("_",$A$2),2)&amp;"'!$A$10:$K$51"),MATCH(MID($A14,FIND(":",$A14)+2,LEN($A14)-FIND(":",$A14)+2),INDIRECT("'Annex 1 LV and HV charges"&amp;MID($A$2,FIND("_",$A$2),2)&amp;"'!$A$10:$A$51"),0),MATCH(D$13,$A$13:$J$13,0))-D14),"")</f>
        <v/>
      </c>
      <c r="L14" s="328" t="str">
        <f ca="1">IFERROR(IF(#REF!="","",INDEX(INDIRECT("'Annex 1 LV and HV charges"&amp;MID($A$2,FIND("_",$A$2),2)&amp;"'!$A$10:$K$51"),MATCH(MID($A14,FIND(":",$A14)+2,LEN($A14)-FIND(":",$A14)+2),INDIRECT("'Annex 1 LV and HV charges"&amp;MID($A$2,FIND("_",$A$2),2)&amp;"'!$A$10:$A$51"),0),MATCH(E$13,$A$13:$J$13,0))-E14),"")</f>
        <v/>
      </c>
      <c r="M14" s="328" t="str">
        <f ca="1">IFERROR(IF(#REF!="","",INDEX(INDIRECT("'Annex 1 LV and HV charges"&amp;MID($A$2,FIND("_",$A$2),2)&amp;"'!$A$10:$K$51"),MATCH(MID($A14,FIND(":",$A14)+2,LEN($A14)-FIND(":",$A14)+2),INDIRECT("'Annex 1 LV and HV charges"&amp;MID($A$2,FIND("_",$A$2),2)&amp;"'!$A$10:$A$51"),0),MATCH(F$13,$A$13:$J$13,0))-F14),"")</f>
        <v/>
      </c>
      <c r="N14" s="328" t="str">
        <f ca="1">IFERROR(IF(#REF!="","",INDEX(INDIRECT("'Annex 1 LV and HV charges"&amp;MID($A$2,FIND("_",$A$2),2)&amp;"'!$A$10:$K$51"),MATCH(MID($A14,FIND(":",$A14)+2,LEN($A14)-FIND(":",$A14)+2),INDIRECT("'Annex 1 LV and HV charges"&amp;MID($A$2,FIND("_",$A$2),2)&amp;"'!$A$10:$A$51"),0),MATCH(G$13,$A$13:$J$13,0))-G14),"")</f>
        <v/>
      </c>
      <c r="O14" s="328" t="str">
        <f ca="1">IFERROR(IF(#REF!="","",INDEX(INDIRECT("'Annex 1 LV and HV charges"&amp;MID($A$2,FIND("_",$A$2),2)&amp;"'!$A$10:$K$51"),MATCH(MID($A14,FIND(":",$A14)+2,LEN($A14)-FIND(":",$A14)+2),INDIRECT("'Annex 1 LV and HV charges"&amp;MID($A$2,FIND("_",$A$2),2)&amp;"'!$A$10:$A$51"),0),MATCH(H$13,$A$13:$J$13,0))-H14),"")</f>
        <v/>
      </c>
      <c r="P14" s="328" t="str">
        <f ca="1">IFERROR(IF(#REF!="","",INDEX(INDIRECT("'Annex 1 LV and HV charges"&amp;MID($A$2,FIND("_",$A$2),2)&amp;"'!$A$10:$K$51"),MATCH(MID($A14,FIND(":",$A14)+2,LEN($A14)-FIND(":",$A14)+2),INDIRECT("'Annex 1 LV and HV charges"&amp;MID($A$2,FIND("_",$A$2),2)&amp;"'!$A$10:$A$51"),0),MATCH(I$13,$A$13:$J$13,0))-I14),"")</f>
        <v/>
      </c>
      <c r="Q14" s="328" t="str">
        <f ca="1">IFERROR(IF(#REF!="","",INDEX(INDIRECT("'Annex 1 LV and HV charges"&amp;MID($A$2,FIND("_",$A$2),2)&amp;"'!$A$10:$K$51"),MATCH(MID($A14,FIND(":",$A14)+2,LEN($A14)-FIND(":",$A14)+2),INDIRECT("'Annex 1 LV and HV charges"&amp;MID($A$2,FIND("_",$A$2),2)&amp;"'!$A$10:$A$51"),0),MATCH(J$13,$A$13:$J$13,0))-J14),"")</f>
        <v/>
      </c>
    </row>
    <row r="15" spans="1:19" ht="27" customHeight="1" x14ac:dyDescent="0.2">
      <c r="A15" s="324" t="s">
        <v>642</v>
      </c>
      <c r="B15" s="25"/>
      <c r="C15" s="326">
        <v>2</v>
      </c>
      <c r="D15" s="92">
        <v>7.9320000000000004</v>
      </c>
      <c r="E15" s="93">
        <v>2.7669999999999999</v>
      </c>
      <c r="F15" s="94">
        <v>0.59399999999999997</v>
      </c>
      <c r="G15" s="320" t="s">
        <v>840</v>
      </c>
      <c r="H15" s="320" t="s">
        <v>840</v>
      </c>
      <c r="I15" s="321" t="s">
        <v>840</v>
      </c>
      <c r="J15" s="27" t="s">
        <v>840</v>
      </c>
      <c r="K15" s="328" t="str">
        <f ca="1">IFERROR(IF(#REF!="","",INDEX(INDIRECT("'Annex 1 LV and HV charges"&amp;MID($A$2,FIND("_",$A$2),2)&amp;"'!$A$10:$K$51"),MATCH(MID($A15,FIND(":",$A15)+2,LEN($A15)-FIND(":",$A15)+2),INDIRECT("'Annex 1 LV and HV charges"&amp;MID($A$2,FIND("_",$A$2),2)&amp;"'!$A$10:$A$51"),0),MATCH(D$13,$A$13:$J$13,0))-D15),"")</f>
        <v/>
      </c>
      <c r="L15" s="328" t="str">
        <f ca="1">IFERROR(IF(#REF!="","",INDEX(INDIRECT("'Annex 1 LV and HV charges"&amp;MID($A$2,FIND("_",$A$2),2)&amp;"'!$A$10:$K$51"),MATCH(MID($A15,FIND(":",$A15)+2,LEN($A15)-FIND(":",$A15)+2),INDIRECT("'Annex 1 LV and HV charges"&amp;MID($A$2,FIND("_",$A$2),2)&amp;"'!$A$10:$A$51"),0),MATCH(E$13,$A$13:$J$13,0))-E15),"")</f>
        <v/>
      </c>
      <c r="M15" s="328" t="str">
        <f ca="1">IFERROR(IF(#REF!="","",INDEX(INDIRECT("'Annex 1 LV and HV charges"&amp;MID($A$2,FIND("_",$A$2),2)&amp;"'!$A$10:$K$51"),MATCH(MID($A15,FIND(":",$A15)+2,LEN($A15)-FIND(":",$A15)+2),INDIRECT("'Annex 1 LV and HV charges"&amp;MID($A$2,FIND("_",$A$2),2)&amp;"'!$A$10:$A$51"),0),MATCH(F$13,$A$13:$J$13,0))-F15),"")</f>
        <v/>
      </c>
      <c r="N15" s="328" t="str">
        <f ca="1">IFERROR(IF(#REF!="","",INDEX(INDIRECT("'Annex 1 LV and HV charges"&amp;MID($A$2,FIND("_",$A$2),2)&amp;"'!$A$10:$K$51"),MATCH(MID($A15,FIND(":",$A15)+2,LEN($A15)-FIND(":",$A15)+2),INDIRECT("'Annex 1 LV and HV charges"&amp;MID($A$2,FIND("_",$A$2),2)&amp;"'!$A$10:$A$51"),0),MATCH(G$13,$A$13:$J$13,0))-G15),"")</f>
        <v/>
      </c>
      <c r="O15" s="328" t="str">
        <f ca="1">IFERROR(IF(#REF!="","",INDEX(INDIRECT("'Annex 1 LV and HV charges"&amp;MID($A$2,FIND("_",$A$2),2)&amp;"'!$A$10:$K$51"),MATCH(MID($A15,FIND(":",$A15)+2,LEN($A15)-FIND(":",$A15)+2),INDIRECT("'Annex 1 LV and HV charges"&amp;MID($A$2,FIND("_",$A$2),2)&amp;"'!$A$10:$A$51"),0),MATCH(H$13,$A$13:$J$13,0))-H15),"")</f>
        <v/>
      </c>
      <c r="P15" s="328" t="str">
        <f ca="1">IFERROR(IF(#REF!="","",INDEX(INDIRECT("'Annex 1 LV and HV charges"&amp;MID($A$2,FIND("_",$A$2),2)&amp;"'!$A$10:$K$51"),MATCH(MID($A15,FIND(":",$A15)+2,LEN($A15)-FIND(":",$A15)+2),INDIRECT("'Annex 1 LV and HV charges"&amp;MID($A$2,FIND("_",$A$2),2)&amp;"'!$A$10:$A$51"),0),MATCH(I$13,$A$13:$J$13,0))-I15),"")</f>
        <v/>
      </c>
      <c r="Q15" s="328" t="str">
        <f ca="1">IFERROR(IF(#REF!="","",INDEX(INDIRECT("'Annex 1 LV and HV charges"&amp;MID($A$2,FIND("_",$A$2),2)&amp;"'!$A$10:$K$51"),MATCH(MID($A15,FIND(":",$A15)+2,LEN($A15)-FIND(":",$A15)+2),INDIRECT("'Annex 1 LV and HV charges"&amp;MID($A$2,FIND("_",$A$2),2)&amp;"'!$A$10:$A$51"),0),MATCH(J$13,$A$13:$J$13,0))-J15),"")</f>
        <v/>
      </c>
    </row>
    <row r="16" spans="1:19" ht="27" customHeight="1" x14ac:dyDescent="0.2">
      <c r="A16" s="324" t="s">
        <v>786</v>
      </c>
      <c r="B16" s="25"/>
      <c r="C16" s="326" t="s">
        <v>846</v>
      </c>
      <c r="D16" s="92">
        <v>9.5909999999999993</v>
      </c>
      <c r="E16" s="93">
        <v>3.3460000000000001</v>
      </c>
      <c r="F16" s="94">
        <v>0.71799999999999997</v>
      </c>
      <c r="G16" s="319">
        <v>19.16</v>
      </c>
      <c r="H16" s="320" t="s">
        <v>840</v>
      </c>
      <c r="I16" s="321" t="s">
        <v>840</v>
      </c>
      <c r="J16" s="27" t="s">
        <v>840</v>
      </c>
      <c r="K16" s="328" t="str">
        <f ca="1">IFERROR(IF(#REF!="","",INDEX(INDIRECT("'Annex 1 LV and HV charges"&amp;MID($A$2,FIND("_",$A$2),2)&amp;"'!$A$10:$K$51"),MATCH(MID($A16,FIND(":",$A16)+2,LEN($A16)-FIND(":",$A16)+2),INDIRECT("'Annex 1 LV and HV charges"&amp;MID($A$2,FIND("_",$A$2),2)&amp;"'!$A$10:$A$51"),0),MATCH(D$13,$A$13:$J$13,0))-D16),"")</f>
        <v/>
      </c>
      <c r="L16" s="328" t="str">
        <f ca="1">IFERROR(IF(#REF!="","",INDEX(INDIRECT("'Annex 1 LV and HV charges"&amp;MID($A$2,FIND("_",$A$2),2)&amp;"'!$A$10:$K$51"),MATCH(MID($A16,FIND(":",$A16)+2,LEN($A16)-FIND(":",$A16)+2),INDIRECT("'Annex 1 LV and HV charges"&amp;MID($A$2,FIND("_",$A$2),2)&amp;"'!$A$10:$A$51"),0),MATCH(E$13,$A$13:$J$13,0))-E16),"")</f>
        <v/>
      </c>
      <c r="M16" s="328" t="str">
        <f ca="1">IFERROR(IF(#REF!="","",INDEX(INDIRECT("'Annex 1 LV and HV charges"&amp;MID($A$2,FIND("_",$A$2),2)&amp;"'!$A$10:$K$51"),MATCH(MID($A16,FIND(":",$A16)+2,LEN($A16)-FIND(":",$A16)+2),INDIRECT("'Annex 1 LV and HV charges"&amp;MID($A$2,FIND("_",$A$2),2)&amp;"'!$A$10:$A$51"),0),MATCH(F$13,$A$13:$J$13,0))-F16),"")</f>
        <v/>
      </c>
      <c r="N16" s="328" t="str">
        <f ca="1">IFERROR(IF(#REF!="","",INDEX(INDIRECT("'Annex 1 LV and HV charges"&amp;MID($A$2,FIND("_",$A$2),2)&amp;"'!$A$10:$K$51"),MATCH(MID($A16,FIND(":",$A16)+2,LEN($A16)-FIND(":",$A16)+2),INDIRECT("'Annex 1 LV and HV charges"&amp;MID($A$2,FIND("_",$A$2),2)&amp;"'!$A$10:$A$51"),0),MATCH(G$13,$A$13:$J$13,0))-G16),"")</f>
        <v/>
      </c>
      <c r="O16" s="328" t="str">
        <f ca="1">IFERROR(IF(#REF!="","",INDEX(INDIRECT("'Annex 1 LV and HV charges"&amp;MID($A$2,FIND("_",$A$2),2)&amp;"'!$A$10:$K$51"),MATCH(MID($A16,FIND(":",$A16)+2,LEN($A16)-FIND(":",$A16)+2),INDIRECT("'Annex 1 LV and HV charges"&amp;MID($A$2,FIND("_",$A$2),2)&amp;"'!$A$10:$A$51"),0),MATCH(H$13,$A$13:$J$13,0))-H16),"")</f>
        <v/>
      </c>
      <c r="P16" s="328" t="str">
        <f ca="1">IFERROR(IF(#REF!="","",INDEX(INDIRECT("'Annex 1 LV and HV charges"&amp;MID($A$2,FIND("_",$A$2),2)&amp;"'!$A$10:$K$51"),MATCH(MID($A16,FIND(":",$A16)+2,LEN($A16)-FIND(":",$A16)+2),INDIRECT("'Annex 1 LV and HV charges"&amp;MID($A$2,FIND("_",$A$2),2)&amp;"'!$A$10:$A$51"),0),MATCH(I$13,$A$13:$J$13,0))-I16),"")</f>
        <v/>
      </c>
      <c r="Q16" s="328" t="str">
        <f ca="1">IFERROR(IF(#REF!="","",INDEX(INDIRECT("'Annex 1 LV and HV charges"&amp;MID($A$2,FIND("_",$A$2),2)&amp;"'!$A$10:$K$51"),MATCH(MID($A16,FIND(":",$A16)+2,LEN($A16)-FIND(":",$A16)+2),INDIRECT("'Annex 1 LV and HV charges"&amp;MID($A$2,FIND("_",$A$2),2)&amp;"'!$A$10:$A$51"),0),MATCH(J$13,$A$13:$J$13,0))-J16),"")</f>
        <v/>
      </c>
    </row>
    <row r="17" spans="1:17" ht="27" customHeight="1" x14ac:dyDescent="0.2">
      <c r="A17" s="324" t="s">
        <v>793</v>
      </c>
      <c r="B17" s="25"/>
      <c r="C17" s="326" t="s">
        <v>846</v>
      </c>
      <c r="D17" s="92">
        <v>9.5909999999999993</v>
      </c>
      <c r="E17" s="93">
        <v>3.3460000000000001</v>
      </c>
      <c r="F17" s="94">
        <v>0.71799999999999997</v>
      </c>
      <c r="G17" s="319">
        <v>17.489999999999998</v>
      </c>
      <c r="H17" s="320" t="s">
        <v>840</v>
      </c>
      <c r="I17" s="321" t="s">
        <v>840</v>
      </c>
      <c r="J17" s="27" t="s">
        <v>840</v>
      </c>
      <c r="K17" s="328" t="str">
        <f ca="1">IFERROR(IF(#REF!="","",INDEX(INDIRECT("'Annex 1 LV and HV charges"&amp;MID($A$2,FIND("_",$A$2),2)&amp;"'!$A$10:$K$51"),MATCH(MID($A17,FIND(":",$A17)+2,LEN($A17)-FIND(":",$A17)+2),INDIRECT("'Annex 1 LV and HV charges"&amp;MID($A$2,FIND("_",$A$2),2)&amp;"'!$A$10:$A$51"),0),MATCH(D$13,$A$13:$J$13,0))-D17),"")</f>
        <v/>
      </c>
      <c r="L17" s="328" t="str">
        <f ca="1">IFERROR(IF(#REF!="","",INDEX(INDIRECT("'Annex 1 LV and HV charges"&amp;MID($A$2,FIND("_",$A$2),2)&amp;"'!$A$10:$K$51"),MATCH(MID($A17,FIND(":",$A17)+2,LEN($A17)-FIND(":",$A17)+2),INDIRECT("'Annex 1 LV and HV charges"&amp;MID($A$2,FIND("_",$A$2),2)&amp;"'!$A$10:$A$51"),0),MATCH(E$13,$A$13:$J$13,0))-E17),"")</f>
        <v/>
      </c>
      <c r="M17" s="328" t="str">
        <f ca="1">IFERROR(IF(#REF!="","",INDEX(INDIRECT("'Annex 1 LV and HV charges"&amp;MID($A$2,FIND("_",$A$2),2)&amp;"'!$A$10:$K$51"),MATCH(MID($A17,FIND(":",$A17)+2,LEN($A17)-FIND(":",$A17)+2),INDIRECT("'Annex 1 LV and HV charges"&amp;MID($A$2,FIND("_",$A$2),2)&amp;"'!$A$10:$A$51"),0),MATCH(F$13,$A$13:$J$13,0))-F17),"")</f>
        <v/>
      </c>
      <c r="N17" s="328" t="str">
        <f ca="1">IFERROR(IF(#REF!="","",INDEX(INDIRECT("'Annex 1 LV and HV charges"&amp;MID($A$2,FIND("_",$A$2),2)&amp;"'!$A$10:$K$51"),MATCH(MID($A17,FIND(":",$A17)+2,LEN($A17)-FIND(":",$A17)+2),INDIRECT("'Annex 1 LV and HV charges"&amp;MID($A$2,FIND("_",$A$2),2)&amp;"'!$A$10:$A$51"),0),MATCH(G$13,$A$13:$J$13,0))-G17),"")</f>
        <v/>
      </c>
      <c r="O17" s="328" t="str">
        <f ca="1">IFERROR(IF(#REF!="","",INDEX(INDIRECT("'Annex 1 LV and HV charges"&amp;MID($A$2,FIND("_",$A$2),2)&amp;"'!$A$10:$K$51"),MATCH(MID($A17,FIND(":",$A17)+2,LEN($A17)-FIND(":",$A17)+2),INDIRECT("'Annex 1 LV and HV charges"&amp;MID($A$2,FIND("_",$A$2),2)&amp;"'!$A$10:$A$51"),0),MATCH(H$13,$A$13:$J$13,0))-H17),"")</f>
        <v/>
      </c>
      <c r="P17" s="328" t="str">
        <f ca="1">IFERROR(IF(#REF!="","",INDEX(INDIRECT("'Annex 1 LV and HV charges"&amp;MID($A$2,FIND("_",$A$2),2)&amp;"'!$A$10:$K$51"),MATCH(MID($A17,FIND(":",$A17)+2,LEN($A17)-FIND(":",$A17)+2),INDIRECT("'Annex 1 LV and HV charges"&amp;MID($A$2,FIND("_",$A$2),2)&amp;"'!$A$10:$A$51"),0),MATCH(I$13,$A$13:$J$13,0))-I17),"")</f>
        <v/>
      </c>
      <c r="Q17" s="328" t="str">
        <f ca="1">IFERROR(IF(#REF!="","",INDEX(INDIRECT("'Annex 1 LV and HV charges"&amp;MID($A$2,FIND("_",$A$2),2)&amp;"'!$A$10:$K$51"),MATCH(MID($A17,FIND(":",$A17)+2,LEN($A17)-FIND(":",$A17)+2),INDIRECT("'Annex 1 LV and HV charges"&amp;MID($A$2,FIND("_",$A$2),2)&amp;"'!$A$10:$A$51"),0),MATCH(J$13,$A$13:$J$13,0))-J17),"")</f>
        <v/>
      </c>
    </row>
    <row r="18" spans="1:17" ht="27" customHeight="1" x14ac:dyDescent="0.2">
      <c r="A18" s="324" t="s">
        <v>800</v>
      </c>
      <c r="B18" s="25"/>
      <c r="C18" s="326" t="s">
        <v>846</v>
      </c>
      <c r="D18" s="92">
        <v>9.5909999999999993</v>
      </c>
      <c r="E18" s="93">
        <v>3.3460000000000001</v>
      </c>
      <c r="F18" s="94">
        <v>0.71799999999999997</v>
      </c>
      <c r="G18" s="319">
        <v>9.44</v>
      </c>
      <c r="H18" s="320" t="s">
        <v>840</v>
      </c>
      <c r="I18" s="321" t="s">
        <v>840</v>
      </c>
      <c r="J18" s="27" t="s">
        <v>840</v>
      </c>
      <c r="K18" s="328" t="str">
        <f ca="1">IFERROR(IF(#REF!="","",INDEX(INDIRECT("'Annex 1 LV and HV charges"&amp;MID($A$2,FIND("_",$A$2),2)&amp;"'!$A$10:$K$51"),MATCH(MID($A18,FIND(":",$A18)+2,LEN($A18)-FIND(":",$A18)+2),INDIRECT("'Annex 1 LV and HV charges"&amp;MID($A$2,FIND("_",$A$2),2)&amp;"'!$A$10:$A$51"),0),MATCH(D$13,$A$13:$J$13,0))-D18),"")</f>
        <v/>
      </c>
      <c r="L18" s="328" t="str">
        <f ca="1">IFERROR(IF(#REF!="","",INDEX(INDIRECT("'Annex 1 LV and HV charges"&amp;MID($A$2,FIND("_",$A$2),2)&amp;"'!$A$10:$K$51"),MATCH(MID($A18,FIND(":",$A18)+2,LEN($A18)-FIND(":",$A18)+2),INDIRECT("'Annex 1 LV and HV charges"&amp;MID($A$2,FIND("_",$A$2),2)&amp;"'!$A$10:$A$51"),0),MATCH(E$13,$A$13:$J$13,0))-E18),"")</f>
        <v/>
      </c>
      <c r="M18" s="328" t="str">
        <f ca="1">IFERROR(IF(#REF!="","",INDEX(INDIRECT("'Annex 1 LV and HV charges"&amp;MID($A$2,FIND("_",$A$2),2)&amp;"'!$A$10:$K$51"),MATCH(MID($A18,FIND(":",$A18)+2,LEN($A18)-FIND(":",$A18)+2),INDIRECT("'Annex 1 LV and HV charges"&amp;MID($A$2,FIND("_",$A$2),2)&amp;"'!$A$10:$A$51"),0),MATCH(F$13,$A$13:$J$13,0))-F18),"")</f>
        <v/>
      </c>
      <c r="N18" s="328" t="str">
        <f ca="1">IFERROR(IF(#REF!="","",INDEX(INDIRECT("'Annex 1 LV and HV charges"&amp;MID($A$2,FIND("_",$A$2),2)&amp;"'!$A$10:$K$51"),MATCH(MID($A18,FIND(":",$A18)+2,LEN($A18)-FIND(":",$A18)+2),INDIRECT("'Annex 1 LV and HV charges"&amp;MID($A$2,FIND("_",$A$2),2)&amp;"'!$A$10:$A$51"),0),MATCH(G$13,$A$13:$J$13,0))-G18),"")</f>
        <v/>
      </c>
      <c r="O18" s="328" t="str">
        <f ca="1">IFERROR(IF(#REF!="","",INDEX(INDIRECT("'Annex 1 LV and HV charges"&amp;MID($A$2,FIND("_",$A$2),2)&amp;"'!$A$10:$K$51"),MATCH(MID($A18,FIND(":",$A18)+2,LEN($A18)-FIND(":",$A18)+2),INDIRECT("'Annex 1 LV and HV charges"&amp;MID($A$2,FIND("_",$A$2),2)&amp;"'!$A$10:$A$51"),0),MATCH(H$13,$A$13:$J$13,0))-H18),"")</f>
        <v/>
      </c>
      <c r="P18" s="328" t="str">
        <f ca="1">IFERROR(IF(#REF!="","",INDEX(INDIRECT("'Annex 1 LV and HV charges"&amp;MID($A$2,FIND("_",$A$2),2)&amp;"'!$A$10:$K$51"),MATCH(MID($A18,FIND(":",$A18)+2,LEN($A18)-FIND(":",$A18)+2),INDIRECT("'Annex 1 LV and HV charges"&amp;MID($A$2,FIND("_",$A$2),2)&amp;"'!$A$10:$A$51"),0),MATCH(I$13,$A$13:$J$13,0))-I18),"")</f>
        <v/>
      </c>
      <c r="Q18" s="328" t="str">
        <f ca="1">IFERROR(IF(#REF!="","",INDEX(INDIRECT("'Annex 1 LV and HV charges"&amp;MID($A$2,FIND("_",$A$2),2)&amp;"'!$A$10:$K$51"),MATCH(MID($A18,FIND(":",$A18)+2,LEN($A18)-FIND(":",$A18)+2),INDIRECT("'Annex 1 LV and HV charges"&amp;MID($A$2,FIND("_",$A$2),2)&amp;"'!$A$10:$A$51"),0),MATCH(J$13,$A$13:$J$13,0))-J18),"")</f>
        <v/>
      </c>
    </row>
    <row r="19" spans="1:17" ht="27" customHeight="1" x14ac:dyDescent="0.2">
      <c r="A19" s="324" t="s">
        <v>807</v>
      </c>
      <c r="B19" s="25"/>
      <c r="C19" s="326" t="s">
        <v>846</v>
      </c>
      <c r="D19" s="92">
        <v>9.5359999999999996</v>
      </c>
      <c r="E19" s="93">
        <v>3.2909999999999999</v>
      </c>
      <c r="F19" s="94">
        <v>0.66300000000000003</v>
      </c>
      <c r="G19" s="319" t="s">
        <v>840</v>
      </c>
      <c r="H19" s="320" t="s">
        <v>840</v>
      </c>
      <c r="I19" s="321" t="s">
        <v>840</v>
      </c>
      <c r="J19" s="27" t="s">
        <v>840</v>
      </c>
      <c r="K19" s="328" t="str">
        <f ca="1">IFERROR(IF(#REF!="","",INDEX(INDIRECT("'Annex 1 LV and HV charges"&amp;MID($A$2,FIND("_",$A$2),2)&amp;"'!$A$10:$K$51"),MATCH(MID($A19,FIND(":",$A19)+2,LEN($A19)-FIND(":",$A19)+2),INDIRECT("'Annex 1 LV and HV charges"&amp;MID($A$2,FIND("_",$A$2),2)&amp;"'!$A$10:$A$51"),0),MATCH(D$13,$A$13:$J$13,0))-D19),"")</f>
        <v/>
      </c>
      <c r="L19" s="328" t="str">
        <f ca="1">IFERROR(IF(#REF!="","",INDEX(INDIRECT("'Annex 1 LV and HV charges"&amp;MID($A$2,FIND("_",$A$2),2)&amp;"'!$A$10:$K$51"),MATCH(MID($A19,FIND(":",$A19)+2,LEN($A19)-FIND(":",$A19)+2),INDIRECT("'Annex 1 LV and HV charges"&amp;MID($A$2,FIND("_",$A$2),2)&amp;"'!$A$10:$A$51"),0),MATCH(E$13,$A$13:$J$13,0))-E19),"")</f>
        <v/>
      </c>
      <c r="M19" s="328" t="str">
        <f ca="1">IFERROR(IF(#REF!="","",INDEX(INDIRECT("'Annex 1 LV and HV charges"&amp;MID($A$2,FIND("_",$A$2),2)&amp;"'!$A$10:$K$51"),MATCH(MID($A19,FIND(":",$A19)+2,LEN($A19)-FIND(":",$A19)+2),INDIRECT("'Annex 1 LV and HV charges"&amp;MID($A$2,FIND("_",$A$2),2)&amp;"'!$A$10:$A$51"),0),MATCH(F$13,$A$13:$J$13,0))-F19),"")</f>
        <v/>
      </c>
      <c r="N19" s="328" t="str">
        <f ca="1">IFERROR(IF(#REF!="","",INDEX(INDIRECT("'Annex 1 LV and HV charges"&amp;MID($A$2,FIND("_",$A$2),2)&amp;"'!$A$10:$K$51"),MATCH(MID($A19,FIND(":",$A19)+2,LEN($A19)-FIND(":",$A19)+2),INDIRECT("'Annex 1 LV and HV charges"&amp;MID($A$2,FIND("_",$A$2),2)&amp;"'!$A$10:$A$51"),0),MATCH(G$13,$A$13:$J$13,0))-G19),"")</f>
        <v/>
      </c>
      <c r="O19" s="328" t="str">
        <f ca="1">IFERROR(IF(#REF!="","",INDEX(INDIRECT("'Annex 1 LV and HV charges"&amp;MID($A$2,FIND("_",$A$2),2)&amp;"'!$A$10:$K$51"),MATCH(MID($A19,FIND(":",$A19)+2,LEN($A19)-FIND(":",$A19)+2),INDIRECT("'Annex 1 LV and HV charges"&amp;MID($A$2,FIND("_",$A$2),2)&amp;"'!$A$10:$A$51"),0),MATCH(H$13,$A$13:$J$13,0))-H19),"")</f>
        <v/>
      </c>
      <c r="P19" s="328" t="str">
        <f ca="1">IFERROR(IF(#REF!="","",INDEX(INDIRECT("'Annex 1 LV and HV charges"&amp;MID($A$2,FIND("_",$A$2),2)&amp;"'!$A$10:$K$51"),MATCH(MID($A19,FIND(":",$A19)+2,LEN($A19)-FIND(":",$A19)+2),INDIRECT("'Annex 1 LV and HV charges"&amp;MID($A$2,FIND("_",$A$2),2)&amp;"'!$A$10:$A$51"),0),MATCH(I$13,$A$13:$J$13,0))-I19),"")</f>
        <v/>
      </c>
      <c r="Q19" s="328" t="str">
        <f ca="1">IFERROR(IF(#REF!="","",INDEX(INDIRECT("'Annex 1 LV and HV charges"&amp;MID($A$2,FIND("_",$A$2),2)&amp;"'!$A$10:$K$51"),MATCH(MID($A19,FIND(":",$A19)+2,LEN($A19)-FIND(":",$A19)+2),INDIRECT("'Annex 1 LV and HV charges"&amp;MID($A$2,FIND("_",$A$2),2)&amp;"'!$A$10:$A$51"),0),MATCH(J$13,$A$13:$J$13,0))-J19),"")</f>
        <v/>
      </c>
    </row>
    <row r="20" spans="1:17" ht="27" customHeight="1" x14ac:dyDescent="0.2">
      <c r="A20" s="324" t="s">
        <v>814</v>
      </c>
      <c r="B20" s="25"/>
      <c r="C20" s="326" t="s">
        <v>846</v>
      </c>
      <c r="D20" s="92">
        <v>9.2769999999999992</v>
      </c>
      <c r="E20" s="93">
        <v>3.0310000000000001</v>
      </c>
      <c r="F20" s="94">
        <v>0.40400000000000003</v>
      </c>
      <c r="G20" s="319" t="s">
        <v>840</v>
      </c>
      <c r="H20" s="320" t="s">
        <v>840</v>
      </c>
      <c r="I20" s="321" t="s">
        <v>840</v>
      </c>
      <c r="J20" s="27" t="s">
        <v>840</v>
      </c>
      <c r="K20" s="328" t="str">
        <f ca="1">IFERROR(IF(#REF!="","",INDEX(INDIRECT("'Annex 1 LV and HV charges"&amp;MID($A$2,FIND("_",$A$2),2)&amp;"'!$A$10:$K$51"),MATCH(MID($A20,FIND(":",$A20)+2,LEN($A20)-FIND(":",$A20)+2),INDIRECT("'Annex 1 LV and HV charges"&amp;MID($A$2,FIND("_",$A$2),2)&amp;"'!$A$10:$A$51"),0),MATCH(D$13,$A$13:$J$13,0))-D20),"")</f>
        <v/>
      </c>
      <c r="L20" s="328" t="str">
        <f ca="1">IFERROR(IF(#REF!="","",INDEX(INDIRECT("'Annex 1 LV and HV charges"&amp;MID($A$2,FIND("_",$A$2),2)&amp;"'!$A$10:$K$51"),MATCH(MID($A20,FIND(":",$A20)+2,LEN($A20)-FIND(":",$A20)+2),INDIRECT("'Annex 1 LV and HV charges"&amp;MID($A$2,FIND("_",$A$2),2)&amp;"'!$A$10:$A$51"),0),MATCH(E$13,$A$13:$J$13,0))-E20),"")</f>
        <v/>
      </c>
      <c r="M20" s="328" t="str">
        <f ca="1">IFERROR(IF(#REF!="","",INDEX(INDIRECT("'Annex 1 LV and HV charges"&amp;MID($A$2,FIND("_",$A$2),2)&amp;"'!$A$10:$K$51"),MATCH(MID($A20,FIND(":",$A20)+2,LEN($A20)-FIND(":",$A20)+2),INDIRECT("'Annex 1 LV and HV charges"&amp;MID($A$2,FIND("_",$A$2),2)&amp;"'!$A$10:$A$51"),0),MATCH(F$13,$A$13:$J$13,0))-F20),"")</f>
        <v/>
      </c>
      <c r="N20" s="328" t="str">
        <f ca="1">IFERROR(IF(#REF!="","",INDEX(INDIRECT("'Annex 1 LV and HV charges"&amp;MID($A$2,FIND("_",$A$2),2)&amp;"'!$A$10:$K$51"),MATCH(MID($A20,FIND(":",$A20)+2,LEN($A20)-FIND(":",$A20)+2),INDIRECT("'Annex 1 LV and HV charges"&amp;MID($A$2,FIND("_",$A$2),2)&amp;"'!$A$10:$A$51"),0),MATCH(G$13,$A$13:$J$13,0))-G20),"")</f>
        <v/>
      </c>
      <c r="O20" s="328" t="str">
        <f ca="1">IFERROR(IF(#REF!="","",INDEX(INDIRECT("'Annex 1 LV and HV charges"&amp;MID($A$2,FIND("_",$A$2),2)&amp;"'!$A$10:$K$51"),MATCH(MID($A20,FIND(":",$A20)+2,LEN($A20)-FIND(":",$A20)+2),INDIRECT("'Annex 1 LV and HV charges"&amp;MID($A$2,FIND("_",$A$2),2)&amp;"'!$A$10:$A$51"),0),MATCH(H$13,$A$13:$J$13,0))-H20),"")</f>
        <v/>
      </c>
      <c r="P20" s="328" t="str">
        <f ca="1">IFERROR(IF(#REF!="","",INDEX(INDIRECT("'Annex 1 LV and HV charges"&amp;MID($A$2,FIND("_",$A$2),2)&amp;"'!$A$10:$K$51"),MATCH(MID($A20,FIND(":",$A20)+2,LEN($A20)-FIND(":",$A20)+2),INDIRECT("'Annex 1 LV and HV charges"&amp;MID($A$2,FIND("_",$A$2),2)&amp;"'!$A$10:$A$51"),0),MATCH(I$13,$A$13:$J$13,0))-I20),"")</f>
        <v/>
      </c>
      <c r="Q20" s="328" t="str">
        <f ca="1">IFERROR(IF(#REF!="","",INDEX(INDIRECT("'Annex 1 LV and HV charges"&amp;MID($A$2,FIND("_",$A$2),2)&amp;"'!$A$10:$K$51"),MATCH(MID($A20,FIND(":",$A20)+2,LEN($A20)-FIND(":",$A20)+2),INDIRECT("'Annex 1 LV and HV charges"&amp;MID($A$2,FIND("_",$A$2),2)&amp;"'!$A$10:$A$51"),0),MATCH(J$13,$A$13:$J$13,0))-J20),"")</f>
        <v/>
      </c>
    </row>
    <row r="21" spans="1:17" ht="27" customHeight="1" x14ac:dyDescent="0.2">
      <c r="A21" s="324" t="s">
        <v>580</v>
      </c>
      <c r="B21" s="25"/>
      <c r="C21" s="326">
        <v>4</v>
      </c>
      <c r="D21" s="92">
        <v>9.5909999999999993</v>
      </c>
      <c r="E21" s="93">
        <v>3.3460000000000001</v>
      </c>
      <c r="F21" s="94">
        <v>0.71799999999999997</v>
      </c>
      <c r="G21" s="320" t="s">
        <v>840</v>
      </c>
      <c r="H21" s="320" t="s">
        <v>840</v>
      </c>
      <c r="I21" s="321" t="s">
        <v>840</v>
      </c>
      <c r="J21" s="27" t="s">
        <v>840</v>
      </c>
      <c r="K21" s="328" t="str">
        <f ca="1">IFERROR(IF(#REF!="","",INDEX(INDIRECT("'Annex 1 LV and HV charges"&amp;MID($A$2,FIND("_",$A$2),2)&amp;"'!$A$10:$K$51"),MATCH(MID($A21,FIND(":",$A21)+2,LEN($A21)-FIND(":",$A21)+2),INDIRECT("'Annex 1 LV and HV charges"&amp;MID($A$2,FIND("_",$A$2),2)&amp;"'!$A$10:$A$51"),0),MATCH(D$13,$A$13:$J$13,0))-D21),"")</f>
        <v/>
      </c>
      <c r="L21" s="328" t="str">
        <f ca="1">IFERROR(IF(#REF!="","",INDEX(INDIRECT("'Annex 1 LV and HV charges"&amp;MID($A$2,FIND("_",$A$2),2)&amp;"'!$A$10:$K$51"),MATCH(MID($A21,FIND(":",$A21)+2,LEN($A21)-FIND(":",$A21)+2),INDIRECT("'Annex 1 LV and HV charges"&amp;MID($A$2,FIND("_",$A$2),2)&amp;"'!$A$10:$A$51"),0),MATCH(E$13,$A$13:$J$13,0))-E21),"")</f>
        <v/>
      </c>
      <c r="M21" s="328" t="str">
        <f ca="1">IFERROR(IF(#REF!="","",INDEX(INDIRECT("'Annex 1 LV and HV charges"&amp;MID($A$2,FIND("_",$A$2),2)&amp;"'!$A$10:$K$51"),MATCH(MID($A21,FIND(":",$A21)+2,LEN($A21)-FIND(":",$A21)+2),INDIRECT("'Annex 1 LV and HV charges"&amp;MID($A$2,FIND("_",$A$2),2)&amp;"'!$A$10:$A$51"),0),MATCH(F$13,$A$13:$J$13,0))-F21),"")</f>
        <v/>
      </c>
      <c r="N21" s="328" t="str">
        <f ca="1">IFERROR(IF(#REF!="","",INDEX(INDIRECT("'Annex 1 LV and HV charges"&amp;MID($A$2,FIND("_",$A$2),2)&amp;"'!$A$10:$K$51"),MATCH(MID($A21,FIND(":",$A21)+2,LEN($A21)-FIND(":",$A21)+2),INDIRECT("'Annex 1 LV and HV charges"&amp;MID($A$2,FIND("_",$A$2),2)&amp;"'!$A$10:$A$51"),0),MATCH(G$13,$A$13:$J$13,0))-G21),"")</f>
        <v/>
      </c>
      <c r="O21" s="328" t="str">
        <f ca="1">IFERROR(IF(#REF!="","",INDEX(INDIRECT("'Annex 1 LV and HV charges"&amp;MID($A$2,FIND("_",$A$2),2)&amp;"'!$A$10:$K$51"),MATCH(MID($A21,FIND(":",$A21)+2,LEN($A21)-FIND(":",$A21)+2),INDIRECT("'Annex 1 LV and HV charges"&amp;MID($A$2,FIND("_",$A$2),2)&amp;"'!$A$10:$A$51"),0),MATCH(H$13,$A$13:$J$13,0))-H21),"")</f>
        <v/>
      </c>
      <c r="P21" s="328" t="str">
        <f ca="1">IFERROR(IF(#REF!="","",INDEX(INDIRECT("'Annex 1 LV and HV charges"&amp;MID($A$2,FIND("_",$A$2),2)&amp;"'!$A$10:$K$51"),MATCH(MID($A21,FIND(":",$A21)+2,LEN($A21)-FIND(":",$A21)+2),INDIRECT("'Annex 1 LV and HV charges"&amp;MID($A$2,FIND("_",$A$2),2)&amp;"'!$A$10:$A$51"),0),MATCH(I$13,$A$13:$J$13,0))-I21),"")</f>
        <v/>
      </c>
      <c r="Q21" s="328" t="str">
        <f ca="1">IFERROR(IF(#REF!="","",INDEX(INDIRECT("'Annex 1 LV and HV charges"&amp;MID($A$2,FIND("_",$A$2),2)&amp;"'!$A$10:$K$51"),MATCH(MID($A21,FIND(":",$A21)+2,LEN($A21)-FIND(":",$A21)+2),INDIRECT("'Annex 1 LV and HV charges"&amp;MID($A$2,FIND("_",$A$2),2)&amp;"'!$A$10:$A$51"),0),MATCH(J$13,$A$13:$J$13,0))-J21),"")</f>
        <v/>
      </c>
    </row>
    <row r="22" spans="1:17" ht="27" customHeight="1" x14ac:dyDescent="0.2">
      <c r="A22" s="324" t="s">
        <v>643</v>
      </c>
      <c r="B22" s="18"/>
      <c r="C22" s="326">
        <v>0</v>
      </c>
      <c r="D22" s="92">
        <v>5.931</v>
      </c>
      <c r="E22" s="93">
        <v>1.962</v>
      </c>
      <c r="F22" s="94">
        <v>0.47299999999999998</v>
      </c>
      <c r="G22" s="319">
        <v>50.7</v>
      </c>
      <c r="H22" s="319">
        <v>9.58</v>
      </c>
      <c r="I22" s="322">
        <v>9.58</v>
      </c>
      <c r="J22" s="26">
        <v>0.30599999999999999</v>
      </c>
      <c r="K22" s="328" t="str">
        <f ca="1">IFERROR(IF(#REF!="","",INDEX(INDIRECT("'Annex 1 LV and HV charges"&amp;MID($A$2,FIND("_",$A$2),2)&amp;"'!$A$10:$K$51"),MATCH(MID($A22,FIND(":",$A22)+2,LEN($A22)-FIND(":",$A22)+2),INDIRECT("'Annex 1 LV and HV charges"&amp;MID($A$2,FIND("_",$A$2),2)&amp;"'!$A$10:$A$51"),0),MATCH(D$13,$A$13:$J$13,0))-D22),"")</f>
        <v/>
      </c>
      <c r="L22" s="328" t="str">
        <f ca="1">IFERROR(IF(#REF!="","",INDEX(INDIRECT("'Annex 1 LV and HV charges"&amp;MID($A$2,FIND("_",$A$2),2)&amp;"'!$A$10:$K$51"),MATCH(MID($A22,FIND(":",$A22)+2,LEN($A22)-FIND(":",$A22)+2),INDIRECT("'Annex 1 LV and HV charges"&amp;MID($A$2,FIND("_",$A$2),2)&amp;"'!$A$10:$A$51"),0),MATCH(E$13,$A$13:$J$13,0))-E22),"")</f>
        <v/>
      </c>
      <c r="M22" s="328" t="str">
        <f ca="1">IFERROR(IF(#REF!="","",INDEX(INDIRECT("'Annex 1 LV and HV charges"&amp;MID($A$2,FIND("_",$A$2),2)&amp;"'!$A$10:$K$51"),MATCH(MID($A22,FIND(":",$A22)+2,LEN($A22)-FIND(":",$A22)+2),INDIRECT("'Annex 1 LV and HV charges"&amp;MID($A$2,FIND("_",$A$2),2)&amp;"'!$A$10:$A$51"),0),MATCH(F$13,$A$13:$J$13,0))-F22),"")</f>
        <v/>
      </c>
      <c r="N22" s="328" t="str">
        <f ca="1">IFERROR(IF(#REF!="","",INDEX(INDIRECT("'Annex 1 LV and HV charges"&amp;MID($A$2,FIND("_",$A$2),2)&amp;"'!$A$10:$K$51"),MATCH(MID($A22,FIND(":",$A22)+2,LEN($A22)-FIND(":",$A22)+2),INDIRECT("'Annex 1 LV and HV charges"&amp;MID($A$2,FIND("_",$A$2),2)&amp;"'!$A$10:$A$51"),0),MATCH(G$13,$A$13:$J$13,0))-G22),"")</f>
        <v/>
      </c>
      <c r="O22" s="328" t="str">
        <f ca="1">IFERROR(IF(#REF!="","",INDEX(INDIRECT("'Annex 1 LV and HV charges"&amp;MID($A$2,FIND("_",$A$2),2)&amp;"'!$A$10:$K$51"),MATCH(MID($A22,FIND(":",$A22)+2,LEN($A22)-FIND(":",$A22)+2),INDIRECT("'Annex 1 LV and HV charges"&amp;MID($A$2,FIND("_",$A$2),2)&amp;"'!$A$10:$A$51"),0),MATCH(H$13,$A$13:$J$13,0))-H22),"")</f>
        <v/>
      </c>
      <c r="P22" s="328" t="str">
        <f ca="1">IFERROR(IF(#REF!="","",INDEX(INDIRECT("'Annex 1 LV and HV charges"&amp;MID($A$2,FIND("_",$A$2),2)&amp;"'!$A$10:$K$51"),MATCH(MID($A22,FIND(":",$A22)+2,LEN($A22)-FIND(":",$A22)+2),INDIRECT("'Annex 1 LV and HV charges"&amp;MID($A$2,FIND("_",$A$2),2)&amp;"'!$A$10:$A$51"),0),MATCH(I$13,$A$13:$J$13,0))-I22),"")</f>
        <v/>
      </c>
      <c r="Q22" s="328" t="str">
        <f ca="1">IFERROR(IF(#REF!="","",INDEX(INDIRECT("'Annex 1 LV and HV charges"&amp;MID($A$2,FIND("_",$A$2),2)&amp;"'!$A$10:$K$51"),MATCH(MID($A22,FIND(":",$A22)+2,LEN($A22)-FIND(":",$A22)+2),INDIRECT("'Annex 1 LV and HV charges"&amp;MID($A$2,FIND("_",$A$2),2)&amp;"'!$A$10:$A$51"),0),MATCH(J$13,$A$13:$J$13,0))-J22),"")</f>
        <v/>
      </c>
    </row>
    <row r="23" spans="1:17" ht="27" customHeight="1" x14ac:dyDescent="0.2">
      <c r="A23" s="324" t="s">
        <v>644</v>
      </c>
      <c r="B23" s="25"/>
      <c r="C23" s="326">
        <v>0</v>
      </c>
      <c r="D23" s="92">
        <v>5.6980000000000004</v>
      </c>
      <c r="E23" s="93">
        <v>1.7290000000000001</v>
      </c>
      <c r="F23" s="94">
        <v>0.24</v>
      </c>
      <c r="G23" s="319" t="s">
        <v>840</v>
      </c>
      <c r="H23" s="319">
        <v>9.58</v>
      </c>
      <c r="I23" s="322">
        <v>9.58</v>
      </c>
      <c r="J23" s="26">
        <v>0.30599999999999999</v>
      </c>
      <c r="K23" s="328" t="str">
        <f ca="1">IFERROR(IF(#REF!="","",INDEX(INDIRECT("'Annex 1 LV and HV charges"&amp;MID($A$2,FIND("_",$A$2),2)&amp;"'!$A$10:$K$51"),MATCH(MID($A23,FIND(":",$A23)+2,LEN($A23)-FIND(":",$A23)+2),INDIRECT("'Annex 1 LV and HV charges"&amp;MID($A$2,FIND("_",$A$2),2)&amp;"'!$A$10:$A$51"),0),MATCH(D$13,$A$13:$J$13,0))-D23),"")</f>
        <v/>
      </c>
      <c r="L23" s="328" t="str">
        <f ca="1">IFERROR(IF(#REF!="","",INDEX(INDIRECT("'Annex 1 LV and HV charges"&amp;MID($A$2,FIND("_",$A$2),2)&amp;"'!$A$10:$K$51"),MATCH(MID($A23,FIND(":",$A23)+2,LEN($A23)-FIND(":",$A23)+2),INDIRECT("'Annex 1 LV and HV charges"&amp;MID($A$2,FIND("_",$A$2),2)&amp;"'!$A$10:$A$51"),0),MATCH(E$13,$A$13:$J$13,0))-E23),"")</f>
        <v/>
      </c>
      <c r="M23" s="328" t="str">
        <f ca="1">IFERROR(IF(#REF!="","",INDEX(INDIRECT("'Annex 1 LV and HV charges"&amp;MID($A$2,FIND("_",$A$2),2)&amp;"'!$A$10:$K$51"),MATCH(MID($A23,FIND(":",$A23)+2,LEN($A23)-FIND(":",$A23)+2),INDIRECT("'Annex 1 LV and HV charges"&amp;MID($A$2,FIND("_",$A$2),2)&amp;"'!$A$10:$A$51"),0),MATCH(F$13,$A$13:$J$13,0))-F23),"")</f>
        <v/>
      </c>
      <c r="N23" s="328" t="str">
        <f ca="1">IFERROR(IF(#REF!="","",INDEX(INDIRECT("'Annex 1 LV and HV charges"&amp;MID($A$2,FIND("_",$A$2),2)&amp;"'!$A$10:$K$51"),MATCH(MID($A23,FIND(":",$A23)+2,LEN($A23)-FIND(":",$A23)+2),INDIRECT("'Annex 1 LV and HV charges"&amp;MID($A$2,FIND("_",$A$2),2)&amp;"'!$A$10:$A$51"),0),MATCH(G$13,$A$13:$J$13,0))-G23),"")</f>
        <v/>
      </c>
      <c r="O23" s="328" t="str">
        <f ca="1">IFERROR(IF(#REF!="","",INDEX(INDIRECT("'Annex 1 LV and HV charges"&amp;MID($A$2,FIND("_",$A$2),2)&amp;"'!$A$10:$K$51"),MATCH(MID($A23,FIND(":",$A23)+2,LEN($A23)-FIND(":",$A23)+2),INDIRECT("'Annex 1 LV and HV charges"&amp;MID($A$2,FIND("_",$A$2),2)&amp;"'!$A$10:$A$51"),0),MATCH(H$13,$A$13:$J$13,0))-H23),"")</f>
        <v/>
      </c>
      <c r="P23" s="328" t="str">
        <f ca="1">IFERROR(IF(#REF!="","",INDEX(INDIRECT("'Annex 1 LV and HV charges"&amp;MID($A$2,FIND("_",$A$2),2)&amp;"'!$A$10:$K$51"),MATCH(MID($A23,FIND(":",$A23)+2,LEN($A23)-FIND(":",$A23)+2),INDIRECT("'Annex 1 LV and HV charges"&amp;MID($A$2,FIND("_",$A$2),2)&amp;"'!$A$10:$A$51"),0),MATCH(I$13,$A$13:$J$13,0))-I23),"")</f>
        <v/>
      </c>
      <c r="Q23" s="328" t="str">
        <f ca="1">IFERROR(IF(#REF!="","",INDEX(INDIRECT("'Annex 1 LV and HV charges"&amp;MID($A$2,FIND("_",$A$2),2)&amp;"'!$A$10:$K$51"),MATCH(MID($A23,FIND(":",$A23)+2,LEN($A23)-FIND(":",$A23)+2),INDIRECT("'Annex 1 LV and HV charges"&amp;MID($A$2,FIND("_",$A$2),2)&amp;"'!$A$10:$A$51"),0),MATCH(J$13,$A$13:$J$13,0))-J23),"")</f>
        <v/>
      </c>
    </row>
    <row r="24" spans="1:17" ht="27" customHeight="1" x14ac:dyDescent="0.2">
      <c r="A24" s="324" t="s">
        <v>645</v>
      </c>
      <c r="B24" s="18"/>
      <c r="C24" s="326">
        <v>0</v>
      </c>
      <c r="D24" s="92">
        <v>5.577</v>
      </c>
      <c r="E24" s="93">
        <v>1.609</v>
      </c>
      <c r="F24" s="94">
        <v>0.20699999999999999</v>
      </c>
      <c r="G24" s="319" t="s">
        <v>840</v>
      </c>
      <c r="H24" s="319">
        <v>9.58</v>
      </c>
      <c r="I24" s="322">
        <v>9.58</v>
      </c>
      <c r="J24" s="26">
        <v>0.30599999999999999</v>
      </c>
      <c r="K24" s="328" t="str">
        <f ca="1">IFERROR(IF(#REF!="","",INDEX(INDIRECT("'Annex 1 LV and HV charges"&amp;MID($A$2,FIND("_",$A$2),2)&amp;"'!$A$10:$K$51"),MATCH(MID($A24,FIND(":",$A24)+2,LEN($A24)-FIND(":",$A24)+2),INDIRECT("'Annex 1 LV and HV charges"&amp;MID($A$2,FIND("_",$A$2),2)&amp;"'!$A$10:$A$51"),0),MATCH(D$13,$A$13:$J$13,0))-D24),"")</f>
        <v/>
      </c>
      <c r="L24" s="328" t="str">
        <f ca="1">IFERROR(IF(#REF!="","",INDEX(INDIRECT("'Annex 1 LV and HV charges"&amp;MID($A$2,FIND("_",$A$2),2)&amp;"'!$A$10:$K$51"),MATCH(MID($A24,FIND(":",$A24)+2,LEN($A24)-FIND(":",$A24)+2),INDIRECT("'Annex 1 LV and HV charges"&amp;MID($A$2,FIND("_",$A$2),2)&amp;"'!$A$10:$A$51"),0),MATCH(E$13,$A$13:$J$13,0))-E24),"")</f>
        <v/>
      </c>
      <c r="M24" s="328" t="str">
        <f ca="1">IFERROR(IF(#REF!="","",INDEX(INDIRECT("'Annex 1 LV and HV charges"&amp;MID($A$2,FIND("_",$A$2),2)&amp;"'!$A$10:$K$51"),MATCH(MID($A24,FIND(":",$A24)+2,LEN($A24)-FIND(":",$A24)+2),INDIRECT("'Annex 1 LV and HV charges"&amp;MID($A$2,FIND("_",$A$2),2)&amp;"'!$A$10:$A$51"),0),MATCH(F$13,$A$13:$J$13,0))-F24),"")</f>
        <v/>
      </c>
      <c r="N24" s="328" t="str">
        <f ca="1">IFERROR(IF(#REF!="","",INDEX(INDIRECT("'Annex 1 LV and HV charges"&amp;MID($A$2,FIND("_",$A$2),2)&amp;"'!$A$10:$K$51"),MATCH(MID($A24,FIND(":",$A24)+2,LEN($A24)-FIND(":",$A24)+2),INDIRECT("'Annex 1 LV and HV charges"&amp;MID($A$2,FIND("_",$A$2),2)&amp;"'!$A$10:$A$51"),0),MATCH(G$13,$A$13:$J$13,0))-G24),"")</f>
        <v/>
      </c>
      <c r="O24" s="328" t="str">
        <f ca="1">IFERROR(IF(#REF!="","",INDEX(INDIRECT("'Annex 1 LV and HV charges"&amp;MID($A$2,FIND("_",$A$2),2)&amp;"'!$A$10:$K$51"),MATCH(MID($A24,FIND(":",$A24)+2,LEN($A24)-FIND(":",$A24)+2),INDIRECT("'Annex 1 LV and HV charges"&amp;MID($A$2,FIND("_",$A$2),2)&amp;"'!$A$10:$A$51"),0),MATCH(H$13,$A$13:$J$13,0))-H24),"")</f>
        <v/>
      </c>
      <c r="P24" s="328" t="str">
        <f ca="1">IFERROR(IF(#REF!="","",INDEX(INDIRECT("'Annex 1 LV and HV charges"&amp;MID($A$2,FIND("_",$A$2),2)&amp;"'!$A$10:$K$51"),MATCH(MID($A24,FIND(":",$A24)+2,LEN($A24)-FIND(":",$A24)+2),INDIRECT("'Annex 1 LV and HV charges"&amp;MID($A$2,FIND("_",$A$2),2)&amp;"'!$A$10:$A$51"),0),MATCH(I$13,$A$13:$J$13,0))-I24),"")</f>
        <v/>
      </c>
      <c r="Q24" s="328" t="str">
        <f ca="1">IFERROR(IF(#REF!="","",INDEX(INDIRECT("'Annex 1 LV and HV charges"&amp;MID($A$2,FIND("_",$A$2),2)&amp;"'!$A$10:$K$51"),MATCH(MID($A24,FIND(":",$A24)+2,LEN($A24)-FIND(":",$A24)+2),INDIRECT("'Annex 1 LV and HV charges"&amp;MID($A$2,FIND("_",$A$2),2)&amp;"'!$A$10:$A$51"),0),MATCH(J$13,$A$13:$J$13,0))-J24),"")</f>
        <v/>
      </c>
    </row>
    <row r="25" spans="1:17" ht="27" customHeight="1" x14ac:dyDescent="0.2">
      <c r="A25" s="324" t="s">
        <v>646</v>
      </c>
      <c r="B25" s="18"/>
      <c r="C25" s="326">
        <v>0</v>
      </c>
      <c r="D25" s="92">
        <v>5.5069999999999997</v>
      </c>
      <c r="E25" s="93">
        <v>1.5389999999999999</v>
      </c>
      <c r="F25" s="94">
        <v>0.20699999999999999</v>
      </c>
      <c r="G25" s="319" t="s">
        <v>840</v>
      </c>
      <c r="H25" s="319">
        <v>9.58</v>
      </c>
      <c r="I25" s="322">
        <v>9.58</v>
      </c>
      <c r="J25" s="26">
        <v>0.30599999999999999</v>
      </c>
      <c r="K25" s="328" t="str">
        <f ca="1">IFERROR(IF(#REF!="","",INDEX(INDIRECT("'Annex 1 LV and HV charges"&amp;MID($A$2,FIND("_",$A$2),2)&amp;"'!$A$10:$K$51"),MATCH(MID($A25,FIND(":",$A25)+2,LEN($A25)-FIND(":",$A25)+2),INDIRECT("'Annex 1 LV and HV charges"&amp;MID($A$2,FIND("_",$A$2),2)&amp;"'!$A$10:$A$51"),0),MATCH(D$13,$A$13:$J$13,0))-D25),"")</f>
        <v/>
      </c>
      <c r="L25" s="328" t="str">
        <f ca="1">IFERROR(IF(#REF!="","",INDEX(INDIRECT("'Annex 1 LV and HV charges"&amp;MID($A$2,FIND("_",$A$2),2)&amp;"'!$A$10:$K$51"),MATCH(MID($A25,FIND(":",$A25)+2,LEN($A25)-FIND(":",$A25)+2),INDIRECT("'Annex 1 LV and HV charges"&amp;MID($A$2,FIND("_",$A$2),2)&amp;"'!$A$10:$A$51"),0),MATCH(E$13,$A$13:$J$13,0))-E25),"")</f>
        <v/>
      </c>
      <c r="M25" s="328" t="str">
        <f ca="1">IFERROR(IF(#REF!="","",INDEX(INDIRECT("'Annex 1 LV and HV charges"&amp;MID($A$2,FIND("_",$A$2),2)&amp;"'!$A$10:$K$51"),MATCH(MID($A25,FIND(":",$A25)+2,LEN($A25)-FIND(":",$A25)+2),INDIRECT("'Annex 1 LV and HV charges"&amp;MID($A$2,FIND("_",$A$2),2)&amp;"'!$A$10:$A$51"),0),MATCH(F$13,$A$13:$J$13,0))-F25),"")</f>
        <v/>
      </c>
      <c r="N25" s="328" t="str">
        <f ca="1">IFERROR(IF(#REF!="","",INDEX(INDIRECT("'Annex 1 LV and HV charges"&amp;MID($A$2,FIND("_",$A$2),2)&amp;"'!$A$10:$K$51"),MATCH(MID($A25,FIND(":",$A25)+2,LEN($A25)-FIND(":",$A25)+2),INDIRECT("'Annex 1 LV and HV charges"&amp;MID($A$2,FIND("_",$A$2),2)&amp;"'!$A$10:$A$51"),0),MATCH(G$13,$A$13:$J$13,0))-G25),"")</f>
        <v/>
      </c>
      <c r="O25" s="328" t="str">
        <f ca="1">IFERROR(IF(#REF!="","",INDEX(INDIRECT("'Annex 1 LV and HV charges"&amp;MID($A$2,FIND("_",$A$2),2)&amp;"'!$A$10:$K$51"),MATCH(MID($A25,FIND(":",$A25)+2,LEN($A25)-FIND(":",$A25)+2),INDIRECT("'Annex 1 LV and HV charges"&amp;MID($A$2,FIND("_",$A$2),2)&amp;"'!$A$10:$A$51"),0),MATCH(H$13,$A$13:$J$13,0))-H25),"")</f>
        <v/>
      </c>
      <c r="P25" s="328" t="str">
        <f ca="1">IFERROR(IF(#REF!="","",INDEX(INDIRECT("'Annex 1 LV and HV charges"&amp;MID($A$2,FIND("_",$A$2),2)&amp;"'!$A$10:$K$51"),MATCH(MID($A25,FIND(":",$A25)+2,LEN($A25)-FIND(":",$A25)+2),INDIRECT("'Annex 1 LV and HV charges"&amp;MID($A$2,FIND("_",$A$2),2)&amp;"'!$A$10:$A$51"),0),MATCH(I$13,$A$13:$J$13,0))-I25),"")</f>
        <v/>
      </c>
      <c r="Q25" s="328" t="str">
        <f ca="1">IFERROR(IF(#REF!="","",INDEX(INDIRECT("'Annex 1 LV and HV charges"&amp;MID($A$2,FIND("_",$A$2),2)&amp;"'!$A$10:$K$51"),MATCH(MID($A25,FIND(":",$A25)+2,LEN($A25)-FIND(":",$A25)+2),INDIRECT("'Annex 1 LV and HV charges"&amp;MID($A$2,FIND("_",$A$2),2)&amp;"'!$A$10:$A$51"),0),MATCH(J$13,$A$13:$J$13,0))-J25),"")</f>
        <v/>
      </c>
    </row>
    <row r="26" spans="1:17" ht="27" customHeight="1" x14ac:dyDescent="0.2">
      <c r="A26" s="324" t="s">
        <v>647</v>
      </c>
      <c r="B26" s="18"/>
      <c r="C26" s="326">
        <v>0</v>
      </c>
      <c r="D26" s="92">
        <v>5.4390000000000001</v>
      </c>
      <c r="E26" s="93">
        <v>1.47</v>
      </c>
      <c r="F26" s="94">
        <v>0.20699999999999999</v>
      </c>
      <c r="G26" s="319" t="s">
        <v>840</v>
      </c>
      <c r="H26" s="319">
        <v>9.58</v>
      </c>
      <c r="I26" s="322">
        <v>9.58</v>
      </c>
      <c r="J26" s="26">
        <v>0.30599999999999999</v>
      </c>
      <c r="K26" s="328" t="str">
        <f ca="1">IFERROR(IF(#REF!="","",INDEX(INDIRECT("'Annex 1 LV and HV charges"&amp;MID($A$2,FIND("_",$A$2),2)&amp;"'!$A$10:$K$51"),MATCH(MID($A26,FIND(":",$A26)+2,LEN($A26)-FIND(":",$A26)+2),INDIRECT("'Annex 1 LV and HV charges"&amp;MID($A$2,FIND("_",$A$2),2)&amp;"'!$A$10:$A$51"),0),MATCH(D$13,$A$13:$J$13,0))-D26),"")</f>
        <v/>
      </c>
      <c r="L26" s="328" t="str">
        <f ca="1">IFERROR(IF(#REF!="","",INDEX(INDIRECT("'Annex 1 LV and HV charges"&amp;MID($A$2,FIND("_",$A$2),2)&amp;"'!$A$10:$K$51"),MATCH(MID($A26,FIND(":",$A26)+2,LEN($A26)-FIND(":",$A26)+2),INDIRECT("'Annex 1 LV and HV charges"&amp;MID($A$2,FIND("_",$A$2),2)&amp;"'!$A$10:$A$51"),0),MATCH(E$13,$A$13:$J$13,0))-E26),"")</f>
        <v/>
      </c>
      <c r="M26" s="328" t="str">
        <f ca="1">IFERROR(IF(#REF!="","",INDEX(INDIRECT("'Annex 1 LV and HV charges"&amp;MID($A$2,FIND("_",$A$2),2)&amp;"'!$A$10:$K$51"),MATCH(MID($A26,FIND(":",$A26)+2,LEN($A26)-FIND(":",$A26)+2),INDIRECT("'Annex 1 LV and HV charges"&amp;MID($A$2,FIND("_",$A$2),2)&amp;"'!$A$10:$A$51"),0),MATCH(F$13,$A$13:$J$13,0))-F26),"")</f>
        <v/>
      </c>
      <c r="N26" s="328" t="str">
        <f ca="1">IFERROR(IF(#REF!="","",INDEX(INDIRECT("'Annex 1 LV and HV charges"&amp;MID($A$2,FIND("_",$A$2),2)&amp;"'!$A$10:$K$51"),MATCH(MID($A26,FIND(":",$A26)+2,LEN($A26)-FIND(":",$A26)+2),INDIRECT("'Annex 1 LV and HV charges"&amp;MID($A$2,FIND("_",$A$2),2)&amp;"'!$A$10:$A$51"),0),MATCH(G$13,$A$13:$J$13,0))-G26),"")</f>
        <v/>
      </c>
      <c r="O26" s="328" t="str">
        <f ca="1">IFERROR(IF(#REF!="","",INDEX(INDIRECT("'Annex 1 LV and HV charges"&amp;MID($A$2,FIND("_",$A$2),2)&amp;"'!$A$10:$K$51"),MATCH(MID($A26,FIND(":",$A26)+2,LEN($A26)-FIND(":",$A26)+2),INDIRECT("'Annex 1 LV and HV charges"&amp;MID($A$2,FIND("_",$A$2),2)&amp;"'!$A$10:$A$51"),0),MATCH(H$13,$A$13:$J$13,0))-H26),"")</f>
        <v/>
      </c>
      <c r="P26" s="328" t="str">
        <f ca="1">IFERROR(IF(#REF!="","",INDEX(INDIRECT("'Annex 1 LV and HV charges"&amp;MID($A$2,FIND("_",$A$2),2)&amp;"'!$A$10:$K$51"),MATCH(MID($A26,FIND(":",$A26)+2,LEN($A26)-FIND(":",$A26)+2),INDIRECT("'Annex 1 LV and HV charges"&amp;MID($A$2,FIND("_",$A$2),2)&amp;"'!$A$10:$A$51"),0),MATCH(I$13,$A$13:$J$13,0))-I26),"")</f>
        <v/>
      </c>
      <c r="Q26" s="328" t="str">
        <f ca="1">IFERROR(IF(#REF!="","",INDEX(INDIRECT("'Annex 1 LV and HV charges"&amp;MID($A$2,FIND("_",$A$2),2)&amp;"'!$A$10:$K$51"),MATCH(MID($A26,FIND(":",$A26)+2,LEN($A26)-FIND(":",$A26)+2),INDIRECT("'Annex 1 LV and HV charges"&amp;MID($A$2,FIND("_",$A$2),2)&amp;"'!$A$10:$A$51"),0),MATCH(J$13,$A$13:$J$13,0))-J26),"")</f>
        <v/>
      </c>
    </row>
    <row r="27" spans="1:17" ht="27" customHeight="1" x14ac:dyDescent="0.2">
      <c r="A27" s="324" t="s">
        <v>581</v>
      </c>
      <c r="B27" s="25"/>
      <c r="C27" s="327" t="s">
        <v>847</v>
      </c>
      <c r="D27" s="95">
        <v>19.167999999999999</v>
      </c>
      <c r="E27" s="96">
        <v>6.2149999999999999</v>
      </c>
      <c r="F27" s="94">
        <v>4.7439999999999998</v>
      </c>
      <c r="G27" s="320" t="s">
        <v>840</v>
      </c>
      <c r="H27" s="320" t="s">
        <v>840</v>
      </c>
      <c r="I27" s="321" t="s">
        <v>840</v>
      </c>
      <c r="J27" s="27" t="s">
        <v>840</v>
      </c>
      <c r="K27" s="328" t="str">
        <f ca="1">IFERROR(IF(#REF!="","",INDEX(INDIRECT("'Annex 1 LV and HV charges"&amp;MID($A$2,FIND("_",$A$2),2)&amp;"'!$A$10:$K$51"),MATCH(MID($A27,FIND(":",$A27)+2,LEN($A27)-FIND(":",$A27)+2),INDIRECT("'Annex 1 LV and HV charges"&amp;MID($A$2,FIND("_",$A$2),2)&amp;"'!$A$10:$A$51"),0),MATCH(D$13,$A$13:$J$13,0))-D27),"")</f>
        <v/>
      </c>
      <c r="L27" s="328" t="str">
        <f ca="1">IFERROR(IF(#REF!="","",INDEX(INDIRECT("'Annex 1 LV and HV charges"&amp;MID($A$2,FIND("_",$A$2),2)&amp;"'!$A$10:$K$51"),MATCH(MID($A27,FIND(":",$A27)+2,LEN($A27)-FIND(":",$A27)+2),INDIRECT("'Annex 1 LV and HV charges"&amp;MID($A$2,FIND("_",$A$2),2)&amp;"'!$A$10:$A$51"),0),MATCH(E$13,$A$13:$J$13,0))-E27),"")</f>
        <v/>
      </c>
      <c r="M27" s="328" t="str">
        <f ca="1">IFERROR(IF(#REF!="","",INDEX(INDIRECT("'Annex 1 LV and HV charges"&amp;MID($A$2,FIND("_",$A$2),2)&amp;"'!$A$10:$K$51"),MATCH(MID($A27,FIND(":",$A27)+2,LEN($A27)-FIND(":",$A27)+2),INDIRECT("'Annex 1 LV and HV charges"&amp;MID($A$2,FIND("_",$A$2),2)&amp;"'!$A$10:$A$51"),0),MATCH(F$13,$A$13:$J$13,0))-F27),"")</f>
        <v/>
      </c>
      <c r="N27" s="328" t="str">
        <f ca="1">IFERROR(IF(#REF!="","",INDEX(INDIRECT("'Annex 1 LV and HV charges"&amp;MID($A$2,FIND("_",$A$2),2)&amp;"'!$A$10:$K$51"),MATCH(MID($A27,FIND(":",$A27)+2,LEN($A27)-FIND(":",$A27)+2),INDIRECT("'Annex 1 LV and HV charges"&amp;MID($A$2,FIND("_",$A$2),2)&amp;"'!$A$10:$A$51"),0),MATCH(G$13,$A$13:$J$13,0))-G27),"")</f>
        <v/>
      </c>
      <c r="O27" s="328" t="str">
        <f ca="1">IFERROR(IF(#REF!="","",INDEX(INDIRECT("'Annex 1 LV and HV charges"&amp;MID($A$2,FIND("_",$A$2),2)&amp;"'!$A$10:$K$51"),MATCH(MID($A27,FIND(":",$A27)+2,LEN($A27)-FIND(":",$A27)+2),INDIRECT("'Annex 1 LV and HV charges"&amp;MID($A$2,FIND("_",$A$2),2)&amp;"'!$A$10:$A$51"),0),MATCH(H$13,$A$13:$J$13,0))-H27),"")</f>
        <v/>
      </c>
      <c r="P27" s="328" t="str">
        <f ca="1">IFERROR(IF(#REF!="","",INDEX(INDIRECT("'Annex 1 LV and HV charges"&amp;MID($A$2,FIND("_",$A$2),2)&amp;"'!$A$10:$K$51"),MATCH(MID($A27,FIND(":",$A27)+2,LEN($A27)-FIND(":",$A27)+2),INDIRECT("'Annex 1 LV and HV charges"&amp;MID($A$2,FIND("_",$A$2),2)&amp;"'!$A$10:$A$51"),0),MATCH(I$13,$A$13:$J$13,0))-I27),"")</f>
        <v/>
      </c>
      <c r="Q27" s="328" t="str">
        <f ca="1">IFERROR(IF(#REF!="","",INDEX(INDIRECT("'Annex 1 LV and HV charges"&amp;MID($A$2,FIND("_",$A$2),2)&amp;"'!$A$10:$K$51"),MATCH(MID($A27,FIND(":",$A27)+2,LEN($A27)-FIND(":",$A27)+2),INDIRECT("'Annex 1 LV and HV charges"&amp;MID($A$2,FIND("_",$A$2),2)&amp;"'!$A$10:$A$51"),0),MATCH(J$13,$A$13:$J$13,0))-J27),"")</f>
        <v/>
      </c>
    </row>
    <row r="28" spans="1:17" ht="27" customHeight="1" x14ac:dyDescent="0.2">
      <c r="A28" s="324" t="s">
        <v>610</v>
      </c>
      <c r="B28" s="25"/>
      <c r="C28" s="327" t="s">
        <v>2154</v>
      </c>
      <c r="D28" s="92">
        <v>-8.3970000000000002</v>
      </c>
      <c r="E28" s="93">
        <v>-2.9289999999999998</v>
      </c>
      <c r="F28" s="94">
        <v>-0.629</v>
      </c>
      <c r="G28" s="319" t="s">
        <v>840</v>
      </c>
      <c r="H28" s="320" t="s">
        <v>840</v>
      </c>
      <c r="I28" s="321" t="s">
        <v>840</v>
      </c>
      <c r="J28" s="27" t="s">
        <v>840</v>
      </c>
      <c r="K28" s="328" t="str">
        <f ca="1">IFERROR(IF(#REF!="","",INDEX(INDIRECT("'Annex 1 LV and HV charges"&amp;MID($A$2,FIND("_",$A$2),2)&amp;"'!$A$10:$K$51"),MATCH(MID($A28,FIND(":",$A28)+2,LEN($A28)-FIND(":",$A28)+2),INDIRECT("'Annex 1 LV and HV charges"&amp;MID($A$2,FIND("_",$A$2),2)&amp;"'!$A$10:$A$51"),0),MATCH(D$13,$A$13:$J$13,0))-D28),"")</f>
        <v/>
      </c>
      <c r="L28" s="328" t="str">
        <f ca="1">IFERROR(IF(#REF!="","",INDEX(INDIRECT("'Annex 1 LV and HV charges"&amp;MID($A$2,FIND("_",$A$2),2)&amp;"'!$A$10:$K$51"),MATCH(MID($A28,FIND(":",$A28)+2,LEN($A28)-FIND(":",$A28)+2),INDIRECT("'Annex 1 LV and HV charges"&amp;MID($A$2,FIND("_",$A$2),2)&amp;"'!$A$10:$A$51"),0),MATCH(E$13,$A$13:$J$13,0))-E28),"")</f>
        <v/>
      </c>
      <c r="M28" s="328" t="str">
        <f ca="1">IFERROR(IF(#REF!="","",INDEX(INDIRECT("'Annex 1 LV and HV charges"&amp;MID($A$2,FIND("_",$A$2),2)&amp;"'!$A$10:$K$51"),MATCH(MID($A28,FIND(":",$A28)+2,LEN($A28)-FIND(":",$A28)+2),INDIRECT("'Annex 1 LV and HV charges"&amp;MID($A$2,FIND("_",$A$2),2)&amp;"'!$A$10:$A$51"),0),MATCH(F$13,$A$13:$J$13,0))-F28),"")</f>
        <v/>
      </c>
      <c r="N28" s="328" t="str">
        <f ca="1">IFERROR(IF(#REF!="","",INDEX(INDIRECT("'Annex 1 LV and HV charges"&amp;MID($A$2,FIND("_",$A$2),2)&amp;"'!$A$10:$K$51"),MATCH(MID($A28,FIND(":",$A28)+2,LEN($A28)-FIND(":",$A28)+2),INDIRECT("'Annex 1 LV and HV charges"&amp;MID($A$2,FIND("_",$A$2),2)&amp;"'!$A$10:$A$51"),0),MATCH(G$13,$A$13:$J$13,0))-G28),"")</f>
        <v/>
      </c>
      <c r="O28" s="328" t="str">
        <f ca="1">IFERROR(IF(#REF!="","",INDEX(INDIRECT("'Annex 1 LV and HV charges"&amp;MID($A$2,FIND("_",$A$2),2)&amp;"'!$A$10:$K$51"),MATCH(MID($A28,FIND(":",$A28)+2,LEN($A28)-FIND(":",$A28)+2),INDIRECT("'Annex 1 LV and HV charges"&amp;MID($A$2,FIND("_",$A$2),2)&amp;"'!$A$10:$A$51"),0),MATCH(H$13,$A$13:$J$13,0))-H28),"")</f>
        <v/>
      </c>
      <c r="P28" s="328" t="str">
        <f ca="1">IFERROR(IF(#REF!="","",INDEX(INDIRECT("'Annex 1 LV and HV charges"&amp;MID($A$2,FIND("_",$A$2),2)&amp;"'!$A$10:$K$51"),MATCH(MID($A28,FIND(":",$A28)+2,LEN($A28)-FIND(":",$A28)+2),INDIRECT("'Annex 1 LV and HV charges"&amp;MID($A$2,FIND("_",$A$2),2)&amp;"'!$A$10:$A$51"),0),MATCH(I$13,$A$13:$J$13,0))-I28),"")</f>
        <v/>
      </c>
      <c r="Q28" s="328" t="str">
        <f ca="1">IFERROR(IF(#REF!="","",INDEX(INDIRECT("'Annex 1 LV and HV charges"&amp;MID($A$2,FIND("_",$A$2),2)&amp;"'!$A$10:$K$51"),MATCH(MID($A28,FIND(":",$A28)+2,LEN($A28)-FIND(":",$A28)+2),INDIRECT("'Annex 1 LV and HV charges"&amp;MID($A$2,FIND("_",$A$2),2)&amp;"'!$A$10:$A$51"),0),MATCH(J$13,$A$13:$J$13,0))-J28),"")</f>
        <v/>
      </c>
    </row>
    <row r="29" spans="1:17" ht="27" customHeight="1" x14ac:dyDescent="0.2">
      <c r="A29" s="324" t="s">
        <v>611</v>
      </c>
      <c r="B29" s="25"/>
      <c r="C29" s="327">
        <v>0</v>
      </c>
      <c r="D29" s="92">
        <v>-8.3970000000000002</v>
      </c>
      <c r="E29" s="93">
        <v>-2.9289999999999998</v>
      </c>
      <c r="F29" s="94">
        <v>-0.629</v>
      </c>
      <c r="G29" s="319" t="s">
        <v>840</v>
      </c>
      <c r="H29" s="320" t="s">
        <v>840</v>
      </c>
      <c r="I29" s="321" t="s">
        <v>840</v>
      </c>
      <c r="J29" s="26">
        <v>0.502</v>
      </c>
      <c r="K29" s="328" t="str">
        <f ca="1">IFERROR(IF(#REF!="","",INDEX(INDIRECT("'Annex 1 LV and HV charges"&amp;MID($A$2,FIND("_",$A$2),2)&amp;"'!$A$10:$K$51"),MATCH(MID($A29,FIND(":",$A29)+2,LEN($A29)-FIND(":",$A29)+2),INDIRECT("'Annex 1 LV and HV charges"&amp;MID($A$2,FIND("_",$A$2),2)&amp;"'!$A$10:$A$51"),0),MATCH(D$13,$A$13:$J$13,0))-D29),"")</f>
        <v/>
      </c>
      <c r="L29" s="328" t="str">
        <f ca="1">IFERROR(IF(#REF!="","",INDEX(INDIRECT("'Annex 1 LV and HV charges"&amp;MID($A$2,FIND("_",$A$2),2)&amp;"'!$A$10:$K$51"),MATCH(MID($A29,FIND(":",$A29)+2,LEN($A29)-FIND(":",$A29)+2),INDIRECT("'Annex 1 LV and HV charges"&amp;MID($A$2,FIND("_",$A$2),2)&amp;"'!$A$10:$A$51"),0),MATCH(E$13,$A$13:$J$13,0))-E29),"")</f>
        <v/>
      </c>
      <c r="M29" s="328" t="str">
        <f ca="1">IFERROR(IF(#REF!="","",INDEX(INDIRECT("'Annex 1 LV and HV charges"&amp;MID($A$2,FIND("_",$A$2),2)&amp;"'!$A$10:$K$51"),MATCH(MID($A29,FIND(":",$A29)+2,LEN($A29)-FIND(":",$A29)+2),INDIRECT("'Annex 1 LV and HV charges"&amp;MID($A$2,FIND("_",$A$2),2)&amp;"'!$A$10:$A$51"),0),MATCH(F$13,$A$13:$J$13,0))-F29),"")</f>
        <v/>
      </c>
      <c r="N29" s="328" t="str">
        <f ca="1">IFERROR(IF(#REF!="","",INDEX(INDIRECT("'Annex 1 LV and HV charges"&amp;MID($A$2,FIND("_",$A$2),2)&amp;"'!$A$10:$K$51"),MATCH(MID($A29,FIND(":",$A29)+2,LEN($A29)-FIND(":",$A29)+2),INDIRECT("'Annex 1 LV and HV charges"&amp;MID($A$2,FIND("_",$A$2),2)&amp;"'!$A$10:$A$51"),0),MATCH(G$13,$A$13:$J$13,0))-G29),"")</f>
        <v/>
      </c>
      <c r="O29" s="328" t="str">
        <f ca="1">IFERROR(IF(#REF!="","",INDEX(INDIRECT("'Annex 1 LV and HV charges"&amp;MID($A$2,FIND("_",$A$2),2)&amp;"'!$A$10:$K$51"),MATCH(MID($A29,FIND(":",$A29)+2,LEN($A29)-FIND(":",$A29)+2),INDIRECT("'Annex 1 LV and HV charges"&amp;MID($A$2,FIND("_",$A$2),2)&amp;"'!$A$10:$A$51"),0),MATCH(H$13,$A$13:$J$13,0))-H29),"")</f>
        <v/>
      </c>
      <c r="P29" s="328" t="str">
        <f ca="1">IFERROR(IF(#REF!="","",INDEX(INDIRECT("'Annex 1 LV and HV charges"&amp;MID($A$2,FIND("_",$A$2),2)&amp;"'!$A$10:$K$51"),MATCH(MID($A29,FIND(":",$A29)+2,LEN($A29)-FIND(":",$A29)+2),INDIRECT("'Annex 1 LV and HV charges"&amp;MID($A$2,FIND("_",$A$2),2)&amp;"'!$A$10:$A$51"),0),MATCH(I$13,$A$13:$J$13,0))-I29),"")</f>
        <v/>
      </c>
      <c r="Q29" s="328" t="str">
        <f ca="1">IFERROR(IF(#REF!="","",INDEX(INDIRECT("'Annex 1 LV and HV charges"&amp;MID($A$2,FIND("_",$A$2),2)&amp;"'!$A$10:$K$51"),MATCH(MID($A29,FIND(":",$A29)+2,LEN($A29)-FIND(":",$A29)+2),INDIRECT("'Annex 1 LV and HV charges"&amp;MID($A$2,FIND("_",$A$2),2)&amp;"'!$A$10:$A$51"),0),MATCH(J$13,$A$13:$J$13,0))-J29),"")</f>
        <v/>
      </c>
    </row>
    <row r="30" spans="1:17" ht="27" customHeight="1" x14ac:dyDescent="0.2">
      <c r="A30" s="325" t="s">
        <v>780</v>
      </c>
      <c r="B30" s="25"/>
      <c r="C30" s="327" t="s">
        <v>845</v>
      </c>
      <c r="D30" s="92">
        <v>5.1449999999999996</v>
      </c>
      <c r="E30" s="93">
        <v>1.7949999999999999</v>
      </c>
      <c r="F30" s="94">
        <v>0.38500000000000001</v>
      </c>
      <c r="G30" s="319">
        <v>5.29</v>
      </c>
      <c r="H30" s="320" t="s">
        <v>840</v>
      </c>
      <c r="I30" s="321" t="s">
        <v>840</v>
      </c>
      <c r="J30" s="27" t="s">
        <v>840</v>
      </c>
      <c r="K30" s="328" t="str">
        <f ca="1">IFERROR(IF(#REF!="","",INDEX(INDIRECT("'Annex 1 LV and HV charges"&amp;MID($A$2,FIND("_",$A$2),2)&amp;"'!$A$10:$K$51"),MATCH(MID($A30,FIND(":",$A30)+2,LEN($A30)-FIND(":",$A30)+2),INDIRECT("'Annex 1 LV and HV charges"&amp;MID($A$2,FIND("_",$A$2),2)&amp;"'!$A$10:$A$51"),0),MATCH(D$13,$A$13:$J$13,0))-D30),"")</f>
        <v/>
      </c>
      <c r="L30" s="328" t="str">
        <f ca="1">IFERROR(IF(#REF!="","",INDEX(INDIRECT("'Annex 1 LV and HV charges"&amp;MID($A$2,FIND("_",$A$2),2)&amp;"'!$A$10:$K$51"),MATCH(MID($A30,FIND(":",$A30)+2,LEN($A30)-FIND(":",$A30)+2),INDIRECT("'Annex 1 LV and HV charges"&amp;MID($A$2,FIND("_",$A$2),2)&amp;"'!$A$10:$A$51"),0),MATCH(E$13,$A$13:$J$13,0))-E30),"")</f>
        <v/>
      </c>
      <c r="M30" s="328" t="str">
        <f ca="1">IFERROR(IF(#REF!="","",INDEX(INDIRECT("'Annex 1 LV and HV charges"&amp;MID($A$2,FIND("_",$A$2),2)&amp;"'!$A$10:$K$51"),MATCH(MID($A30,FIND(":",$A30)+2,LEN($A30)-FIND(":",$A30)+2),INDIRECT("'Annex 1 LV and HV charges"&amp;MID($A$2,FIND("_",$A$2),2)&amp;"'!$A$10:$A$51"),0),MATCH(F$13,$A$13:$J$13,0))-F30),"")</f>
        <v/>
      </c>
      <c r="N30" s="328" t="str">
        <f ca="1">IFERROR(IF(#REF!="","",INDEX(INDIRECT("'Annex 1 LV and HV charges"&amp;MID($A$2,FIND("_",$A$2),2)&amp;"'!$A$10:$K$51"),MATCH(MID($A30,FIND(":",$A30)+2,LEN($A30)-FIND(":",$A30)+2),INDIRECT("'Annex 1 LV and HV charges"&amp;MID($A$2,FIND("_",$A$2),2)&amp;"'!$A$10:$A$51"),0),MATCH(G$13,$A$13:$J$13,0))-G30),"")</f>
        <v/>
      </c>
      <c r="O30" s="328" t="str">
        <f ca="1">IFERROR(IF(#REF!="","",INDEX(INDIRECT("'Annex 1 LV and HV charges"&amp;MID($A$2,FIND("_",$A$2),2)&amp;"'!$A$10:$K$51"),MATCH(MID($A30,FIND(":",$A30)+2,LEN($A30)-FIND(":",$A30)+2),INDIRECT("'Annex 1 LV and HV charges"&amp;MID($A$2,FIND("_",$A$2),2)&amp;"'!$A$10:$A$51"),0),MATCH(H$13,$A$13:$J$13,0))-H30),"")</f>
        <v/>
      </c>
      <c r="P30" s="328" t="str">
        <f ca="1">IFERROR(IF(#REF!="","",INDEX(INDIRECT("'Annex 1 LV and HV charges"&amp;MID($A$2,FIND("_",$A$2),2)&amp;"'!$A$10:$K$51"),MATCH(MID($A30,FIND(":",$A30)+2,LEN($A30)-FIND(":",$A30)+2),INDIRECT("'Annex 1 LV and HV charges"&amp;MID($A$2,FIND("_",$A$2),2)&amp;"'!$A$10:$A$51"),0),MATCH(I$13,$A$13:$J$13,0))-I30),"")</f>
        <v/>
      </c>
      <c r="Q30" s="328" t="str">
        <f ca="1">IFERROR(IF(#REF!="","",INDEX(INDIRECT("'Annex 1 LV and HV charges"&amp;MID($A$2,FIND("_",$A$2),2)&amp;"'!$A$10:$K$51"),MATCH(MID($A30,FIND(":",$A30)+2,LEN($A30)-FIND(":",$A30)+2),INDIRECT("'Annex 1 LV and HV charges"&amp;MID($A$2,FIND("_",$A$2),2)&amp;"'!$A$10:$A$51"),0),MATCH(J$13,$A$13:$J$13,0))-J30),"")</f>
        <v/>
      </c>
    </row>
    <row r="31" spans="1:17" ht="27" customHeight="1" x14ac:dyDescent="0.2">
      <c r="A31" s="325" t="s">
        <v>648</v>
      </c>
      <c r="B31" s="25"/>
      <c r="C31" s="327">
        <v>2</v>
      </c>
      <c r="D31" s="92">
        <v>5.1449999999999996</v>
      </c>
      <c r="E31" s="93">
        <v>1.7949999999999999</v>
      </c>
      <c r="F31" s="94">
        <v>0.38500000000000001</v>
      </c>
      <c r="G31" s="320" t="s">
        <v>840</v>
      </c>
      <c r="H31" s="320" t="s">
        <v>840</v>
      </c>
      <c r="I31" s="321" t="s">
        <v>840</v>
      </c>
      <c r="J31" s="27" t="s">
        <v>840</v>
      </c>
      <c r="K31" s="328" t="str">
        <f ca="1">IFERROR(IF(#REF!="","",INDEX(INDIRECT("'Annex 1 LV and HV charges"&amp;MID($A$2,FIND("_",$A$2),2)&amp;"'!$A$10:$K$51"),MATCH(MID($A31,FIND(":",$A31)+2,LEN($A31)-FIND(":",$A31)+2),INDIRECT("'Annex 1 LV and HV charges"&amp;MID($A$2,FIND("_",$A$2),2)&amp;"'!$A$10:$A$51"),0),MATCH(D$13,$A$13:$J$13,0))-D31),"")</f>
        <v/>
      </c>
      <c r="L31" s="328" t="str">
        <f ca="1">IFERROR(IF(#REF!="","",INDEX(INDIRECT("'Annex 1 LV and HV charges"&amp;MID($A$2,FIND("_",$A$2),2)&amp;"'!$A$10:$K$51"),MATCH(MID($A31,FIND(":",$A31)+2,LEN($A31)-FIND(":",$A31)+2),INDIRECT("'Annex 1 LV and HV charges"&amp;MID($A$2,FIND("_",$A$2),2)&amp;"'!$A$10:$A$51"),0),MATCH(E$13,$A$13:$J$13,0))-E31),"")</f>
        <v/>
      </c>
      <c r="M31" s="328" t="str">
        <f ca="1">IFERROR(IF(#REF!="","",INDEX(INDIRECT("'Annex 1 LV and HV charges"&amp;MID($A$2,FIND("_",$A$2),2)&amp;"'!$A$10:$K$51"),MATCH(MID($A31,FIND(":",$A31)+2,LEN($A31)-FIND(":",$A31)+2),INDIRECT("'Annex 1 LV and HV charges"&amp;MID($A$2,FIND("_",$A$2),2)&amp;"'!$A$10:$A$51"),0),MATCH(F$13,$A$13:$J$13,0))-F31),"")</f>
        <v/>
      </c>
      <c r="N31" s="328" t="str">
        <f ca="1">IFERROR(IF(#REF!="","",INDEX(INDIRECT("'Annex 1 LV and HV charges"&amp;MID($A$2,FIND("_",$A$2),2)&amp;"'!$A$10:$K$51"),MATCH(MID($A31,FIND(":",$A31)+2,LEN($A31)-FIND(":",$A31)+2),INDIRECT("'Annex 1 LV and HV charges"&amp;MID($A$2,FIND("_",$A$2),2)&amp;"'!$A$10:$A$51"),0),MATCH(G$13,$A$13:$J$13,0))-G31),"")</f>
        <v/>
      </c>
      <c r="O31" s="328" t="str">
        <f ca="1">IFERROR(IF(#REF!="","",INDEX(INDIRECT("'Annex 1 LV and HV charges"&amp;MID($A$2,FIND("_",$A$2),2)&amp;"'!$A$10:$K$51"),MATCH(MID($A31,FIND(":",$A31)+2,LEN($A31)-FIND(":",$A31)+2),INDIRECT("'Annex 1 LV and HV charges"&amp;MID($A$2,FIND("_",$A$2),2)&amp;"'!$A$10:$A$51"),0),MATCH(H$13,$A$13:$J$13,0))-H31),"")</f>
        <v/>
      </c>
      <c r="P31" s="328" t="str">
        <f ca="1">IFERROR(IF(#REF!="","",INDEX(INDIRECT("'Annex 1 LV and HV charges"&amp;MID($A$2,FIND("_",$A$2),2)&amp;"'!$A$10:$K$51"),MATCH(MID($A31,FIND(":",$A31)+2,LEN($A31)-FIND(":",$A31)+2),INDIRECT("'Annex 1 LV and HV charges"&amp;MID($A$2,FIND("_",$A$2),2)&amp;"'!$A$10:$A$51"),0),MATCH(I$13,$A$13:$J$13,0))-I31),"")</f>
        <v/>
      </c>
      <c r="Q31" s="328" t="str">
        <f ca="1">IFERROR(IF(#REF!="","",INDEX(INDIRECT("'Annex 1 LV and HV charges"&amp;MID($A$2,FIND("_",$A$2),2)&amp;"'!$A$10:$K$51"),MATCH(MID($A31,FIND(":",$A31)+2,LEN($A31)-FIND(":",$A31)+2),INDIRECT("'Annex 1 LV and HV charges"&amp;MID($A$2,FIND("_",$A$2),2)&amp;"'!$A$10:$A$51"),0),MATCH(J$13,$A$13:$J$13,0))-J31),"")</f>
        <v/>
      </c>
    </row>
    <row r="32" spans="1:17" ht="27" customHeight="1" x14ac:dyDescent="0.2">
      <c r="A32" s="325" t="s">
        <v>787</v>
      </c>
      <c r="B32" s="18"/>
      <c r="C32" s="327" t="s">
        <v>846</v>
      </c>
      <c r="D32" s="92">
        <v>6.2220000000000004</v>
      </c>
      <c r="E32" s="93">
        <v>2.17</v>
      </c>
      <c r="F32" s="94">
        <v>0.46600000000000003</v>
      </c>
      <c r="G32" s="319">
        <v>12.43</v>
      </c>
      <c r="H32" s="320" t="s">
        <v>840</v>
      </c>
      <c r="I32" s="321" t="s">
        <v>840</v>
      </c>
      <c r="J32" s="27" t="s">
        <v>840</v>
      </c>
      <c r="K32" s="328" t="str">
        <f ca="1">IFERROR(IF(#REF!="","",INDEX(INDIRECT("'Annex 1 LV and HV charges"&amp;MID($A$2,FIND("_",$A$2),2)&amp;"'!$A$10:$K$51"),MATCH(MID($A32,FIND(":",$A32)+2,LEN($A32)-FIND(":",$A32)+2),INDIRECT("'Annex 1 LV and HV charges"&amp;MID($A$2,FIND("_",$A$2),2)&amp;"'!$A$10:$A$51"),0),MATCH(D$13,$A$13:$J$13,0))-D32),"")</f>
        <v/>
      </c>
      <c r="L32" s="328" t="str">
        <f ca="1">IFERROR(IF(#REF!="","",INDEX(INDIRECT("'Annex 1 LV and HV charges"&amp;MID($A$2,FIND("_",$A$2),2)&amp;"'!$A$10:$K$51"),MATCH(MID($A32,FIND(":",$A32)+2,LEN($A32)-FIND(":",$A32)+2),INDIRECT("'Annex 1 LV and HV charges"&amp;MID($A$2,FIND("_",$A$2),2)&amp;"'!$A$10:$A$51"),0),MATCH(E$13,$A$13:$J$13,0))-E32),"")</f>
        <v/>
      </c>
      <c r="M32" s="328" t="str">
        <f ca="1">IFERROR(IF(#REF!="","",INDEX(INDIRECT("'Annex 1 LV and HV charges"&amp;MID($A$2,FIND("_",$A$2),2)&amp;"'!$A$10:$K$51"),MATCH(MID($A32,FIND(":",$A32)+2,LEN($A32)-FIND(":",$A32)+2),INDIRECT("'Annex 1 LV and HV charges"&amp;MID($A$2,FIND("_",$A$2),2)&amp;"'!$A$10:$A$51"),0),MATCH(F$13,$A$13:$J$13,0))-F32),"")</f>
        <v/>
      </c>
      <c r="N32" s="328" t="str">
        <f ca="1">IFERROR(IF(#REF!="","",INDEX(INDIRECT("'Annex 1 LV and HV charges"&amp;MID($A$2,FIND("_",$A$2),2)&amp;"'!$A$10:$K$51"),MATCH(MID($A32,FIND(":",$A32)+2,LEN($A32)-FIND(":",$A32)+2),INDIRECT("'Annex 1 LV and HV charges"&amp;MID($A$2,FIND("_",$A$2),2)&amp;"'!$A$10:$A$51"),0),MATCH(G$13,$A$13:$J$13,0))-G32),"")</f>
        <v/>
      </c>
      <c r="O32" s="328" t="str">
        <f ca="1">IFERROR(IF(#REF!="","",INDEX(INDIRECT("'Annex 1 LV and HV charges"&amp;MID($A$2,FIND("_",$A$2),2)&amp;"'!$A$10:$K$51"),MATCH(MID($A32,FIND(":",$A32)+2,LEN($A32)-FIND(":",$A32)+2),INDIRECT("'Annex 1 LV and HV charges"&amp;MID($A$2,FIND("_",$A$2),2)&amp;"'!$A$10:$A$51"),0),MATCH(H$13,$A$13:$J$13,0))-H32),"")</f>
        <v/>
      </c>
      <c r="P32" s="328" t="str">
        <f ca="1">IFERROR(IF(#REF!="","",INDEX(INDIRECT("'Annex 1 LV and HV charges"&amp;MID($A$2,FIND("_",$A$2),2)&amp;"'!$A$10:$K$51"),MATCH(MID($A32,FIND(":",$A32)+2,LEN($A32)-FIND(":",$A32)+2),INDIRECT("'Annex 1 LV and HV charges"&amp;MID($A$2,FIND("_",$A$2),2)&amp;"'!$A$10:$A$51"),0),MATCH(I$13,$A$13:$J$13,0))-I32),"")</f>
        <v/>
      </c>
      <c r="Q32" s="328" t="str">
        <f ca="1">IFERROR(IF(#REF!="","",INDEX(INDIRECT("'Annex 1 LV and HV charges"&amp;MID($A$2,FIND("_",$A$2),2)&amp;"'!$A$10:$K$51"),MATCH(MID($A32,FIND(":",$A32)+2,LEN($A32)-FIND(":",$A32)+2),INDIRECT("'Annex 1 LV and HV charges"&amp;MID($A$2,FIND("_",$A$2),2)&amp;"'!$A$10:$A$51"),0),MATCH(J$13,$A$13:$J$13,0))-J32),"")</f>
        <v/>
      </c>
    </row>
    <row r="33" spans="1:17" ht="27" customHeight="1" x14ac:dyDescent="0.2">
      <c r="A33" s="325" t="s">
        <v>794</v>
      </c>
      <c r="B33" s="25"/>
      <c r="C33" s="327" t="s">
        <v>846</v>
      </c>
      <c r="D33" s="92">
        <v>6.2220000000000004</v>
      </c>
      <c r="E33" s="93">
        <v>2.17</v>
      </c>
      <c r="F33" s="94">
        <v>0.46600000000000003</v>
      </c>
      <c r="G33" s="319">
        <v>11.34</v>
      </c>
      <c r="H33" s="320" t="s">
        <v>840</v>
      </c>
      <c r="I33" s="321" t="s">
        <v>840</v>
      </c>
      <c r="J33" s="27" t="s">
        <v>840</v>
      </c>
      <c r="K33" s="328" t="str">
        <f ca="1">IFERROR(IF(#REF!="","",INDEX(INDIRECT("'Annex 1 LV and HV charges"&amp;MID($A$2,FIND("_",$A$2),2)&amp;"'!$A$10:$K$51"),MATCH(MID($A33,FIND(":",$A33)+2,LEN($A33)-FIND(":",$A33)+2),INDIRECT("'Annex 1 LV and HV charges"&amp;MID($A$2,FIND("_",$A$2),2)&amp;"'!$A$10:$A$51"),0),MATCH(D$13,$A$13:$J$13,0))-D33),"")</f>
        <v/>
      </c>
      <c r="L33" s="328" t="str">
        <f ca="1">IFERROR(IF(#REF!="","",INDEX(INDIRECT("'Annex 1 LV and HV charges"&amp;MID($A$2,FIND("_",$A$2),2)&amp;"'!$A$10:$K$51"),MATCH(MID($A33,FIND(":",$A33)+2,LEN($A33)-FIND(":",$A33)+2),INDIRECT("'Annex 1 LV and HV charges"&amp;MID($A$2,FIND("_",$A$2),2)&amp;"'!$A$10:$A$51"),0),MATCH(E$13,$A$13:$J$13,0))-E33),"")</f>
        <v/>
      </c>
      <c r="M33" s="328" t="str">
        <f ca="1">IFERROR(IF(#REF!="","",INDEX(INDIRECT("'Annex 1 LV and HV charges"&amp;MID($A$2,FIND("_",$A$2),2)&amp;"'!$A$10:$K$51"),MATCH(MID($A33,FIND(":",$A33)+2,LEN($A33)-FIND(":",$A33)+2),INDIRECT("'Annex 1 LV and HV charges"&amp;MID($A$2,FIND("_",$A$2),2)&amp;"'!$A$10:$A$51"),0),MATCH(F$13,$A$13:$J$13,0))-F33),"")</f>
        <v/>
      </c>
      <c r="N33" s="328" t="str">
        <f ca="1">IFERROR(IF(#REF!="","",INDEX(INDIRECT("'Annex 1 LV and HV charges"&amp;MID($A$2,FIND("_",$A$2),2)&amp;"'!$A$10:$K$51"),MATCH(MID($A33,FIND(":",$A33)+2,LEN($A33)-FIND(":",$A33)+2),INDIRECT("'Annex 1 LV and HV charges"&amp;MID($A$2,FIND("_",$A$2),2)&amp;"'!$A$10:$A$51"),0),MATCH(G$13,$A$13:$J$13,0))-G33),"")</f>
        <v/>
      </c>
      <c r="O33" s="328" t="str">
        <f ca="1">IFERROR(IF(#REF!="","",INDEX(INDIRECT("'Annex 1 LV and HV charges"&amp;MID($A$2,FIND("_",$A$2),2)&amp;"'!$A$10:$K$51"),MATCH(MID($A33,FIND(":",$A33)+2,LEN($A33)-FIND(":",$A33)+2),INDIRECT("'Annex 1 LV and HV charges"&amp;MID($A$2,FIND("_",$A$2),2)&amp;"'!$A$10:$A$51"),0),MATCH(H$13,$A$13:$J$13,0))-H33),"")</f>
        <v/>
      </c>
      <c r="P33" s="328" t="str">
        <f ca="1">IFERROR(IF(#REF!="","",INDEX(INDIRECT("'Annex 1 LV and HV charges"&amp;MID($A$2,FIND("_",$A$2),2)&amp;"'!$A$10:$K$51"),MATCH(MID($A33,FIND(":",$A33)+2,LEN($A33)-FIND(":",$A33)+2),INDIRECT("'Annex 1 LV and HV charges"&amp;MID($A$2,FIND("_",$A$2),2)&amp;"'!$A$10:$A$51"),0),MATCH(I$13,$A$13:$J$13,0))-I33),"")</f>
        <v/>
      </c>
      <c r="Q33" s="328" t="str">
        <f ca="1">IFERROR(IF(#REF!="","",INDEX(INDIRECT("'Annex 1 LV and HV charges"&amp;MID($A$2,FIND("_",$A$2),2)&amp;"'!$A$10:$K$51"),MATCH(MID($A33,FIND(":",$A33)+2,LEN($A33)-FIND(":",$A33)+2),INDIRECT("'Annex 1 LV and HV charges"&amp;MID($A$2,FIND("_",$A$2),2)&amp;"'!$A$10:$A$51"),0),MATCH(J$13,$A$13:$J$13,0))-J33),"")</f>
        <v/>
      </c>
    </row>
    <row r="34" spans="1:17" ht="27" customHeight="1" x14ac:dyDescent="0.2">
      <c r="A34" s="325" t="s">
        <v>801</v>
      </c>
      <c r="B34" s="18"/>
      <c r="C34" s="327" t="s">
        <v>846</v>
      </c>
      <c r="D34" s="92">
        <v>6.2220000000000004</v>
      </c>
      <c r="E34" s="93">
        <v>2.17</v>
      </c>
      <c r="F34" s="94">
        <v>0.46600000000000003</v>
      </c>
      <c r="G34" s="319">
        <v>6.12</v>
      </c>
      <c r="H34" s="320" t="s">
        <v>840</v>
      </c>
      <c r="I34" s="321" t="s">
        <v>840</v>
      </c>
      <c r="J34" s="27" t="s">
        <v>840</v>
      </c>
      <c r="K34" s="328" t="str">
        <f ca="1">IFERROR(IF(#REF!="","",INDEX(INDIRECT("'Annex 1 LV and HV charges"&amp;MID($A$2,FIND("_",$A$2),2)&amp;"'!$A$10:$K$51"),MATCH(MID($A34,FIND(":",$A34)+2,LEN($A34)-FIND(":",$A34)+2),INDIRECT("'Annex 1 LV and HV charges"&amp;MID($A$2,FIND("_",$A$2),2)&amp;"'!$A$10:$A$51"),0),MATCH(D$13,$A$13:$J$13,0))-D34),"")</f>
        <v/>
      </c>
      <c r="L34" s="328" t="str">
        <f ca="1">IFERROR(IF(#REF!="","",INDEX(INDIRECT("'Annex 1 LV and HV charges"&amp;MID($A$2,FIND("_",$A$2),2)&amp;"'!$A$10:$K$51"),MATCH(MID($A34,FIND(":",$A34)+2,LEN($A34)-FIND(":",$A34)+2),INDIRECT("'Annex 1 LV and HV charges"&amp;MID($A$2,FIND("_",$A$2),2)&amp;"'!$A$10:$A$51"),0),MATCH(E$13,$A$13:$J$13,0))-E34),"")</f>
        <v/>
      </c>
      <c r="M34" s="328" t="str">
        <f ca="1">IFERROR(IF(#REF!="","",INDEX(INDIRECT("'Annex 1 LV and HV charges"&amp;MID($A$2,FIND("_",$A$2),2)&amp;"'!$A$10:$K$51"),MATCH(MID($A34,FIND(":",$A34)+2,LEN($A34)-FIND(":",$A34)+2),INDIRECT("'Annex 1 LV and HV charges"&amp;MID($A$2,FIND("_",$A$2),2)&amp;"'!$A$10:$A$51"),0),MATCH(F$13,$A$13:$J$13,0))-F34),"")</f>
        <v/>
      </c>
      <c r="N34" s="328" t="str">
        <f ca="1">IFERROR(IF(#REF!="","",INDEX(INDIRECT("'Annex 1 LV and HV charges"&amp;MID($A$2,FIND("_",$A$2),2)&amp;"'!$A$10:$K$51"),MATCH(MID($A34,FIND(":",$A34)+2,LEN($A34)-FIND(":",$A34)+2),INDIRECT("'Annex 1 LV and HV charges"&amp;MID($A$2,FIND("_",$A$2),2)&amp;"'!$A$10:$A$51"),0),MATCH(G$13,$A$13:$J$13,0))-G34),"")</f>
        <v/>
      </c>
      <c r="O34" s="328" t="str">
        <f ca="1">IFERROR(IF(#REF!="","",INDEX(INDIRECT("'Annex 1 LV and HV charges"&amp;MID($A$2,FIND("_",$A$2),2)&amp;"'!$A$10:$K$51"),MATCH(MID($A34,FIND(":",$A34)+2,LEN($A34)-FIND(":",$A34)+2),INDIRECT("'Annex 1 LV and HV charges"&amp;MID($A$2,FIND("_",$A$2),2)&amp;"'!$A$10:$A$51"),0),MATCH(H$13,$A$13:$J$13,0))-H34),"")</f>
        <v/>
      </c>
      <c r="P34" s="328" t="str">
        <f ca="1">IFERROR(IF(#REF!="","",INDEX(INDIRECT("'Annex 1 LV and HV charges"&amp;MID($A$2,FIND("_",$A$2),2)&amp;"'!$A$10:$K$51"),MATCH(MID($A34,FIND(":",$A34)+2,LEN($A34)-FIND(":",$A34)+2),INDIRECT("'Annex 1 LV and HV charges"&amp;MID($A$2,FIND("_",$A$2),2)&amp;"'!$A$10:$A$51"),0),MATCH(I$13,$A$13:$J$13,0))-I34),"")</f>
        <v/>
      </c>
      <c r="Q34" s="328" t="str">
        <f ca="1">IFERROR(IF(#REF!="","",INDEX(INDIRECT("'Annex 1 LV and HV charges"&amp;MID($A$2,FIND("_",$A$2),2)&amp;"'!$A$10:$K$51"),MATCH(MID($A34,FIND(":",$A34)+2,LEN($A34)-FIND(":",$A34)+2),INDIRECT("'Annex 1 LV and HV charges"&amp;MID($A$2,FIND("_",$A$2),2)&amp;"'!$A$10:$A$51"),0),MATCH(J$13,$A$13:$J$13,0))-J34),"")</f>
        <v/>
      </c>
    </row>
    <row r="35" spans="1:17" ht="27" customHeight="1" x14ac:dyDescent="0.2">
      <c r="A35" s="325" t="s">
        <v>808</v>
      </c>
      <c r="B35" s="18"/>
      <c r="C35" s="327" t="s">
        <v>846</v>
      </c>
      <c r="D35" s="92">
        <v>6.1859999999999999</v>
      </c>
      <c r="E35" s="93">
        <v>2.1349999999999998</v>
      </c>
      <c r="F35" s="94">
        <v>0.43</v>
      </c>
      <c r="G35" s="319" t="s">
        <v>840</v>
      </c>
      <c r="H35" s="320" t="s">
        <v>840</v>
      </c>
      <c r="I35" s="321" t="s">
        <v>840</v>
      </c>
      <c r="J35" s="27" t="s">
        <v>840</v>
      </c>
      <c r="K35" s="328" t="str">
        <f ca="1">IFERROR(IF(#REF!="","",INDEX(INDIRECT("'Annex 1 LV and HV charges"&amp;MID($A$2,FIND("_",$A$2),2)&amp;"'!$A$10:$K$51"),MATCH(MID($A35,FIND(":",$A35)+2,LEN($A35)-FIND(":",$A35)+2),INDIRECT("'Annex 1 LV and HV charges"&amp;MID($A$2,FIND("_",$A$2),2)&amp;"'!$A$10:$A$51"),0),MATCH(D$13,$A$13:$J$13,0))-D35),"")</f>
        <v/>
      </c>
      <c r="L35" s="328" t="str">
        <f ca="1">IFERROR(IF(#REF!="","",INDEX(INDIRECT("'Annex 1 LV and HV charges"&amp;MID($A$2,FIND("_",$A$2),2)&amp;"'!$A$10:$K$51"),MATCH(MID($A35,FIND(":",$A35)+2,LEN($A35)-FIND(":",$A35)+2),INDIRECT("'Annex 1 LV and HV charges"&amp;MID($A$2,FIND("_",$A$2),2)&amp;"'!$A$10:$A$51"),0),MATCH(E$13,$A$13:$J$13,0))-E35),"")</f>
        <v/>
      </c>
      <c r="M35" s="328" t="str">
        <f ca="1">IFERROR(IF(#REF!="","",INDEX(INDIRECT("'Annex 1 LV and HV charges"&amp;MID($A$2,FIND("_",$A$2),2)&amp;"'!$A$10:$K$51"),MATCH(MID($A35,FIND(":",$A35)+2,LEN($A35)-FIND(":",$A35)+2),INDIRECT("'Annex 1 LV and HV charges"&amp;MID($A$2,FIND("_",$A$2),2)&amp;"'!$A$10:$A$51"),0),MATCH(F$13,$A$13:$J$13,0))-F35),"")</f>
        <v/>
      </c>
      <c r="N35" s="328" t="str">
        <f ca="1">IFERROR(IF(#REF!="","",INDEX(INDIRECT("'Annex 1 LV and HV charges"&amp;MID($A$2,FIND("_",$A$2),2)&amp;"'!$A$10:$K$51"),MATCH(MID($A35,FIND(":",$A35)+2,LEN($A35)-FIND(":",$A35)+2),INDIRECT("'Annex 1 LV and HV charges"&amp;MID($A$2,FIND("_",$A$2),2)&amp;"'!$A$10:$A$51"),0),MATCH(G$13,$A$13:$J$13,0))-G35),"")</f>
        <v/>
      </c>
      <c r="O35" s="328" t="str">
        <f ca="1">IFERROR(IF(#REF!="","",INDEX(INDIRECT("'Annex 1 LV and HV charges"&amp;MID($A$2,FIND("_",$A$2),2)&amp;"'!$A$10:$K$51"),MATCH(MID($A35,FIND(":",$A35)+2,LEN($A35)-FIND(":",$A35)+2),INDIRECT("'Annex 1 LV and HV charges"&amp;MID($A$2,FIND("_",$A$2),2)&amp;"'!$A$10:$A$51"),0),MATCH(H$13,$A$13:$J$13,0))-H35),"")</f>
        <v/>
      </c>
      <c r="P35" s="328" t="str">
        <f ca="1">IFERROR(IF(#REF!="","",INDEX(INDIRECT("'Annex 1 LV and HV charges"&amp;MID($A$2,FIND("_",$A$2),2)&amp;"'!$A$10:$K$51"),MATCH(MID($A35,FIND(":",$A35)+2,LEN($A35)-FIND(":",$A35)+2),INDIRECT("'Annex 1 LV and HV charges"&amp;MID($A$2,FIND("_",$A$2),2)&amp;"'!$A$10:$A$51"),0),MATCH(I$13,$A$13:$J$13,0))-I35),"")</f>
        <v/>
      </c>
      <c r="Q35" s="328" t="str">
        <f ca="1">IFERROR(IF(#REF!="","",INDEX(INDIRECT("'Annex 1 LV and HV charges"&amp;MID($A$2,FIND("_",$A$2),2)&amp;"'!$A$10:$K$51"),MATCH(MID($A35,FIND(":",$A35)+2,LEN($A35)-FIND(":",$A35)+2),INDIRECT("'Annex 1 LV and HV charges"&amp;MID($A$2,FIND("_",$A$2),2)&amp;"'!$A$10:$A$51"),0),MATCH(J$13,$A$13:$J$13,0))-J35),"")</f>
        <v/>
      </c>
    </row>
    <row r="36" spans="1:17" ht="27" customHeight="1" x14ac:dyDescent="0.2">
      <c r="A36" s="325" t="s">
        <v>815</v>
      </c>
      <c r="B36" s="18"/>
      <c r="C36" s="327" t="s">
        <v>846</v>
      </c>
      <c r="D36" s="92">
        <v>6.0179999999999998</v>
      </c>
      <c r="E36" s="93">
        <v>1.9670000000000001</v>
      </c>
      <c r="F36" s="94">
        <v>0.26200000000000001</v>
      </c>
      <c r="G36" s="319" t="s">
        <v>840</v>
      </c>
      <c r="H36" s="320" t="s">
        <v>840</v>
      </c>
      <c r="I36" s="321" t="s">
        <v>840</v>
      </c>
      <c r="J36" s="27" t="s">
        <v>840</v>
      </c>
      <c r="K36" s="328" t="str">
        <f ca="1">IFERROR(IF(#REF!="","",INDEX(INDIRECT("'Annex 1 LV and HV charges"&amp;MID($A$2,FIND("_",$A$2),2)&amp;"'!$A$10:$K$51"),MATCH(MID($A36,FIND(":",$A36)+2,LEN($A36)-FIND(":",$A36)+2),INDIRECT("'Annex 1 LV and HV charges"&amp;MID($A$2,FIND("_",$A$2),2)&amp;"'!$A$10:$A$51"),0),MATCH(D$13,$A$13:$J$13,0))-D36),"")</f>
        <v/>
      </c>
      <c r="L36" s="328" t="str">
        <f ca="1">IFERROR(IF(#REF!="","",INDEX(INDIRECT("'Annex 1 LV and HV charges"&amp;MID($A$2,FIND("_",$A$2),2)&amp;"'!$A$10:$K$51"),MATCH(MID($A36,FIND(":",$A36)+2,LEN($A36)-FIND(":",$A36)+2),INDIRECT("'Annex 1 LV and HV charges"&amp;MID($A$2,FIND("_",$A$2),2)&amp;"'!$A$10:$A$51"),0),MATCH(E$13,$A$13:$J$13,0))-E36),"")</f>
        <v/>
      </c>
      <c r="M36" s="328" t="str">
        <f ca="1">IFERROR(IF(#REF!="","",INDEX(INDIRECT("'Annex 1 LV and HV charges"&amp;MID($A$2,FIND("_",$A$2),2)&amp;"'!$A$10:$K$51"),MATCH(MID($A36,FIND(":",$A36)+2,LEN($A36)-FIND(":",$A36)+2),INDIRECT("'Annex 1 LV and HV charges"&amp;MID($A$2,FIND("_",$A$2),2)&amp;"'!$A$10:$A$51"),0),MATCH(F$13,$A$13:$J$13,0))-F36),"")</f>
        <v/>
      </c>
      <c r="N36" s="328" t="str">
        <f ca="1">IFERROR(IF(#REF!="","",INDEX(INDIRECT("'Annex 1 LV and HV charges"&amp;MID($A$2,FIND("_",$A$2),2)&amp;"'!$A$10:$K$51"),MATCH(MID($A36,FIND(":",$A36)+2,LEN($A36)-FIND(":",$A36)+2),INDIRECT("'Annex 1 LV and HV charges"&amp;MID($A$2,FIND("_",$A$2),2)&amp;"'!$A$10:$A$51"),0),MATCH(G$13,$A$13:$J$13,0))-G36),"")</f>
        <v/>
      </c>
      <c r="O36" s="328" t="str">
        <f ca="1">IFERROR(IF(#REF!="","",INDEX(INDIRECT("'Annex 1 LV and HV charges"&amp;MID($A$2,FIND("_",$A$2),2)&amp;"'!$A$10:$K$51"),MATCH(MID($A36,FIND(":",$A36)+2,LEN($A36)-FIND(":",$A36)+2),INDIRECT("'Annex 1 LV and HV charges"&amp;MID($A$2,FIND("_",$A$2),2)&amp;"'!$A$10:$A$51"),0),MATCH(H$13,$A$13:$J$13,0))-H36),"")</f>
        <v/>
      </c>
      <c r="P36" s="328" t="str">
        <f ca="1">IFERROR(IF(#REF!="","",INDEX(INDIRECT("'Annex 1 LV and HV charges"&amp;MID($A$2,FIND("_",$A$2),2)&amp;"'!$A$10:$K$51"),MATCH(MID($A36,FIND(":",$A36)+2,LEN($A36)-FIND(":",$A36)+2),INDIRECT("'Annex 1 LV and HV charges"&amp;MID($A$2,FIND("_",$A$2),2)&amp;"'!$A$10:$A$51"),0),MATCH(I$13,$A$13:$J$13,0))-I36),"")</f>
        <v/>
      </c>
      <c r="Q36" s="328" t="str">
        <f ca="1">IFERROR(IF(#REF!="","",INDEX(INDIRECT("'Annex 1 LV and HV charges"&amp;MID($A$2,FIND("_",$A$2),2)&amp;"'!$A$10:$K$51"),MATCH(MID($A36,FIND(":",$A36)+2,LEN($A36)-FIND(":",$A36)+2),INDIRECT("'Annex 1 LV and HV charges"&amp;MID($A$2,FIND("_",$A$2),2)&amp;"'!$A$10:$A$51"),0),MATCH(J$13,$A$13:$J$13,0))-J36),"")</f>
        <v/>
      </c>
    </row>
    <row r="37" spans="1:17" ht="27" customHeight="1" x14ac:dyDescent="0.2">
      <c r="A37" s="325" t="s">
        <v>582</v>
      </c>
      <c r="B37" s="25"/>
      <c r="C37" s="327">
        <v>4</v>
      </c>
      <c r="D37" s="92">
        <v>6.2220000000000004</v>
      </c>
      <c r="E37" s="93">
        <v>2.17</v>
      </c>
      <c r="F37" s="94">
        <v>0.46600000000000003</v>
      </c>
      <c r="G37" s="320" t="s">
        <v>840</v>
      </c>
      <c r="H37" s="320" t="s">
        <v>840</v>
      </c>
      <c r="I37" s="321" t="s">
        <v>840</v>
      </c>
      <c r="J37" s="27" t="s">
        <v>840</v>
      </c>
      <c r="K37" s="328" t="str">
        <f ca="1">IFERROR(IF(#REF!="","",INDEX(INDIRECT("'Annex 1 LV and HV charges"&amp;MID($A$2,FIND("_",$A$2),2)&amp;"'!$A$10:$K$51"),MATCH(MID($A37,FIND(":",$A37)+2,LEN($A37)-FIND(":",$A37)+2),INDIRECT("'Annex 1 LV and HV charges"&amp;MID($A$2,FIND("_",$A$2),2)&amp;"'!$A$10:$A$51"),0),MATCH(D$13,$A$13:$J$13,0))-D37),"")</f>
        <v/>
      </c>
      <c r="L37" s="328" t="str">
        <f ca="1">IFERROR(IF(#REF!="","",INDEX(INDIRECT("'Annex 1 LV and HV charges"&amp;MID($A$2,FIND("_",$A$2),2)&amp;"'!$A$10:$K$51"),MATCH(MID($A37,FIND(":",$A37)+2,LEN($A37)-FIND(":",$A37)+2),INDIRECT("'Annex 1 LV and HV charges"&amp;MID($A$2,FIND("_",$A$2),2)&amp;"'!$A$10:$A$51"),0),MATCH(E$13,$A$13:$J$13,0))-E37),"")</f>
        <v/>
      </c>
      <c r="M37" s="328" t="str">
        <f ca="1">IFERROR(IF(#REF!="","",INDEX(INDIRECT("'Annex 1 LV and HV charges"&amp;MID($A$2,FIND("_",$A$2),2)&amp;"'!$A$10:$K$51"),MATCH(MID($A37,FIND(":",$A37)+2,LEN($A37)-FIND(":",$A37)+2),INDIRECT("'Annex 1 LV and HV charges"&amp;MID($A$2,FIND("_",$A$2),2)&amp;"'!$A$10:$A$51"),0),MATCH(F$13,$A$13:$J$13,0))-F37),"")</f>
        <v/>
      </c>
      <c r="N37" s="328" t="str">
        <f ca="1">IFERROR(IF(#REF!="","",INDEX(INDIRECT("'Annex 1 LV and HV charges"&amp;MID($A$2,FIND("_",$A$2),2)&amp;"'!$A$10:$K$51"),MATCH(MID($A37,FIND(":",$A37)+2,LEN($A37)-FIND(":",$A37)+2),INDIRECT("'Annex 1 LV and HV charges"&amp;MID($A$2,FIND("_",$A$2),2)&amp;"'!$A$10:$A$51"),0),MATCH(G$13,$A$13:$J$13,0))-G37),"")</f>
        <v/>
      </c>
      <c r="O37" s="328" t="str">
        <f ca="1">IFERROR(IF(#REF!="","",INDEX(INDIRECT("'Annex 1 LV and HV charges"&amp;MID($A$2,FIND("_",$A$2),2)&amp;"'!$A$10:$K$51"),MATCH(MID($A37,FIND(":",$A37)+2,LEN($A37)-FIND(":",$A37)+2),INDIRECT("'Annex 1 LV and HV charges"&amp;MID($A$2,FIND("_",$A$2),2)&amp;"'!$A$10:$A$51"),0),MATCH(H$13,$A$13:$J$13,0))-H37),"")</f>
        <v/>
      </c>
      <c r="P37" s="328" t="str">
        <f ca="1">IFERROR(IF(#REF!="","",INDEX(INDIRECT("'Annex 1 LV and HV charges"&amp;MID($A$2,FIND("_",$A$2),2)&amp;"'!$A$10:$K$51"),MATCH(MID($A37,FIND(":",$A37)+2,LEN($A37)-FIND(":",$A37)+2),INDIRECT("'Annex 1 LV and HV charges"&amp;MID($A$2,FIND("_",$A$2),2)&amp;"'!$A$10:$A$51"),0),MATCH(I$13,$A$13:$J$13,0))-I37),"")</f>
        <v/>
      </c>
      <c r="Q37" s="328" t="str">
        <f ca="1">IFERROR(IF(#REF!="","",INDEX(INDIRECT("'Annex 1 LV and HV charges"&amp;MID($A$2,FIND("_",$A$2),2)&amp;"'!$A$10:$K$51"),MATCH(MID($A37,FIND(":",$A37)+2,LEN($A37)-FIND(":",$A37)+2),INDIRECT("'Annex 1 LV and HV charges"&amp;MID($A$2,FIND("_",$A$2),2)&amp;"'!$A$10:$A$51"),0),MATCH(J$13,$A$13:$J$13,0))-J37),"")</f>
        <v/>
      </c>
    </row>
    <row r="38" spans="1:17" ht="27" customHeight="1" x14ac:dyDescent="0.2">
      <c r="A38" s="325" t="s">
        <v>649</v>
      </c>
      <c r="B38" s="18"/>
      <c r="C38" s="327">
        <v>0</v>
      </c>
      <c r="D38" s="92">
        <v>3.8479999999999999</v>
      </c>
      <c r="E38" s="93">
        <v>1.2729999999999999</v>
      </c>
      <c r="F38" s="94">
        <v>0.307</v>
      </c>
      <c r="G38" s="319">
        <v>32.89</v>
      </c>
      <c r="H38" s="319">
        <v>6.22</v>
      </c>
      <c r="I38" s="322">
        <v>6.22</v>
      </c>
      <c r="J38" s="26">
        <v>0.19900000000000001</v>
      </c>
      <c r="K38" s="328" t="str">
        <f ca="1">IFERROR(IF(#REF!="","",INDEX(INDIRECT("'Annex 1 LV and HV charges"&amp;MID($A$2,FIND("_",$A$2),2)&amp;"'!$A$10:$K$51"),MATCH(MID($A38,FIND(":",$A38)+2,LEN($A38)-FIND(":",$A38)+2),INDIRECT("'Annex 1 LV and HV charges"&amp;MID($A$2,FIND("_",$A$2),2)&amp;"'!$A$10:$A$51"),0),MATCH(D$13,$A$13:$J$13,0))-D38),"")</f>
        <v/>
      </c>
      <c r="L38" s="328" t="str">
        <f ca="1">IFERROR(IF(#REF!="","",INDEX(INDIRECT("'Annex 1 LV and HV charges"&amp;MID($A$2,FIND("_",$A$2),2)&amp;"'!$A$10:$K$51"),MATCH(MID($A38,FIND(":",$A38)+2,LEN($A38)-FIND(":",$A38)+2),INDIRECT("'Annex 1 LV and HV charges"&amp;MID($A$2,FIND("_",$A$2),2)&amp;"'!$A$10:$A$51"),0),MATCH(E$13,$A$13:$J$13,0))-E38),"")</f>
        <v/>
      </c>
      <c r="M38" s="328" t="str">
        <f ca="1">IFERROR(IF(#REF!="","",INDEX(INDIRECT("'Annex 1 LV and HV charges"&amp;MID($A$2,FIND("_",$A$2),2)&amp;"'!$A$10:$K$51"),MATCH(MID($A38,FIND(":",$A38)+2,LEN($A38)-FIND(":",$A38)+2),INDIRECT("'Annex 1 LV and HV charges"&amp;MID($A$2,FIND("_",$A$2),2)&amp;"'!$A$10:$A$51"),0),MATCH(F$13,$A$13:$J$13,0))-F38),"")</f>
        <v/>
      </c>
      <c r="N38" s="328" t="str">
        <f ca="1">IFERROR(IF(#REF!="","",INDEX(INDIRECT("'Annex 1 LV and HV charges"&amp;MID($A$2,FIND("_",$A$2),2)&amp;"'!$A$10:$K$51"),MATCH(MID($A38,FIND(":",$A38)+2,LEN($A38)-FIND(":",$A38)+2),INDIRECT("'Annex 1 LV and HV charges"&amp;MID($A$2,FIND("_",$A$2),2)&amp;"'!$A$10:$A$51"),0),MATCH(G$13,$A$13:$J$13,0))-G38),"")</f>
        <v/>
      </c>
      <c r="O38" s="328" t="str">
        <f ca="1">IFERROR(IF(#REF!="","",INDEX(INDIRECT("'Annex 1 LV and HV charges"&amp;MID($A$2,FIND("_",$A$2),2)&amp;"'!$A$10:$K$51"),MATCH(MID($A38,FIND(":",$A38)+2,LEN($A38)-FIND(":",$A38)+2),INDIRECT("'Annex 1 LV and HV charges"&amp;MID($A$2,FIND("_",$A$2),2)&amp;"'!$A$10:$A$51"),0),MATCH(H$13,$A$13:$J$13,0))-H38),"")</f>
        <v/>
      </c>
      <c r="P38" s="328" t="str">
        <f ca="1">IFERROR(IF(#REF!="","",INDEX(INDIRECT("'Annex 1 LV and HV charges"&amp;MID($A$2,FIND("_",$A$2),2)&amp;"'!$A$10:$K$51"),MATCH(MID($A38,FIND(":",$A38)+2,LEN($A38)-FIND(":",$A38)+2),INDIRECT("'Annex 1 LV and HV charges"&amp;MID($A$2,FIND("_",$A$2),2)&amp;"'!$A$10:$A$51"),0),MATCH(I$13,$A$13:$J$13,0))-I38),"")</f>
        <v/>
      </c>
      <c r="Q38" s="328" t="str">
        <f ca="1">IFERROR(IF(#REF!="","",INDEX(INDIRECT("'Annex 1 LV and HV charges"&amp;MID($A$2,FIND("_",$A$2),2)&amp;"'!$A$10:$K$51"),MATCH(MID($A38,FIND(":",$A38)+2,LEN($A38)-FIND(":",$A38)+2),INDIRECT("'Annex 1 LV and HV charges"&amp;MID($A$2,FIND("_",$A$2),2)&amp;"'!$A$10:$A$51"),0),MATCH(J$13,$A$13:$J$13,0))-J38),"")</f>
        <v/>
      </c>
    </row>
    <row r="39" spans="1:17" ht="27" customHeight="1" x14ac:dyDescent="0.2">
      <c r="A39" s="325" t="s">
        <v>650</v>
      </c>
      <c r="B39" s="25"/>
      <c r="C39" s="327">
        <v>0</v>
      </c>
      <c r="D39" s="92">
        <v>3.6960000000000002</v>
      </c>
      <c r="E39" s="93">
        <v>1.1220000000000001</v>
      </c>
      <c r="F39" s="94">
        <v>0.155</v>
      </c>
      <c r="G39" s="319" t="s">
        <v>840</v>
      </c>
      <c r="H39" s="319">
        <v>6.22</v>
      </c>
      <c r="I39" s="322">
        <v>6.22</v>
      </c>
      <c r="J39" s="26">
        <v>0.19900000000000001</v>
      </c>
      <c r="K39" s="328" t="str">
        <f ca="1">IFERROR(IF(#REF!="","",INDEX(INDIRECT("'Annex 1 LV and HV charges"&amp;MID($A$2,FIND("_",$A$2),2)&amp;"'!$A$10:$K$51"),MATCH(MID($A39,FIND(":",$A39)+2,LEN($A39)-FIND(":",$A39)+2),INDIRECT("'Annex 1 LV and HV charges"&amp;MID($A$2,FIND("_",$A$2),2)&amp;"'!$A$10:$A$51"),0),MATCH(D$13,$A$13:$J$13,0))-D39),"")</f>
        <v/>
      </c>
      <c r="L39" s="328" t="str">
        <f ca="1">IFERROR(IF(#REF!="","",INDEX(INDIRECT("'Annex 1 LV and HV charges"&amp;MID($A$2,FIND("_",$A$2),2)&amp;"'!$A$10:$K$51"),MATCH(MID($A39,FIND(":",$A39)+2,LEN($A39)-FIND(":",$A39)+2),INDIRECT("'Annex 1 LV and HV charges"&amp;MID($A$2,FIND("_",$A$2),2)&amp;"'!$A$10:$A$51"),0),MATCH(E$13,$A$13:$J$13,0))-E39),"")</f>
        <v/>
      </c>
      <c r="M39" s="328" t="str">
        <f ca="1">IFERROR(IF(#REF!="","",INDEX(INDIRECT("'Annex 1 LV and HV charges"&amp;MID($A$2,FIND("_",$A$2),2)&amp;"'!$A$10:$K$51"),MATCH(MID($A39,FIND(":",$A39)+2,LEN($A39)-FIND(":",$A39)+2),INDIRECT("'Annex 1 LV and HV charges"&amp;MID($A$2,FIND("_",$A$2),2)&amp;"'!$A$10:$A$51"),0),MATCH(F$13,$A$13:$J$13,0))-F39),"")</f>
        <v/>
      </c>
      <c r="N39" s="328" t="str">
        <f ca="1">IFERROR(IF(#REF!="","",INDEX(INDIRECT("'Annex 1 LV and HV charges"&amp;MID($A$2,FIND("_",$A$2),2)&amp;"'!$A$10:$K$51"),MATCH(MID($A39,FIND(":",$A39)+2,LEN($A39)-FIND(":",$A39)+2),INDIRECT("'Annex 1 LV and HV charges"&amp;MID($A$2,FIND("_",$A$2),2)&amp;"'!$A$10:$A$51"),0),MATCH(G$13,$A$13:$J$13,0))-G39),"")</f>
        <v/>
      </c>
      <c r="O39" s="328" t="str">
        <f ca="1">IFERROR(IF(#REF!="","",INDEX(INDIRECT("'Annex 1 LV and HV charges"&amp;MID($A$2,FIND("_",$A$2),2)&amp;"'!$A$10:$K$51"),MATCH(MID($A39,FIND(":",$A39)+2,LEN($A39)-FIND(":",$A39)+2),INDIRECT("'Annex 1 LV and HV charges"&amp;MID($A$2,FIND("_",$A$2),2)&amp;"'!$A$10:$A$51"),0),MATCH(H$13,$A$13:$J$13,0))-H39),"")</f>
        <v/>
      </c>
      <c r="P39" s="328" t="str">
        <f ca="1">IFERROR(IF(#REF!="","",INDEX(INDIRECT("'Annex 1 LV and HV charges"&amp;MID($A$2,FIND("_",$A$2),2)&amp;"'!$A$10:$K$51"),MATCH(MID($A39,FIND(":",$A39)+2,LEN($A39)-FIND(":",$A39)+2),INDIRECT("'Annex 1 LV and HV charges"&amp;MID($A$2,FIND("_",$A$2),2)&amp;"'!$A$10:$A$51"),0),MATCH(I$13,$A$13:$J$13,0))-I39),"")</f>
        <v/>
      </c>
      <c r="Q39" s="328" t="str">
        <f ca="1">IFERROR(IF(#REF!="","",INDEX(INDIRECT("'Annex 1 LV and HV charges"&amp;MID($A$2,FIND("_",$A$2),2)&amp;"'!$A$10:$K$51"),MATCH(MID($A39,FIND(":",$A39)+2,LEN($A39)-FIND(":",$A39)+2),INDIRECT("'Annex 1 LV and HV charges"&amp;MID($A$2,FIND("_",$A$2),2)&amp;"'!$A$10:$A$51"),0),MATCH(J$13,$A$13:$J$13,0))-J39),"")</f>
        <v/>
      </c>
    </row>
    <row r="40" spans="1:17" ht="27" customHeight="1" x14ac:dyDescent="0.2">
      <c r="A40" s="325" t="s">
        <v>651</v>
      </c>
      <c r="B40" s="18"/>
      <c r="C40" s="327">
        <v>0</v>
      </c>
      <c r="D40" s="92">
        <v>3.6179999999999999</v>
      </c>
      <c r="E40" s="93">
        <v>1.0429999999999999</v>
      </c>
      <c r="F40" s="94">
        <v>0.13400000000000001</v>
      </c>
      <c r="G40" s="319" t="s">
        <v>840</v>
      </c>
      <c r="H40" s="319">
        <v>6.22</v>
      </c>
      <c r="I40" s="322">
        <v>6.22</v>
      </c>
      <c r="J40" s="26">
        <v>0.19900000000000001</v>
      </c>
      <c r="K40" s="328" t="str">
        <f ca="1">IFERROR(IF(#REF!="","",INDEX(INDIRECT("'Annex 1 LV and HV charges"&amp;MID($A$2,FIND("_",$A$2),2)&amp;"'!$A$10:$K$51"),MATCH(MID($A40,FIND(":",$A40)+2,LEN($A40)-FIND(":",$A40)+2),INDIRECT("'Annex 1 LV and HV charges"&amp;MID($A$2,FIND("_",$A$2),2)&amp;"'!$A$10:$A$51"),0),MATCH(D$13,$A$13:$J$13,0))-D40),"")</f>
        <v/>
      </c>
      <c r="L40" s="328" t="str">
        <f ca="1">IFERROR(IF(#REF!="","",INDEX(INDIRECT("'Annex 1 LV and HV charges"&amp;MID($A$2,FIND("_",$A$2),2)&amp;"'!$A$10:$K$51"),MATCH(MID($A40,FIND(":",$A40)+2,LEN($A40)-FIND(":",$A40)+2),INDIRECT("'Annex 1 LV and HV charges"&amp;MID($A$2,FIND("_",$A$2),2)&amp;"'!$A$10:$A$51"),0),MATCH(E$13,$A$13:$J$13,0))-E40),"")</f>
        <v/>
      </c>
      <c r="M40" s="328" t="str">
        <f ca="1">IFERROR(IF(#REF!="","",INDEX(INDIRECT("'Annex 1 LV and HV charges"&amp;MID($A$2,FIND("_",$A$2),2)&amp;"'!$A$10:$K$51"),MATCH(MID($A40,FIND(":",$A40)+2,LEN($A40)-FIND(":",$A40)+2),INDIRECT("'Annex 1 LV and HV charges"&amp;MID($A$2,FIND("_",$A$2),2)&amp;"'!$A$10:$A$51"),0),MATCH(F$13,$A$13:$J$13,0))-F40),"")</f>
        <v/>
      </c>
      <c r="N40" s="328" t="str">
        <f ca="1">IFERROR(IF(#REF!="","",INDEX(INDIRECT("'Annex 1 LV and HV charges"&amp;MID($A$2,FIND("_",$A$2),2)&amp;"'!$A$10:$K$51"),MATCH(MID($A40,FIND(":",$A40)+2,LEN($A40)-FIND(":",$A40)+2),INDIRECT("'Annex 1 LV and HV charges"&amp;MID($A$2,FIND("_",$A$2),2)&amp;"'!$A$10:$A$51"),0),MATCH(G$13,$A$13:$J$13,0))-G40),"")</f>
        <v/>
      </c>
      <c r="O40" s="328" t="str">
        <f ca="1">IFERROR(IF(#REF!="","",INDEX(INDIRECT("'Annex 1 LV and HV charges"&amp;MID($A$2,FIND("_",$A$2),2)&amp;"'!$A$10:$K$51"),MATCH(MID($A40,FIND(":",$A40)+2,LEN($A40)-FIND(":",$A40)+2),INDIRECT("'Annex 1 LV and HV charges"&amp;MID($A$2,FIND("_",$A$2),2)&amp;"'!$A$10:$A$51"),0),MATCH(H$13,$A$13:$J$13,0))-H40),"")</f>
        <v/>
      </c>
      <c r="P40" s="328" t="str">
        <f ca="1">IFERROR(IF(#REF!="","",INDEX(INDIRECT("'Annex 1 LV and HV charges"&amp;MID($A$2,FIND("_",$A$2),2)&amp;"'!$A$10:$K$51"),MATCH(MID($A40,FIND(":",$A40)+2,LEN($A40)-FIND(":",$A40)+2),INDIRECT("'Annex 1 LV and HV charges"&amp;MID($A$2,FIND("_",$A$2),2)&amp;"'!$A$10:$A$51"),0),MATCH(I$13,$A$13:$J$13,0))-I40),"")</f>
        <v/>
      </c>
      <c r="Q40" s="328" t="str">
        <f ca="1">IFERROR(IF(#REF!="","",INDEX(INDIRECT("'Annex 1 LV and HV charges"&amp;MID($A$2,FIND("_",$A$2),2)&amp;"'!$A$10:$K$51"),MATCH(MID($A40,FIND(":",$A40)+2,LEN($A40)-FIND(":",$A40)+2),INDIRECT("'Annex 1 LV and HV charges"&amp;MID($A$2,FIND("_",$A$2),2)&amp;"'!$A$10:$A$51"),0),MATCH(J$13,$A$13:$J$13,0))-J40),"")</f>
        <v/>
      </c>
    </row>
    <row r="41" spans="1:17" ht="27" customHeight="1" x14ac:dyDescent="0.2">
      <c r="A41" s="325" t="s">
        <v>652</v>
      </c>
      <c r="B41" s="18"/>
      <c r="C41" s="327">
        <v>0</v>
      </c>
      <c r="D41" s="92">
        <v>3.573</v>
      </c>
      <c r="E41" s="93">
        <v>0.998</v>
      </c>
      <c r="F41" s="94">
        <v>0.13400000000000001</v>
      </c>
      <c r="G41" s="319" t="s">
        <v>840</v>
      </c>
      <c r="H41" s="319">
        <v>6.22</v>
      </c>
      <c r="I41" s="322">
        <v>6.22</v>
      </c>
      <c r="J41" s="26">
        <v>0.19900000000000001</v>
      </c>
      <c r="K41" s="328" t="str">
        <f ca="1">IFERROR(IF(#REF!="","",INDEX(INDIRECT("'Annex 1 LV and HV charges"&amp;MID($A$2,FIND("_",$A$2),2)&amp;"'!$A$10:$K$51"),MATCH(MID($A41,FIND(":",$A41)+2,LEN($A41)-FIND(":",$A41)+2),INDIRECT("'Annex 1 LV and HV charges"&amp;MID($A$2,FIND("_",$A$2),2)&amp;"'!$A$10:$A$51"),0),MATCH(D$13,$A$13:$J$13,0))-D41),"")</f>
        <v/>
      </c>
      <c r="L41" s="328" t="str">
        <f ca="1">IFERROR(IF(#REF!="","",INDEX(INDIRECT("'Annex 1 LV and HV charges"&amp;MID($A$2,FIND("_",$A$2),2)&amp;"'!$A$10:$K$51"),MATCH(MID($A41,FIND(":",$A41)+2,LEN($A41)-FIND(":",$A41)+2),INDIRECT("'Annex 1 LV and HV charges"&amp;MID($A$2,FIND("_",$A$2),2)&amp;"'!$A$10:$A$51"),0),MATCH(E$13,$A$13:$J$13,0))-E41),"")</f>
        <v/>
      </c>
      <c r="M41" s="328" t="str">
        <f ca="1">IFERROR(IF(#REF!="","",INDEX(INDIRECT("'Annex 1 LV and HV charges"&amp;MID($A$2,FIND("_",$A$2),2)&amp;"'!$A$10:$K$51"),MATCH(MID($A41,FIND(":",$A41)+2,LEN($A41)-FIND(":",$A41)+2),INDIRECT("'Annex 1 LV and HV charges"&amp;MID($A$2,FIND("_",$A$2),2)&amp;"'!$A$10:$A$51"),0),MATCH(F$13,$A$13:$J$13,0))-F41),"")</f>
        <v/>
      </c>
      <c r="N41" s="328" t="str">
        <f ca="1">IFERROR(IF(#REF!="","",INDEX(INDIRECT("'Annex 1 LV and HV charges"&amp;MID($A$2,FIND("_",$A$2),2)&amp;"'!$A$10:$K$51"),MATCH(MID($A41,FIND(":",$A41)+2,LEN($A41)-FIND(":",$A41)+2),INDIRECT("'Annex 1 LV and HV charges"&amp;MID($A$2,FIND("_",$A$2),2)&amp;"'!$A$10:$A$51"),0),MATCH(G$13,$A$13:$J$13,0))-G41),"")</f>
        <v/>
      </c>
      <c r="O41" s="328" t="str">
        <f ca="1">IFERROR(IF(#REF!="","",INDEX(INDIRECT("'Annex 1 LV and HV charges"&amp;MID($A$2,FIND("_",$A$2),2)&amp;"'!$A$10:$K$51"),MATCH(MID($A41,FIND(":",$A41)+2,LEN($A41)-FIND(":",$A41)+2),INDIRECT("'Annex 1 LV and HV charges"&amp;MID($A$2,FIND("_",$A$2),2)&amp;"'!$A$10:$A$51"),0),MATCH(H$13,$A$13:$J$13,0))-H41),"")</f>
        <v/>
      </c>
      <c r="P41" s="328" t="str">
        <f ca="1">IFERROR(IF(#REF!="","",INDEX(INDIRECT("'Annex 1 LV and HV charges"&amp;MID($A$2,FIND("_",$A$2),2)&amp;"'!$A$10:$K$51"),MATCH(MID($A41,FIND(":",$A41)+2,LEN($A41)-FIND(":",$A41)+2),INDIRECT("'Annex 1 LV and HV charges"&amp;MID($A$2,FIND("_",$A$2),2)&amp;"'!$A$10:$A$51"),0),MATCH(I$13,$A$13:$J$13,0))-I41),"")</f>
        <v/>
      </c>
      <c r="Q41" s="328" t="str">
        <f ca="1">IFERROR(IF(#REF!="","",INDEX(INDIRECT("'Annex 1 LV and HV charges"&amp;MID($A$2,FIND("_",$A$2),2)&amp;"'!$A$10:$K$51"),MATCH(MID($A41,FIND(":",$A41)+2,LEN($A41)-FIND(":",$A41)+2),INDIRECT("'Annex 1 LV and HV charges"&amp;MID($A$2,FIND("_",$A$2),2)&amp;"'!$A$10:$A$51"),0),MATCH(J$13,$A$13:$J$13,0))-J41),"")</f>
        <v/>
      </c>
    </row>
    <row r="42" spans="1:17" ht="27" customHeight="1" x14ac:dyDescent="0.2">
      <c r="A42" s="325" t="s">
        <v>653</v>
      </c>
      <c r="B42" s="18"/>
      <c r="C42" s="327">
        <v>0</v>
      </c>
      <c r="D42" s="92">
        <v>3.528</v>
      </c>
      <c r="E42" s="93">
        <v>0.95399999999999996</v>
      </c>
      <c r="F42" s="94">
        <v>0.13400000000000001</v>
      </c>
      <c r="G42" s="319" t="s">
        <v>840</v>
      </c>
      <c r="H42" s="319">
        <v>6.22</v>
      </c>
      <c r="I42" s="322">
        <v>6.22</v>
      </c>
      <c r="J42" s="26">
        <v>0.19900000000000001</v>
      </c>
      <c r="K42" s="328" t="str">
        <f ca="1">IFERROR(IF(#REF!="","",INDEX(INDIRECT("'Annex 1 LV and HV charges"&amp;MID($A$2,FIND("_",$A$2),2)&amp;"'!$A$10:$K$51"),MATCH(MID($A42,FIND(":",$A42)+2,LEN($A42)-FIND(":",$A42)+2),INDIRECT("'Annex 1 LV and HV charges"&amp;MID($A$2,FIND("_",$A$2),2)&amp;"'!$A$10:$A$51"),0),MATCH(D$13,$A$13:$J$13,0))-D42),"")</f>
        <v/>
      </c>
      <c r="L42" s="328" t="str">
        <f ca="1">IFERROR(IF(#REF!="","",INDEX(INDIRECT("'Annex 1 LV and HV charges"&amp;MID($A$2,FIND("_",$A$2),2)&amp;"'!$A$10:$K$51"),MATCH(MID($A42,FIND(":",$A42)+2,LEN($A42)-FIND(":",$A42)+2),INDIRECT("'Annex 1 LV and HV charges"&amp;MID($A$2,FIND("_",$A$2),2)&amp;"'!$A$10:$A$51"),0),MATCH(E$13,$A$13:$J$13,0))-E42),"")</f>
        <v/>
      </c>
      <c r="M42" s="328" t="str">
        <f ca="1">IFERROR(IF(#REF!="","",INDEX(INDIRECT("'Annex 1 LV and HV charges"&amp;MID($A$2,FIND("_",$A$2),2)&amp;"'!$A$10:$K$51"),MATCH(MID($A42,FIND(":",$A42)+2,LEN($A42)-FIND(":",$A42)+2),INDIRECT("'Annex 1 LV and HV charges"&amp;MID($A$2,FIND("_",$A$2),2)&amp;"'!$A$10:$A$51"),0),MATCH(F$13,$A$13:$J$13,0))-F42),"")</f>
        <v/>
      </c>
      <c r="N42" s="328" t="str">
        <f ca="1">IFERROR(IF(#REF!="","",INDEX(INDIRECT("'Annex 1 LV and HV charges"&amp;MID($A$2,FIND("_",$A$2),2)&amp;"'!$A$10:$K$51"),MATCH(MID($A42,FIND(":",$A42)+2,LEN($A42)-FIND(":",$A42)+2),INDIRECT("'Annex 1 LV and HV charges"&amp;MID($A$2,FIND("_",$A$2),2)&amp;"'!$A$10:$A$51"),0),MATCH(G$13,$A$13:$J$13,0))-G42),"")</f>
        <v/>
      </c>
      <c r="O42" s="328" t="str">
        <f ca="1">IFERROR(IF(#REF!="","",INDEX(INDIRECT("'Annex 1 LV and HV charges"&amp;MID($A$2,FIND("_",$A$2),2)&amp;"'!$A$10:$K$51"),MATCH(MID($A42,FIND(":",$A42)+2,LEN($A42)-FIND(":",$A42)+2),INDIRECT("'Annex 1 LV and HV charges"&amp;MID($A$2,FIND("_",$A$2),2)&amp;"'!$A$10:$A$51"),0),MATCH(H$13,$A$13:$J$13,0))-H42),"")</f>
        <v/>
      </c>
      <c r="P42" s="328" t="str">
        <f ca="1">IFERROR(IF(#REF!="","",INDEX(INDIRECT("'Annex 1 LV and HV charges"&amp;MID($A$2,FIND("_",$A$2),2)&amp;"'!$A$10:$K$51"),MATCH(MID($A42,FIND(":",$A42)+2,LEN($A42)-FIND(":",$A42)+2),INDIRECT("'Annex 1 LV and HV charges"&amp;MID($A$2,FIND("_",$A$2),2)&amp;"'!$A$10:$A$51"),0),MATCH(I$13,$A$13:$J$13,0))-I42),"")</f>
        <v/>
      </c>
      <c r="Q42" s="328" t="str">
        <f ca="1">IFERROR(IF(#REF!="","",INDEX(INDIRECT("'Annex 1 LV and HV charges"&amp;MID($A$2,FIND("_",$A$2),2)&amp;"'!$A$10:$K$51"),MATCH(MID($A42,FIND(":",$A42)+2,LEN($A42)-FIND(":",$A42)+2),INDIRECT("'Annex 1 LV and HV charges"&amp;MID($A$2,FIND("_",$A$2),2)&amp;"'!$A$10:$A$51"),0),MATCH(J$13,$A$13:$J$13,0))-J42),"")</f>
        <v/>
      </c>
    </row>
    <row r="43" spans="1:17" ht="27" customHeight="1" x14ac:dyDescent="0.2">
      <c r="A43" s="325" t="s">
        <v>654</v>
      </c>
      <c r="B43" s="18"/>
      <c r="C43" s="327">
        <v>0</v>
      </c>
      <c r="D43" s="92">
        <v>2.516</v>
      </c>
      <c r="E43" s="93">
        <v>0.63900000000000001</v>
      </c>
      <c r="F43" s="94">
        <v>0.253</v>
      </c>
      <c r="G43" s="319">
        <v>122.16</v>
      </c>
      <c r="H43" s="319">
        <v>11.83</v>
      </c>
      <c r="I43" s="322">
        <v>11.83</v>
      </c>
      <c r="J43" s="26">
        <v>0.11600000000000001</v>
      </c>
      <c r="K43" s="328" t="str">
        <f ca="1">IFERROR(IF(#REF!="","",INDEX(INDIRECT("'Annex 1 LV and HV charges"&amp;MID($A$2,FIND("_",$A$2),2)&amp;"'!$A$10:$K$51"),MATCH(MID($A43,FIND(":",$A43)+2,LEN($A43)-FIND(":",$A43)+2),INDIRECT("'Annex 1 LV and HV charges"&amp;MID($A$2,FIND("_",$A$2),2)&amp;"'!$A$10:$A$51"),0),MATCH(D$13,$A$13:$J$13,0))-D43),"")</f>
        <v/>
      </c>
      <c r="L43" s="328" t="str">
        <f ca="1">IFERROR(IF(#REF!="","",INDEX(INDIRECT("'Annex 1 LV and HV charges"&amp;MID($A$2,FIND("_",$A$2),2)&amp;"'!$A$10:$K$51"),MATCH(MID($A43,FIND(":",$A43)+2,LEN($A43)-FIND(":",$A43)+2),INDIRECT("'Annex 1 LV and HV charges"&amp;MID($A$2,FIND("_",$A$2),2)&amp;"'!$A$10:$A$51"),0),MATCH(E$13,$A$13:$J$13,0))-E43),"")</f>
        <v/>
      </c>
      <c r="M43" s="328" t="str">
        <f ca="1">IFERROR(IF(#REF!="","",INDEX(INDIRECT("'Annex 1 LV and HV charges"&amp;MID($A$2,FIND("_",$A$2),2)&amp;"'!$A$10:$K$51"),MATCH(MID($A43,FIND(":",$A43)+2,LEN($A43)-FIND(":",$A43)+2),INDIRECT("'Annex 1 LV and HV charges"&amp;MID($A$2,FIND("_",$A$2),2)&amp;"'!$A$10:$A$51"),0),MATCH(F$13,$A$13:$J$13,0))-F43),"")</f>
        <v/>
      </c>
      <c r="N43" s="328" t="str">
        <f ca="1">IFERROR(IF(#REF!="","",INDEX(INDIRECT("'Annex 1 LV and HV charges"&amp;MID($A$2,FIND("_",$A$2),2)&amp;"'!$A$10:$K$51"),MATCH(MID($A43,FIND(":",$A43)+2,LEN($A43)-FIND(":",$A43)+2),INDIRECT("'Annex 1 LV and HV charges"&amp;MID($A$2,FIND("_",$A$2),2)&amp;"'!$A$10:$A$51"),0),MATCH(G$13,$A$13:$J$13,0))-G43),"")</f>
        <v/>
      </c>
      <c r="O43" s="328" t="str">
        <f ca="1">IFERROR(IF(#REF!="","",INDEX(INDIRECT("'Annex 1 LV and HV charges"&amp;MID($A$2,FIND("_",$A$2),2)&amp;"'!$A$10:$K$51"),MATCH(MID($A43,FIND(":",$A43)+2,LEN($A43)-FIND(":",$A43)+2),INDIRECT("'Annex 1 LV and HV charges"&amp;MID($A$2,FIND("_",$A$2),2)&amp;"'!$A$10:$A$51"),0),MATCH(H$13,$A$13:$J$13,0))-H43),"")</f>
        <v/>
      </c>
      <c r="P43" s="328" t="str">
        <f ca="1">IFERROR(IF(#REF!="","",INDEX(INDIRECT("'Annex 1 LV and HV charges"&amp;MID($A$2,FIND("_",$A$2),2)&amp;"'!$A$10:$K$51"),MATCH(MID($A43,FIND(":",$A43)+2,LEN($A43)-FIND(":",$A43)+2),INDIRECT("'Annex 1 LV and HV charges"&amp;MID($A$2,FIND("_",$A$2),2)&amp;"'!$A$10:$A$51"),0),MATCH(I$13,$A$13:$J$13,0))-I43),"")</f>
        <v/>
      </c>
      <c r="Q43" s="328" t="str">
        <f ca="1">IFERROR(IF(#REF!="","",INDEX(INDIRECT("'Annex 1 LV and HV charges"&amp;MID($A$2,FIND("_",$A$2),2)&amp;"'!$A$10:$K$51"),MATCH(MID($A43,FIND(":",$A43)+2,LEN($A43)-FIND(":",$A43)+2),INDIRECT("'Annex 1 LV and HV charges"&amp;MID($A$2,FIND("_",$A$2),2)&amp;"'!$A$10:$A$51"),0),MATCH(J$13,$A$13:$J$13,0))-J43),"")</f>
        <v/>
      </c>
    </row>
    <row r="44" spans="1:17" ht="27" customHeight="1" x14ac:dyDescent="0.2">
      <c r="A44" s="325" t="s">
        <v>655</v>
      </c>
      <c r="B44" s="25"/>
      <c r="C44" s="327">
        <v>0</v>
      </c>
      <c r="D44" s="92">
        <v>2.294</v>
      </c>
      <c r="E44" s="93">
        <v>0.41699999999999998</v>
      </c>
      <c r="F44" s="94">
        <v>3.1E-2</v>
      </c>
      <c r="G44" s="319">
        <v>73.97</v>
      </c>
      <c r="H44" s="319">
        <v>11.83</v>
      </c>
      <c r="I44" s="322">
        <v>11.83</v>
      </c>
      <c r="J44" s="26">
        <v>0.11600000000000001</v>
      </c>
      <c r="K44" s="328" t="str">
        <f ca="1">IFERROR(IF(#REF!="","",INDEX(INDIRECT("'Annex 1 LV and HV charges"&amp;MID($A$2,FIND("_",$A$2),2)&amp;"'!$A$10:$K$51"),MATCH(MID($A44,FIND(":",$A44)+2,LEN($A44)-FIND(":",$A44)+2),INDIRECT("'Annex 1 LV and HV charges"&amp;MID($A$2,FIND("_",$A$2),2)&amp;"'!$A$10:$A$51"),0),MATCH(D$13,$A$13:$J$13,0))-D44),"")</f>
        <v/>
      </c>
      <c r="L44" s="328" t="str">
        <f ca="1">IFERROR(IF(#REF!="","",INDEX(INDIRECT("'Annex 1 LV and HV charges"&amp;MID($A$2,FIND("_",$A$2),2)&amp;"'!$A$10:$K$51"),MATCH(MID($A44,FIND(":",$A44)+2,LEN($A44)-FIND(":",$A44)+2),INDIRECT("'Annex 1 LV and HV charges"&amp;MID($A$2,FIND("_",$A$2),2)&amp;"'!$A$10:$A$51"),0),MATCH(E$13,$A$13:$J$13,0))-E44),"")</f>
        <v/>
      </c>
      <c r="M44" s="328" t="str">
        <f ca="1">IFERROR(IF(#REF!="","",INDEX(INDIRECT("'Annex 1 LV and HV charges"&amp;MID($A$2,FIND("_",$A$2),2)&amp;"'!$A$10:$K$51"),MATCH(MID($A44,FIND(":",$A44)+2,LEN($A44)-FIND(":",$A44)+2),INDIRECT("'Annex 1 LV and HV charges"&amp;MID($A$2,FIND("_",$A$2),2)&amp;"'!$A$10:$A$51"),0),MATCH(F$13,$A$13:$J$13,0))-F44),"")</f>
        <v/>
      </c>
      <c r="N44" s="328" t="str">
        <f ca="1">IFERROR(IF(#REF!="","",INDEX(INDIRECT("'Annex 1 LV and HV charges"&amp;MID($A$2,FIND("_",$A$2),2)&amp;"'!$A$10:$K$51"),MATCH(MID($A44,FIND(":",$A44)+2,LEN($A44)-FIND(":",$A44)+2),INDIRECT("'Annex 1 LV and HV charges"&amp;MID($A$2,FIND("_",$A$2),2)&amp;"'!$A$10:$A$51"),0),MATCH(G$13,$A$13:$J$13,0))-G44),"")</f>
        <v/>
      </c>
      <c r="O44" s="328" t="str">
        <f ca="1">IFERROR(IF(#REF!="","",INDEX(INDIRECT("'Annex 1 LV and HV charges"&amp;MID($A$2,FIND("_",$A$2),2)&amp;"'!$A$10:$K$51"),MATCH(MID($A44,FIND(":",$A44)+2,LEN($A44)-FIND(":",$A44)+2),INDIRECT("'Annex 1 LV and HV charges"&amp;MID($A$2,FIND("_",$A$2),2)&amp;"'!$A$10:$A$51"),0),MATCH(H$13,$A$13:$J$13,0))-H44),"")</f>
        <v/>
      </c>
      <c r="P44" s="328" t="str">
        <f ca="1">IFERROR(IF(#REF!="","",INDEX(INDIRECT("'Annex 1 LV and HV charges"&amp;MID($A$2,FIND("_",$A$2),2)&amp;"'!$A$10:$K$51"),MATCH(MID($A44,FIND(":",$A44)+2,LEN($A44)-FIND(":",$A44)+2),INDIRECT("'Annex 1 LV and HV charges"&amp;MID($A$2,FIND("_",$A$2),2)&amp;"'!$A$10:$A$51"),0),MATCH(I$13,$A$13:$J$13,0))-I44),"")</f>
        <v/>
      </c>
      <c r="Q44" s="328" t="str">
        <f ca="1">IFERROR(IF(#REF!="","",INDEX(INDIRECT("'Annex 1 LV and HV charges"&amp;MID($A$2,FIND("_",$A$2),2)&amp;"'!$A$10:$K$51"),MATCH(MID($A44,FIND(":",$A44)+2,LEN($A44)-FIND(":",$A44)+2),INDIRECT("'Annex 1 LV and HV charges"&amp;MID($A$2,FIND("_",$A$2),2)&amp;"'!$A$10:$A$51"),0),MATCH(J$13,$A$13:$J$13,0))-J44),"")</f>
        <v/>
      </c>
    </row>
    <row r="45" spans="1:17" ht="27" customHeight="1" x14ac:dyDescent="0.2">
      <c r="A45" s="325" t="s">
        <v>656</v>
      </c>
      <c r="B45" s="18"/>
      <c r="C45" s="327">
        <v>0</v>
      </c>
      <c r="D45" s="92">
        <v>2.1789999999999998</v>
      </c>
      <c r="E45" s="93">
        <v>0.30299999999999999</v>
      </c>
      <c r="F45" s="94" t="s">
        <v>840</v>
      </c>
      <c r="G45" s="319">
        <v>73.97</v>
      </c>
      <c r="H45" s="319">
        <v>11.83</v>
      </c>
      <c r="I45" s="322">
        <v>11.83</v>
      </c>
      <c r="J45" s="26">
        <v>0.11600000000000001</v>
      </c>
      <c r="K45" s="328" t="str">
        <f ca="1">IFERROR(IF(#REF!="","",INDEX(INDIRECT("'Annex 1 LV and HV charges"&amp;MID($A$2,FIND("_",$A$2),2)&amp;"'!$A$10:$K$51"),MATCH(MID($A45,FIND(":",$A45)+2,LEN($A45)-FIND(":",$A45)+2),INDIRECT("'Annex 1 LV and HV charges"&amp;MID($A$2,FIND("_",$A$2),2)&amp;"'!$A$10:$A$51"),0),MATCH(D$13,$A$13:$J$13,0))-D45),"")</f>
        <v/>
      </c>
      <c r="L45" s="328" t="str">
        <f ca="1">IFERROR(IF(#REF!="","",INDEX(INDIRECT("'Annex 1 LV and HV charges"&amp;MID($A$2,FIND("_",$A$2),2)&amp;"'!$A$10:$K$51"),MATCH(MID($A45,FIND(":",$A45)+2,LEN($A45)-FIND(":",$A45)+2),INDIRECT("'Annex 1 LV and HV charges"&amp;MID($A$2,FIND("_",$A$2),2)&amp;"'!$A$10:$A$51"),0),MATCH(E$13,$A$13:$J$13,0))-E45),"")</f>
        <v/>
      </c>
      <c r="M45" s="328" t="str">
        <f ca="1">IFERROR(IF(#REF!="","",INDEX(INDIRECT("'Annex 1 LV and HV charges"&amp;MID($A$2,FIND("_",$A$2),2)&amp;"'!$A$10:$K$51"),MATCH(MID($A45,FIND(":",$A45)+2,LEN($A45)-FIND(":",$A45)+2),INDIRECT("'Annex 1 LV and HV charges"&amp;MID($A$2,FIND("_",$A$2),2)&amp;"'!$A$10:$A$51"),0),MATCH(F$13,$A$13:$J$13,0))-F45),"")</f>
        <v/>
      </c>
      <c r="N45" s="328" t="str">
        <f ca="1">IFERROR(IF(#REF!="","",INDEX(INDIRECT("'Annex 1 LV and HV charges"&amp;MID($A$2,FIND("_",$A$2),2)&amp;"'!$A$10:$K$51"),MATCH(MID($A45,FIND(":",$A45)+2,LEN($A45)-FIND(":",$A45)+2),INDIRECT("'Annex 1 LV and HV charges"&amp;MID($A$2,FIND("_",$A$2),2)&amp;"'!$A$10:$A$51"),0),MATCH(G$13,$A$13:$J$13,0))-G45),"")</f>
        <v/>
      </c>
      <c r="O45" s="328" t="str">
        <f ca="1">IFERROR(IF(#REF!="","",INDEX(INDIRECT("'Annex 1 LV and HV charges"&amp;MID($A$2,FIND("_",$A$2),2)&amp;"'!$A$10:$K$51"),MATCH(MID($A45,FIND(":",$A45)+2,LEN($A45)-FIND(":",$A45)+2),INDIRECT("'Annex 1 LV and HV charges"&amp;MID($A$2,FIND("_",$A$2),2)&amp;"'!$A$10:$A$51"),0),MATCH(H$13,$A$13:$J$13,0))-H45),"")</f>
        <v/>
      </c>
      <c r="P45" s="328" t="str">
        <f ca="1">IFERROR(IF(#REF!="","",INDEX(INDIRECT("'Annex 1 LV and HV charges"&amp;MID($A$2,FIND("_",$A$2),2)&amp;"'!$A$10:$K$51"),MATCH(MID($A45,FIND(":",$A45)+2,LEN($A45)-FIND(":",$A45)+2),INDIRECT("'Annex 1 LV and HV charges"&amp;MID($A$2,FIND("_",$A$2),2)&amp;"'!$A$10:$A$51"),0),MATCH(I$13,$A$13:$J$13,0))-I45),"")</f>
        <v/>
      </c>
      <c r="Q45" s="328" t="str">
        <f ca="1">IFERROR(IF(#REF!="","",INDEX(INDIRECT("'Annex 1 LV and HV charges"&amp;MID($A$2,FIND("_",$A$2),2)&amp;"'!$A$10:$K$51"),MATCH(MID($A45,FIND(":",$A45)+2,LEN($A45)-FIND(":",$A45)+2),INDIRECT("'Annex 1 LV and HV charges"&amp;MID($A$2,FIND("_",$A$2),2)&amp;"'!$A$10:$A$51"),0),MATCH(J$13,$A$13:$J$13,0))-J45),"")</f>
        <v/>
      </c>
    </row>
    <row r="46" spans="1:17" ht="27" customHeight="1" x14ac:dyDescent="0.2">
      <c r="A46" s="325" t="s">
        <v>657</v>
      </c>
      <c r="B46" s="18"/>
      <c r="C46" s="327">
        <v>0</v>
      </c>
      <c r="D46" s="92">
        <v>2.113</v>
      </c>
      <c r="E46" s="93">
        <v>0.23599999999999999</v>
      </c>
      <c r="F46" s="94" t="s">
        <v>840</v>
      </c>
      <c r="G46" s="319">
        <v>73.97</v>
      </c>
      <c r="H46" s="319">
        <v>11.83</v>
      </c>
      <c r="I46" s="322">
        <v>11.83</v>
      </c>
      <c r="J46" s="26">
        <v>0.11600000000000001</v>
      </c>
      <c r="K46" s="328" t="str">
        <f ca="1">IFERROR(IF(#REF!="","",INDEX(INDIRECT("'Annex 1 LV and HV charges"&amp;MID($A$2,FIND("_",$A$2),2)&amp;"'!$A$10:$K$51"),MATCH(MID($A46,FIND(":",$A46)+2,LEN($A46)-FIND(":",$A46)+2),INDIRECT("'Annex 1 LV and HV charges"&amp;MID($A$2,FIND("_",$A$2),2)&amp;"'!$A$10:$A$51"),0),MATCH(D$13,$A$13:$J$13,0))-D46),"")</f>
        <v/>
      </c>
      <c r="L46" s="328" t="str">
        <f ca="1">IFERROR(IF(#REF!="","",INDEX(INDIRECT("'Annex 1 LV and HV charges"&amp;MID($A$2,FIND("_",$A$2),2)&amp;"'!$A$10:$K$51"),MATCH(MID($A46,FIND(":",$A46)+2,LEN($A46)-FIND(":",$A46)+2),INDIRECT("'Annex 1 LV and HV charges"&amp;MID($A$2,FIND("_",$A$2),2)&amp;"'!$A$10:$A$51"),0),MATCH(E$13,$A$13:$J$13,0))-E46),"")</f>
        <v/>
      </c>
      <c r="M46" s="328" t="str">
        <f ca="1">IFERROR(IF(#REF!="","",INDEX(INDIRECT("'Annex 1 LV and HV charges"&amp;MID($A$2,FIND("_",$A$2),2)&amp;"'!$A$10:$K$51"),MATCH(MID($A46,FIND(":",$A46)+2,LEN($A46)-FIND(":",$A46)+2),INDIRECT("'Annex 1 LV and HV charges"&amp;MID($A$2,FIND("_",$A$2),2)&amp;"'!$A$10:$A$51"),0),MATCH(F$13,$A$13:$J$13,0))-F46),"")</f>
        <v/>
      </c>
      <c r="N46" s="328" t="str">
        <f ca="1">IFERROR(IF(#REF!="","",INDEX(INDIRECT("'Annex 1 LV and HV charges"&amp;MID($A$2,FIND("_",$A$2),2)&amp;"'!$A$10:$K$51"),MATCH(MID($A46,FIND(":",$A46)+2,LEN($A46)-FIND(":",$A46)+2),INDIRECT("'Annex 1 LV and HV charges"&amp;MID($A$2,FIND("_",$A$2),2)&amp;"'!$A$10:$A$51"),0),MATCH(G$13,$A$13:$J$13,0))-G46),"")</f>
        <v/>
      </c>
      <c r="O46" s="328" t="str">
        <f ca="1">IFERROR(IF(#REF!="","",INDEX(INDIRECT("'Annex 1 LV and HV charges"&amp;MID($A$2,FIND("_",$A$2),2)&amp;"'!$A$10:$K$51"),MATCH(MID($A46,FIND(":",$A46)+2,LEN($A46)-FIND(":",$A46)+2),INDIRECT("'Annex 1 LV and HV charges"&amp;MID($A$2,FIND("_",$A$2),2)&amp;"'!$A$10:$A$51"),0),MATCH(H$13,$A$13:$J$13,0))-H46),"")</f>
        <v/>
      </c>
      <c r="P46" s="328" t="str">
        <f ca="1">IFERROR(IF(#REF!="","",INDEX(INDIRECT("'Annex 1 LV and HV charges"&amp;MID($A$2,FIND("_",$A$2),2)&amp;"'!$A$10:$K$51"),MATCH(MID($A46,FIND(":",$A46)+2,LEN($A46)-FIND(":",$A46)+2),INDIRECT("'Annex 1 LV and HV charges"&amp;MID($A$2,FIND("_",$A$2),2)&amp;"'!$A$10:$A$51"),0),MATCH(I$13,$A$13:$J$13,0))-I46),"")</f>
        <v/>
      </c>
      <c r="Q46" s="328" t="str">
        <f ca="1">IFERROR(IF(#REF!="","",INDEX(INDIRECT("'Annex 1 LV and HV charges"&amp;MID($A$2,FIND("_",$A$2),2)&amp;"'!$A$10:$K$51"),MATCH(MID($A46,FIND(":",$A46)+2,LEN($A46)-FIND(":",$A46)+2),INDIRECT("'Annex 1 LV and HV charges"&amp;MID($A$2,FIND("_",$A$2),2)&amp;"'!$A$10:$A$51"),0),MATCH(J$13,$A$13:$J$13,0))-J46),"")</f>
        <v/>
      </c>
    </row>
    <row r="47" spans="1:17" ht="27" customHeight="1" x14ac:dyDescent="0.2">
      <c r="A47" s="325" t="s">
        <v>658</v>
      </c>
      <c r="B47" s="18"/>
      <c r="C47" s="327">
        <v>0</v>
      </c>
      <c r="D47" s="92">
        <v>2.048</v>
      </c>
      <c r="E47" s="93">
        <v>0.17100000000000001</v>
      </c>
      <c r="F47" s="94" t="s">
        <v>840</v>
      </c>
      <c r="G47" s="319">
        <v>73.97</v>
      </c>
      <c r="H47" s="319">
        <v>11.83</v>
      </c>
      <c r="I47" s="322">
        <v>11.83</v>
      </c>
      <c r="J47" s="26">
        <v>0.11600000000000001</v>
      </c>
      <c r="K47" s="328" t="str">
        <f ca="1">IFERROR(IF(#REF!="","",INDEX(INDIRECT("'Annex 1 LV and HV charges"&amp;MID($A$2,FIND("_",$A$2),2)&amp;"'!$A$10:$K$51"),MATCH(MID($A47,FIND(":",$A47)+2,LEN($A47)-FIND(":",$A47)+2),INDIRECT("'Annex 1 LV and HV charges"&amp;MID($A$2,FIND("_",$A$2),2)&amp;"'!$A$10:$A$51"),0),MATCH(D$13,$A$13:$J$13,0))-D47),"")</f>
        <v/>
      </c>
      <c r="L47" s="328" t="str">
        <f ca="1">IFERROR(IF(#REF!="","",INDEX(INDIRECT("'Annex 1 LV and HV charges"&amp;MID($A$2,FIND("_",$A$2),2)&amp;"'!$A$10:$K$51"),MATCH(MID($A47,FIND(":",$A47)+2,LEN($A47)-FIND(":",$A47)+2),INDIRECT("'Annex 1 LV and HV charges"&amp;MID($A$2,FIND("_",$A$2),2)&amp;"'!$A$10:$A$51"),0),MATCH(E$13,$A$13:$J$13,0))-E47),"")</f>
        <v/>
      </c>
      <c r="M47" s="328" t="str">
        <f ca="1">IFERROR(IF(#REF!="","",INDEX(INDIRECT("'Annex 1 LV and HV charges"&amp;MID($A$2,FIND("_",$A$2),2)&amp;"'!$A$10:$K$51"),MATCH(MID($A47,FIND(":",$A47)+2,LEN($A47)-FIND(":",$A47)+2),INDIRECT("'Annex 1 LV and HV charges"&amp;MID($A$2,FIND("_",$A$2),2)&amp;"'!$A$10:$A$51"),0),MATCH(F$13,$A$13:$J$13,0))-F47),"")</f>
        <v/>
      </c>
      <c r="N47" s="328" t="str">
        <f ca="1">IFERROR(IF(#REF!="","",INDEX(INDIRECT("'Annex 1 LV and HV charges"&amp;MID($A$2,FIND("_",$A$2),2)&amp;"'!$A$10:$K$51"),MATCH(MID($A47,FIND(":",$A47)+2,LEN($A47)-FIND(":",$A47)+2),INDIRECT("'Annex 1 LV and HV charges"&amp;MID($A$2,FIND("_",$A$2),2)&amp;"'!$A$10:$A$51"),0),MATCH(G$13,$A$13:$J$13,0))-G47),"")</f>
        <v/>
      </c>
      <c r="O47" s="328" t="str">
        <f ca="1">IFERROR(IF(#REF!="","",INDEX(INDIRECT("'Annex 1 LV and HV charges"&amp;MID($A$2,FIND("_",$A$2),2)&amp;"'!$A$10:$K$51"),MATCH(MID($A47,FIND(":",$A47)+2,LEN($A47)-FIND(":",$A47)+2),INDIRECT("'Annex 1 LV and HV charges"&amp;MID($A$2,FIND("_",$A$2),2)&amp;"'!$A$10:$A$51"),0),MATCH(H$13,$A$13:$J$13,0))-H47),"")</f>
        <v/>
      </c>
      <c r="P47" s="328" t="str">
        <f ca="1">IFERROR(IF(#REF!="","",INDEX(INDIRECT("'Annex 1 LV and HV charges"&amp;MID($A$2,FIND("_",$A$2),2)&amp;"'!$A$10:$K$51"),MATCH(MID($A47,FIND(":",$A47)+2,LEN($A47)-FIND(":",$A47)+2),INDIRECT("'Annex 1 LV and HV charges"&amp;MID($A$2,FIND("_",$A$2),2)&amp;"'!$A$10:$A$51"),0),MATCH(I$13,$A$13:$J$13,0))-I47),"")</f>
        <v/>
      </c>
      <c r="Q47" s="328" t="str">
        <f ca="1">IFERROR(IF(#REF!="","",INDEX(INDIRECT("'Annex 1 LV and HV charges"&amp;MID($A$2,FIND("_",$A$2),2)&amp;"'!$A$10:$K$51"),MATCH(MID($A47,FIND(":",$A47)+2,LEN($A47)-FIND(":",$A47)+2),INDIRECT("'Annex 1 LV and HV charges"&amp;MID($A$2,FIND("_",$A$2),2)&amp;"'!$A$10:$A$51"),0),MATCH(J$13,$A$13:$J$13,0))-J47),"")</f>
        <v/>
      </c>
    </row>
    <row r="48" spans="1:17" ht="27" customHeight="1" x14ac:dyDescent="0.2">
      <c r="A48" s="325" t="s">
        <v>659</v>
      </c>
      <c r="B48" s="18"/>
      <c r="C48" s="327">
        <v>0</v>
      </c>
      <c r="D48" s="92">
        <v>1.421</v>
      </c>
      <c r="E48" s="93">
        <v>0.379</v>
      </c>
      <c r="F48" s="94">
        <v>0.23300000000000001</v>
      </c>
      <c r="G48" s="319">
        <v>593.13</v>
      </c>
      <c r="H48" s="319">
        <v>14.5</v>
      </c>
      <c r="I48" s="322">
        <v>14.5</v>
      </c>
      <c r="J48" s="26">
        <v>7.3999999999999996E-2</v>
      </c>
      <c r="K48" s="328" t="str">
        <f ca="1">IFERROR(IF(#REF!="","",INDEX(INDIRECT("'Annex 1 LV and HV charges"&amp;MID($A$2,FIND("_",$A$2),2)&amp;"'!$A$10:$K$51"),MATCH(MID($A48,FIND(":",$A48)+2,LEN($A48)-FIND(":",$A48)+2),INDIRECT("'Annex 1 LV and HV charges"&amp;MID($A$2,FIND("_",$A$2),2)&amp;"'!$A$10:$A$51"),0),MATCH(D$13,$A$13:$J$13,0))-D48),"")</f>
        <v/>
      </c>
      <c r="L48" s="328" t="str">
        <f ca="1">IFERROR(IF(#REF!="","",INDEX(INDIRECT("'Annex 1 LV and HV charges"&amp;MID($A$2,FIND("_",$A$2),2)&amp;"'!$A$10:$K$51"),MATCH(MID($A48,FIND(":",$A48)+2,LEN($A48)-FIND(":",$A48)+2),INDIRECT("'Annex 1 LV and HV charges"&amp;MID($A$2,FIND("_",$A$2),2)&amp;"'!$A$10:$A$51"),0),MATCH(E$13,$A$13:$J$13,0))-E48),"")</f>
        <v/>
      </c>
      <c r="M48" s="328" t="str">
        <f ca="1">IFERROR(IF(#REF!="","",INDEX(INDIRECT("'Annex 1 LV and HV charges"&amp;MID($A$2,FIND("_",$A$2),2)&amp;"'!$A$10:$K$51"),MATCH(MID($A48,FIND(":",$A48)+2,LEN($A48)-FIND(":",$A48)+2),INDIRECT("'Annex 1 LV and HV charges"&amp;MID($A$2,FIND("_",$A$2),2)&amp;"'!$A$10:$A$51"),0),MATCH(F$13,$A$13:$J$13,0))-F48),"")</f>
        <v/>
      </c>
      <c r="N48" s="328" t="str">
        <f ca="1">IFERROR(IF(#REF!="","",INDEX(INDIRECT("'Annex 1 LV and HV charges"&amp;MID($A$2,FIND("_",$A$2),2)&amp;"'!$A$10:$K$51"),MATCH(MID($A48,FIND(":",$A48)+2,LEN($A48)-FIND(":",$A48)+2),INDIRECT("'Annex 1 LV and HV charges"&amp;MID($A$2,FIND("_",$A$2),2)&amp;"'!$A$10:$A$51"),0),MATCH(G$13,$A$13:$J$13,0))-G48),"")</f>
        <v/>
      </c>
      <c r="O48" s="328" t="str">
        <f ca="1">IFERROR(IF(#REF!="","",INDEX(INDIRECT("'Annex 1 LV and HV charges"&amp;MID($A$2,FIND("_",$A$2),2)&amp;"'!$A$10:$K$51"),MATCH(MID($A48,FIND(":",$A48)+2,LEN($A48)-FIND(":",$A48)+2),INDIRECT("'Annex 1 LV and HV charges"&amp;MID($A$2,FIND("_",$A$2),2)&amp;"'!$A$10:$A$51"),0),MATCH(H$13,$A$13:$J$13,0))-H48),"")</f>
        <v/>
      </c>
      <c r="P48" s="328" t="str">
        <f ca="1">IFERROR(IF(#REF!="","",INDEX(INDIRECT("'Annex 1 LV and HV charges"&amp;MID($A$2,FIND("_",$A$2),2)&amp;"'!$A$10:$K$51"),MATCH(MID($A48,FIND(":",$A48)+2,LEN($A48)-FIND(":",$A48)+2),INDIRECT("'Annex 1 LV and HV charges"&amp;MID($A$2,FIND("_",$A$2),2)&amp;"'!$A$10:$A$51"),0),MATCH(I$13,$A$13:$J$13,0))-I48),"")</f>
        <v/>
      </c>
      <c r="Q48" s="328" t="str">
        <f ca="1">IFERROR(IF(#REF!="","",INDEX(INDIRECT("'Annex 1 LV and HV charges"&amp;MID($A$2,FIND("_",$A$2),2)&amp;"'!$A$10:$K$51"),MATCH(MID($A48,FIND(":",$A48)+2,LEN($A48)-FIND(":",$A48)+2),INDIRECT("'Annex 1 LV and HV charges"&amp;MID($A$2,FIND("_",$A$2),2)&amp;"'!$A$10:$A$51"),0),MATCH(J$13,$A$13:$J$13,0))-J48),"")</f>
        <v/>
      </c>
    </row>
    <row r="49" spans="1:17" ht="27" customHeight="1" x14ac:dyDescent="0.2">
      <c r="A49" s="325" t="s">
        <v>660</v>
      </c>
      <c r="B49" s="18"/>
      <c r="C49" s="327">
        <v>0</v>
      </c>
      <c r="D49" s="92">
        <v>1.421</v>
      </c>
      <c r="E49" s="93">
        <v>0.379</v>
      </c>
      <c r="F49" s="94">
        <v>0.23300000000000001</v>
      </c>
      <c r="G49" s="319">
        <v>80.52</v>
      </c>
      <c r="H49" s="319">
        <v>14.5</v>
      </c>
      <c r="I49" s="322">
        <v>14.5</v>
      </c>
      <c r="J49" s="26">
        <v>7.3999999999999996E-2</v>
      </c>
      <c r="K49" s="328" t="str">
        <f ca="1">IFERROR(IF(#REF!="","",INDEX(INDIRECT("'Annex 1 LV and HV charges"&amp;MID($A$2,FIND("_",$A$2),2)&amp;"'!$A$10:$K$51"),MATCH(MID($A49,FIND(":",$A49)+2,LEN($A49)-FIND(":",$A49)+2),INDIRECT("'Annex 1 LV and HV charges"&amp;MID($A$2,FIND("_",$A$2),2)&amp;"'!$A$10:$A$51"),0),MATCH(D$13,$A$13:$J$13,0))-D49),"")</f>
        <v/>
      </c>
      <c r="L49" s="328" t="str">
        <f ca="1">IFERROR(IF(#REF!="","",INDEX(INDIRECT("'Annex 1 LV and HV charges"&amp;MID($A$2,FIND("_",$A$2),2)&amp;"'!$A$10:$K$51"),MATCH(MID($A49,FIND(":",$A49)+2,LEN($A49)-FIND(":",$A49)+2),INDIRECT("'Annex 1 LV and HV charges"&amp;MID($A$2,FIND("_",$A$2),2)&amp;"'!$A$10:$A$51"),0),MATCH(E$13,$A$13:$J$13,0))-E49),"")</f>
        <v/>
      </c>
      <c r="M49" s="328" t="str">
        <f ca="1">IFERROR(IF(#REF!="","",INDEX(INDIRECT("'Annex 1 LV and HV charges"&amp;MID($A$2,FIND("_",$A$2),2)&amp;"'!$A$10:$K$51"),MATCH(MID($A49,FIND(":",$A49)+2,LEN($A49)-FIND(":",$A49)+2),INDIRECT("'Annex 1 LV and HV charges"&amp;MID($A$2,FIND("_",$A$2),2)&amp;"'!$A$10:$A$51"),0),MATCH(F$13,$A$13:$J$13,0))-F49),"")</f>
        <v/>
      </c>
      <c r="N49" s="328" t="str">
        <f ca="1">IFERROR(IF(#REF!="","",INDEX(INDIRECT("'Annex 1 LV and HV charges"&amp;MID($A$2,FIND("_",$A$2),2)&amp;"'!$A$10:$K$51"),MATCH(MID($A49,FIND(":",$A49)+2,LEN($A49)-FIND(":",$A49)+2),INDIRECT("'Annex 1 LV and HV charges"&amp;MID($A$2,FIND("_",$A$2),2)&amp;"'!$A$10:$A$51"),0),MATCH(G$13,$A$13:$J$13,0))-G49),"")</f>
        <v/>
      </c>
      <c r="O49" s="328" t="str">
        <f ca="1">IFERROR(IF(#REF!="","",INDEX(INDIRECT("'Annex 1 LV and HV charges"&amp;MID($A$2,FIND("_",$A$2),2)&amp;"'!$A$10:$K$51"),MATCH(MID($A49,FIND(":",$A49)+2,LEN($A49)-FIND(":",$A49)+2),INDIRECT("'Annex 1 LV and HV charges"&amp;MID($A$2,FIND("_",$A$2),2)&amp;"'!$A$10:$A$51"),0),MATCH(H$13,$A$13:$J$13,0))-H49),"")</f>
        <v/>
      </c>
      <c r="P49" s="328" t="str">
        <f ca="1">IFERROR(IF(#REF!="","",INDEX(INDIRECT("'Annex 1 LV and HV charges"&amp;MID($A$2,FIND("_",$A$2),2)&amp;"'!$A$10:$K$51"),MATCH(MID($A49,FIND(":",$A49)+2,LEN($A49)-FIND(":",$A49)+2),INDIRECT("'Annex 1 LV and HV charges"&amp;MID($A$2,FIND("_",$A$2),2)&amp;"'!$A$10:$A$51"),0),MATCH(I$13,$A$13:$J$13,0))-I49),"")</f>
        <v/>
      </c>
      <c r="Q49" s="328" t="str">
        <f ca="1">IFERROR(IF(#REF!="","",INDEX(INDIRECT("'Annex 1 LV and HV charges"&amp;MID($A$2,FIND("_",$A$2),2)&amp;"'!$A$10:$K$51"),MATCH(MID($A49,FIND(":",$A49)+2,LEN($A49)-FIND(":",$A49)+2),INDIRECT("'Annex 1 LV and HV charges"&amp;MID($A$2,FIND("_",$A$2),2)&amp;"'!$A$10:$A$51"),0),MATCH(J$13,$A$13:$J$13,0))-J49),"")</f>
        <v/>
      </c>
    </row>
    <row r="50" spans="1:17" ht="27" customHeight="1" x14ac:dyDescent="0.2">
      <c r="A50" s="325" t="s">
        <v>661</v>
      </c>
      <c r="B50" s="25"/>
      <c r="C50" s="327">
        <v>0</v>
      </c>
      <c r="D50" s="92">
        <v>1.056</v>
      </c>
      <c r="E50" s="93">
        <v>1.2999999999999999E-2</v>
      </c>
      <c r="F50" s="94" t="s">
        <v>840</v>
      </c>
      <c r="G50" s="319" t="s">
        <v>840</v>
      </c>
      <c r="H50" s="319">
        <v>14.5</v>
      </c>
      <c r="I50" s="322">
        <v>14.5</v>
      </c>
      <c r="J50" s="26">
        <v>7.3999999999999996E-2</v>
      </c>
      <c r="K50" s="328" t="str">
        <f ca="1">IFERROR(IF(#REF!="","",INDEX(INDIRECT("'Annex 1 LV and HV charges"&amp;MID($A$2,FIND("_",$A$2),2)&amp;"'!$A$10:$K$51"),MATCH(MID($A50,FIND(":",$A50)+2,LEN($A50)-FIND(":",$A50)+2),INDIRECT("'Annex 1 LV and HV charges"&amp;MID($A$2,FIND("_",$A$2),2)&amp;"'!$A$10:$A$51"),0),MATCH(D$13,$A$13:$J$13,0))-D50),"")</f>
        <v/>
      </c>
      <c r="L50" s="328" t="str">
        <f ca="1">IFERROR(IF(#REF!="","",INDEX(INDIRECT("'Annex 1 LV and HV charges"&amp;MID($A$2,FIND("_",$A$2),2)&amp;"'!$A$10:$K$51"),MATCH(MID($A50,FIND(":",$A50)+2,LEN($A50)-FIND(":",$A50)+2),INDIRECT("'Annex 1 LV and HV charges"&amp;MID($A$2,FIND("_",$A$2),2)&amp;"'!$A$10:$A$51"),0),MATCH(E$13,$A$13:$J$13,0))-E50),"")</f>
        <v/>
      </c>
      <c r="M50" s="328" t="str">
        <f ca="1">IFERROR(IF(#REF!="","",INDEX(INDIRECT("'Annex 1 LV and HV charges"&amp;MID($A$2,FIND("_",$A$2),2)&amp;"'!$A$10:$K$51"),MATCH(MID($A50,FIND(":",$A50)+2,LEN($A50)-FIND(":",$A50)+2),INDIRECT("'Annex 1 LV and HV charges"&amp;MID($A$2,FIND("_",$A$2),2)&amp;"'!$A$10:$A$51"),0),MATCH(F$13,$A$13:$J$13,0))-F50),"")</f>
        <v/>
      </c>
      <c r="N50" s="328" t="str">
        <f ca="1">IFERROR(IF(#REF!="","",INDEX(INDIRECT("'Annex 1 LV and HV charges"&amp;MID($A$2,FIND("_",$A$2),2)&amp;"'!$A$10:$K$51"),MATCH(MID($A50,FIND(":",$A50)+2,LEN($A50)-FIND(":",$A50)+2),INDIRECT("'Annex 1 LV and HV charges"&amp;MID($A$2,FIND("_",$A$2),2)&amp;"'!$A$10:$A$51"),0),MATCH(G$13,$A$13:$J$13,0))-G50),"")</f>
        <v/>
      </c>
      <c r="O50" s="328" t="str">
        <f ca="1">IFERROR(IF(#REF!="","",INDEX(INDIRECT("'Annex 1 LV and HV charges"&amp;MID($A$2,FIND("_",$A$2),2)&amp;"'!$A$10:$K$51"),MATCH(MID($A50,FIND(":",$A50)+2,LEN($A50)-FIND(":",$A50)+2),INDIRECT("'Annex 1 LV and HV charges"&amp;MID($A$2,FIND("_",$A$2),2)&amp;"'!$A$10:$A$51"),0),MATCH(H$13,$A$13:$J$13,0))-H50),"")</f>
        <v/>
      </c>
      <c r="P50" s="328" t="str">
        <f ca="1">IFERROR(IF(#REF!="","",INDEX(INDIRECT("'Annex 1 LV and HV charges"&amp;MID($A$2,FIND("_",$A$2),2)&amp;"'!$A$10:$K$51"),MATCH(MID($A50,FIND(":",$A50)+2,LEN($A50)-FIND(":",$A50)+2),INDIRECT("'Annex 1 LV and HV charges"&amp;MID($A$2,FIND("_",$A$2),2)&amp;"'!$A$10:$A$51"),0),MATCH(I$13,$A$13:$J$13,0))-I50),"")</f>
        <v/>
      </c>
      <c r="Q50" s="328" t="str">
        <f ca="1">IFERROR(IF(#REF!="","",INDEX(INDIRECT("'Annex 1 LV and HV charges"&amp;MID($A$2,FIND("_",$A$2),2)&amp;"'!$A$10:$K$51"),MATCH(MID($A50,FIND(":",$A50)+2,LEN($A50)-FIND(":",$A50)+2),INDIRECT("'Annex 1 LV and HV charges"&amp;MID($A$2,FIND("_",$A$2),2)&amp;"'!$A$10:$A$51"),0),MATCH(J$13,$A$13:$J$13,0))-J50),"")</f>
        <v/>
      </c>
    </row>
    <row r="51" spans="1:17" ht="27" customHeight="1" x14ac:dyDescent="0.2">
      <c r="A51" s="325" t="s">
        <v>662</v>
      </c>
      <c r="B51" s="18"/>
      <c r="C51" s="327">
        <v>0</v>
      </c>
      <c r="D51" s="92">
        <v>0.47399999999999998</v>
      </c>
      <c r="E51" s="93" t="s">
        <v>840</v>
      </c>
      <c r="F51" s="94" t="s">
        <v>840</v>
      </c>
      <c r="G51" s="319" t="s">
        <v>840</v>
      </c>
      <c r="H51" s="319">
        <v>14.5</v>
      </c>
      <c r="I51" s="322">
        <v>14.5</v>
      </c>
      <c r="J51" s="26">
        <v>7.3999999999999996E-2</v>
      </c>
      <c r="K51" s="328" t="str">
        <f ca="1">IFERROR(IF(#REF!="","",INDEX(INDIRECT("'Annex 1 LV and HV charges"&amp;MID($A$2,FIND("_",$A$2),2)&amp;"'!$A$10:$K$51"),MATCH(MID($A51,FIND(":",$A51)+2,LEN($A51)-FIND(":",$A51)+2),INDIRECT("'Annex 1 LV and HV charges"&amp;MID($A$2,FIND("_",$A$2),2)&amp;"'!$A$10:$A$51"),0),MATCH(D$13,$A$13:$J$13,0))-D51),"")</f>
        <v/>
      </c>
      <c r="L51" s="328" t="str">
        <f ca="1">IFERROR(IF(#REF!="","",INDEX(INDIRECT("'Annex 1 LV and HV charges"&amp;MID($A$2,FIND("_",$A$2),2)&amp;"'!$A$10:$K$51"),MATCH(MID($A51,FIND(":",$A51)+2,LEN($A51)-FIND(":",$A51)+2),INDIRECT("'Annex 1 LV and HV charges"&amp;MID($A$2,FIND("_",$A$2),2)&amp;"'!$A$10:$A$51"),0),MATCH(E$13,$A$13:$J$13,0))-E51),"")</f>
        <v/>
      </c>
      <c r="M51" s="328" t="str">
        <f ca="1">IFERROR(IF(#REF!="","",INDEX(INDIRECT("'Annex 1 LV and HV charges"&amp;MID($A$2,FIND("_",$A$2),2)&amp;"'!$A$10:$K$51"),MATCH(MID($A51,FIND(":",$A51)+2,LEN($A51)-FIND(":",$A51)+2),INDIRECT("'Annex 1 LV and HV charges"&amp;MID($A$2,FIND("_",$A$2),2)&amp;"'!$A$10:$A$51"),0),MATCH(F$13,$A$13:$J$13,0))-F51),"")</f>
        <v/>
      </c>
      <c r="N51" s="328" t="str">
        <f ca="1">IFERROR(IF(#REF!="","",INDEX(INDIRECT("'Annex 1 LV and HV charges"&amp;MID($A$2,FIND("_",$A$2),2)&amp;"'!$A$10:$K$51"),MATCH(MID($A51,FIND(":",$A51)+2,LEN($A51)-FIND(":",$A51)+2),INDIRECT("'Annex 1 LV and HV charges"&amp;MID($A$2,FIND("_",$A$2),2)&amp;"'!$A$10:$A$51"),0),MATCH(G$13,$A$13:$J$13,0))-G51),"")</f>
        <v/>
      </c>
      <c r="O51" s="328" t="str">
        <f ca="1">IFERROR(IF(#REF!="","",INDEX(INDIRECT("'Annex 1 LV and HV charges"&amp;MID($A$2,FIND("_",$A$2),2)&amp;"'!$A$10:$K$51"),MATCH(MID($A51,FIND(":",$A51)+2,LEN($A51)-FIND(":",$A51)+2),INDIRECT("'Annex 1 LV and HV charges"&amp;MID($A$2,FIND("_",$A$2),2)&amp;"'!$A$10:$A$51"),0),MATCH(H$13,$A$13:$J$13,0))-H51),"")</f>
        <v/>
      </c>
      <c r="P51" s="328" t="str">
        <f ca="1">IFERROR(IF(#REF!="","",INDEX(INDIRECT("'Annex 1 LV and HV charges"&amp;MID($A$2,FIND("_",$A$2),2)&amp;"'!$A$10:$K$51"),MATCH(MID($A51,FIND(":",$A51)+2,LEN($A51)-FIND(":",$A51)+2),INDIRECT("'Annex 1 LV and HV charges"&amp;MID($A$2,FIND("_",$A$2),2)&amp;"'!$A$10:$A$51"),0),MATCH(I$13,$A$13:$J$13,0))-I51),"")</f>
        <v/>
      </c>
      <c r="Q51" s="328" t="str">
        <f ca="1">IFERROR(IF(#REF!="","",INDEX(INDIRECT("'Annex 1 LV and HV charges"&amp;MID($A$2,FIND("_",$A$2),2)&amp;"'!$A$10:$K$51"),MATCH(MID($A51,FIND(":",$A51)+2,LEN($A51)-FIND(":",$A51)+2),INDIRECT("'Annex 1 LV and HV charges"&amp;MID($A$2,FIND("_",$A$2),2)&amp;"'!$A$10:$A$51"),0),MATCH(J$13,$A$13:$J$13,0))-J51),"")</f>
        <v/>
      </c>
    </row>
    <row r="52" spans="1:17" ht="27" customHeight="1" x14ac:dyDescent="0.2">
      <c r="A52" s="325" t="s">
        <v>663</v>
      </c>
      <c r="B52" s="18"/>
      <c r="C52" s="327">
        <v>0</v>
      </c>
      <c r="D52" s="92" t="s">
        <v>840</v>
      </c>
      <c r="E52" s="93" t="s">
        <v>840</v>
      </c>
      <c r="F52" s="94" t="s">
        <v>840</v>
      </c>
      <c r="G52" s="319" t="s">
        <v>840</v>
      </c>
      <c r="H52" s="319">
        <v>14.5</v>
      </c>
      <c r="I52" s="322">
        <v>14.5</v>
      </c>
      <c r="J52" s="26">
        <v>7.3999999999999996E-2</v>
      </c>
      <c r="K52" s="328" t="str">
        <f ca="1">IFERROR(IF(#REF!="","",INDEX(INDIRECT("'Annex 1 LV and HV charges"&amp;MID($A$2,FIND("_",$A$2),2)&amp;"'!$A$10:$K$51"),MATCH(MID($A52,FIND(":",$A52)+2,LEN($A52)-FIND(":",$A52)+2),INDIRECT("'Annex 1 LV and HV charges"&amp;MID($A$2,FIND("_",$A$2),2)&amp;"'!$A$10:$A$51"),0),MATCH(D$13,$A$13:$J$13,0))-D52),"")</f>
        <v/>
      </c>
      <c r="L52" s="328" t="str">
        <f ca="1">IFERROR(IF(#REF!="","",INDEX(INDIRECT("'Annex 1 LV and HV charges"&amp;MID($A$2,FIND("_",$A$2),2)&amp;"'!$A$10:$K$51"),MATCH(MID($A52,FIND(":",$A52)+2,LEN($A52)-FIND(":",$A52)+2),INDIRECT("'Annex 1 LV and HV charges"&amp;MID($A$2,FIND("_",$A$2),2)&amp;"'!$A$10:$A$51"),0),MATCH(E$13,$A$13:$J$13,0))-E52),"")</f>
        <v/>
      </c>
      <c r="M52" s="328" t="str">
        <f ca="1">IFERROR(IF(#REF!="","",INDEX(INDIRECT("'Annex 1 LV and HV charges"&amp;MID($A$2,FIND("_",$A$2),2)&amp;"'!$A$10:$K$51"),MATCH(MID($A52,FIND(":",$A52)+2,LEN($A52)-FIND(":",$A52)+2),INDIRECT("'Annex 1 LV and HV charges"&amp;MID($A$2,FIND("_",$A$2),2)&amp;"'!$A$10:$A$51"),0),MATCH(F$13,$A$13:$J$13,0))-F52),"")</f>
        <v/>
      </c>
      <c r="N52" s="328" t="str">
        <f ca="1">IFERROR(IF(#REF!="","",INDEX(INDIRECT("'Annex 1 LV and HV charges"&amp;MID($A$2,FIND("_",$A$2),2)&amp;"'!$A$10:$K$51"),MATCH(MID($A52,FIND(":",$A52)+2,LEN($A52)-FIND(":",$A52)+2),INDIRECT("'Annex 1 LV and HV charges"&amp;MID($A$2,FIND("_",$A$2),2)&amp;"'!$A$10:$A$51"),0),MATCH(G$13,$A$13:$J$13,0))-G52),"")</f>
        <v/>
      </c>
      <c r="O52" s="328" t="str">
        <f ca="1">IFERROR(IF(#REF!="","",INDEX(INDIRECT("'Annex 1 LV and HV charges"&amp;MID($A$2,FIND("_",$A$2),2)&amp;"'!$A$10:$K$51"),MATCH(MID($A52,FIND(":",$A52)+2,LEN($A52)-FIND(":",$A52)+2),INDIRECT("'Annex 1 LV and HV charges"&amp;MID($A$2,FIND("_",$A$2),2)&amp;"'!$A$10:$A$51"),0),MATCH(H$13,$A$13:$J$13,0))-H52),"")</f>
        <v/>
      </c>
      <c r="P52" s="328" t="str">
        <f ca="1">IFERROR(IF(#REF!="","",INDEX(INDIRECT("'Annex 1 LV and HV charges"&amp;MID($A$2,FIND("_",$A$2),2)&amp;"'!$A$10:$K$51"),MATCH(MID($A52,FIND(":",$A52)+2,LEN($A52)-FIND(":",$A52)+2),INDIRECT("'Annex 1 LV and HV charges"&amp;MID($A$2,FIND("_",$A$2),2)&amp;"'!$A$10:$A$51"),0),MATCH(I$13,$A$13:$J$13,0))-I52),"")</f>
        <v/>
      </c>
      <c r="Q52" s="328" t="str">
        <f ca="1">IFERROR(IF(#REF!="","",INDEX(INDIRECT("'Annex 1 LV and HV charges"&amp;MID($A$2,FIND("_",$A$2),2)&amp;"'!$A$10:$K$51"),MATCH(MID($A52,FIND(":",$A52)+2,LEN($A52)-FIND(":",$A52)+2),INDIRECT("'Annex 1 LV and HV charges"&amp;MID($A$2,FIND("_",$A$2),2)&amp;"'!$A$10:$A$51"),0),MATCH(J$13,$A$13:$J$13,0))-J52),"")</f>
        <v/>
      </c>
    </row>
    <row r="53" spans="1:17" ht="27" customHeight="1" x14ac:dyDescent="0.2">
      <c r="A53" s="325" t="s">
        <v>583</v>
      </c>
      <c r="B53" s="25"/>
      <c r="C53" s="327" t="s">
        <v>847</v>
      </c>
      <c r="D53" s="95">
        <v>12.433999999999999</v>
      </c>
      <c r="E53" s="96">
        <v>4.032</v>
      </c>
      <c r="F53" s="94">
        <v>3.077</v>
      </c>
      <c r="G53" s="320" t="s">
        <v>840</v>
      </c>
      <c r="H53" s="320" t="s">
        <v>840</v>
      </c>
      <c r="I53" s="321" t="s">
        <v>840</v>
      </c>
      <c r="J53" s="27" t="s">
        <v>840</v>
      </c>
      <c r="K53" s="328" t="str">
        <f ca="1">IFERROR(IF(#REF!="","",INDEX(INDIRECT("'Annex 1 LV and HV charges"&amp;MID($A$2,FIND("_",$A$2),2)&amp;"'!$A$10:$K$51"),MATCH(MID($A53,FIND(":",$A53)+2,LEN($A53)-FIND(":",$A53)+2),INDIRECT("'Annex 1 LV and HV charges"&amp;MID($A$2,FIND("_",$A$2),2)&amp;"'!$A$10:$A$51"),0),MATCH(D$13,$A$13:$J$13,0))-D53),"")</f>
        <v/>
      </c>
      <c r="L53" s="328" t="str">
        <f ca="1">IFERROR(IF(#REF!="","",INDEX(INDIRECT("'Annex 1 LV and HV charges"&amp;MID($A$2,FIND("_",$A$2),2)&amp;"'!$A$10:$K$51"),MATCH(MID($A53,FIND(":",$A53)+2,LEN($A53)-FIND(":",$A53)+2),INDIRECT("'Annex 1 LV and HV charges"&amp;MID($A$2,FIND("_",$A$2),2)&amp;"'!$A$10:$A$51"),0),MATCH(E$13,$A$13:$J$13,0))-E53),"")</f>
        <v/>
      </c>
      <c r="M53" s="328" t="str">
        <f ca="1">IFERROR(IF(#REF!="","",INDEX(INDIRECT("'Annex 1 LV and HV charges"&amp;MID($A$2,FIND("_",$A$2),2)&amp;"'!$A$10:$K$51"),MATCH(MID($A53,FIND(":",$A53)+2,LEN($A53)-FIND(":",$A53)+2),INDIRECT("'Annex 1 LV and HV charges"&amp;MID($A$2,FIND("_",$A$2),2)&amp;"'!$A$10:$A$51"),0),MATCH(F$13,$A$13:$J$13,0))-F53),"")</f>
        <v/>
      </c>
      <c r="N53" s="328" t="str">
        <f ca="1">IFERROR(IF(#REF!="","",INDEX(INDIRECT("'Annex 1 LV and HV charges"&amp;MID($A$2,FIND("_",$A$2),2)&amp;"'!$A$10:$K$51"),MATCH(MID($A53,FIND(":",$A53)+2,LEN($A53)-FIND(":",$A53)+2),INDIRECT("'Annex 1 LV and HV charges"&amp;MID($A$2,FIND("_",$A$2),2)&amp;"'!$A$10:$A$51"),0),MATCH(G$13,$A$13:$J$13,0))-G53),"")</f>
        <v/>
      </c>
      <c r="O53" s="328" t="str">
        <f ca="1">IFERROR(IF(#REF!="","",INDEX(INDIRECT("'Annex 1 LV and HV charges"&amp;MID($A$2,FIND("_",$A$2),2)&amp;"'!$A$10:$K$51"),MATCH(MID($A53,FIND(":",$A53)+2,LEN($A53)-FIND(":",$A53)+2),INDIRECT("'Annex 1 LV and HV charges"&amp;MID($A$2,FIND("_",$A$2),2)&amp;"'!$A$10:$A$51"),0),MATCH(H$13,$A$13:$J$13,0))-H53),"")</f>
        <v/>
      </c>
      <c r="P53" s="328" t="str">
        <f ca="1">IFERROR(IF(#REF!="","",INDEX(INDIRECT("'Annex 1 LV and HV charges"&amp;MID($A$2,FIND("_",$A$2),2)&amp;"'!$A$10:$K$51"),MATCH(MID($A53,FIND(":",$A53)+2,LEN($A53)-FIND(":",$A53)+2),INDIRECT("'Annex 1 LV and HV charges"&amp;MID($A$2,FIND("_",$A$2),2)&amp;"'!$A$10:$A$51"),0),MATCH(I$13,$A$13:$J$13,0))-I53),"")</f>
        <v/>
      </c>
      <c r="Q53" s="328" t="str">
        <f ca="1">IFERROR(IF(#REF!="","",INDEX(INDIRECT("'Annex 1 LV and HV charges"&amp;MID($A$2,FIND("_",$A$2),2)&amp;"'!$A$10:$K$51"),MATCH(MID($A53,FIND(":",$A53)+2,LEN($A53)-FIND(":",$A53)+2),INDIRECT("'Annex 1 LV and HV charges"&amp;MID($A$2,FIND("_",$A$2),2)&amp;"'!$A$10:$A$51"),0),MATCH(J$13,$A$13:$J$13,0))-J53),"")</f>
        <v/>
      </c>
    </row>
    <row r="54" spans="1:17" ht="27" customHeight="1" x14ac:dyDescent="0.2">
      <c r="A54" s="325" t="s">
        <v>612</v>
      </c>
      <c r="B54" s="25"/>
      <c r="C54" s="327" t="s">
        <v>2118</v>
      </c>
      <c r="D54" s="92">
        <v>-8.3970000000000002</v>
      </c>
      <c r="E54" s="93">
        <v>-2.9289999999999998</v>
      </c>
      <c r="F54" s="94">
        <v>-0.629</v>
      </c>
      <c r="G54" s="319" t="s">
        <v>840</v>
      </c>
      <c r="H54" s="320" t="s">
        <v>840</v>
      </c>
      <c r="I54" s="321" t="s">
        <v>840</v>
      </c>
      <c r="J54" s="27" t="s">
        <v>840</v>
      </c>
      <c r="K54" s="328" t="str">
        <f ca="1">IFERROR(IF(#REF!="","",INDEX(INDIRECT("'Annex 1 LV and HV charges"&amp;MID($A$2,FIND("_",$A$2),2)&amp;"'!$A$10:$K$51"),MATCH(MID($A54,FIND(":",$A54)+2,LEN($A54)-FIND(":",$A54)+2),INDIRECT("'Annex 1 LV and HV charges"&amp;MID($A$2,FIND("_",$A$2),2)&amp;"'!$A$10:$A$51"),0),MATCH(D$13,$A$13:$J$13,0))-D54),"")</f>
        <v/>
      </c>
      <c r="L54" s="328" t="str">
        <f ca="1">IFERROR(IF(#REF!="","",INDEX(INDIRECT("'Annex 1 LV and HV charges"&amp;MID($A$2,FIND("_",$A$2),2)&amp;"'!$A$10:$K$51"),MATCH(MID($A54,FIND(":",$A54)+2,LEN($A54)-FIND(":",$A54)+2),INDIRECT("'Annex 1 LV and HV charges"&amp;MID($A$2,FIND("_",$A$2),2)&amp;"'!$A$10:$A$51"),0),MATCH(E$13,$A$13:$J$13,0))-E54),"")</f>
        <v/>
      </c>
      <c r="M54" s="328" t="str">
        <f ca="1">IFERROR(IF(#REF!="","",INDEX(INDIRECT("'Annex 1 LV and HV charges"&amp;MID($A$2,FIND("_",$A$2),2)&amp;"'!$A$10:$K$51"),MATCH(MID($A54,FIND(":",$A54)+2,LEN($A54)-FIND(":",$A54)+2),INDIRECT("'Annex 1 LV and HV charges"&amp;MID($A$2,FIND("_",$A$2),2)&amp;"'!$A$10:$A$51"),0),MATCH(F$13,$A$13:$J$13,0))-F54),"")</f>
        <v/>
      </c>
      <c r="N54" s="328" t="str">
        <f ca="1">IFERROR(IF(#REF!="","",INDEX(INDIRECT("'Annex 1 LV and HV charges"&amp;MID($A$2,FIND("_",$A$2),2)&amp;"'!$A$10:$K$51"),MATCH(MID($A54,FIND(":",$A54)+2,LEN($A54)-FIND(":",$A54)+2),INDIRECT("'Annex 1 LV and HV charges"&amp;MID($A$2,FIND("_",$A$2),2)&amp;"'!$A$10:$A$51"),0),MATCH(G$13,$A$13:$J$13,0))-G54),"")</f>
        <v/>
      </c>
      <c r="O54" s="328" t="str">
        <f ca="1">IFERROR(IF(#REF!="","",INDEX(INDIRECT("'Annex 1 LV and HV charges"&amp;MID($A$2,FIND("_",$A$2),2)&amp;"'!$A$10:$K$51"),MATCH(MID($A54,FIND(":",$A54)+2,LEN($A54)-FIND(":",$A54)+2),INDIRECT("'Annex 1 LV and HV charges"&amp;MID($A$2,FIND("_",$A$2),2)&amp;"'!$A$10:$A$51"),0),MATCH(H$13,$A$13:$J$13,0))-H54),"")</f>
        <v/>
      </c>
      <c r="P54" s="328" t="str">
        <f ca="1">IFERROR(IF(#REF!="","",INDEX(INDIRECT("'Annex 1 LV and HV charges"&amp;MID($A$2,FIND("_",$A$2),2)&amp;"'!$A$10:$K$51"),MATCH(MID($A54,FIND(":",$A54)+2,LEN($A54)-FIND(":",$A54)+2),INDIRECT("'Annex 1 LV and HV charges"&amp;MID($A$2,FIND("_",$A$2),2)&amp;"'!$A$10:$A$51"),0),MATCH(I$13,$A$13:$J$13,0))-I54),"")</f>
        <v/>
      </c>
      <c r="Q54" s="328" t="str">
        <f ca="1">IFERROR(IF(#REF!="","",INDEX(INDIRECT("'Annex 1 LV and HV charges"&amp;MID($A$2,FIND("_",$A$2),2)&amp;"'!$A$10:$K$51"),MATCH(MID($A54,FIND(":",$A54)+2,LEN($A54)-FIND(":",$A54)+2),INDIRECT("'Annex 1 LV and HV charges"&amp;MID($A$2,FIND("_",$A$2),2)&amp;"'!$A$10:$A$51"),0),MATCH(J$13,$A$13:$J$13,0))-J54),"")</f>
        <v/>
      </c>
    </row>
    <row r="55" spans="1:17" ht="27" customHeight="1" x14ac:dyDescent="0.2">
      <c r="A55" s="325" t="s">
        <v>613</v>
      </c>
      <c r="B55" s="323"/>
      <c r="C55" s="327" t="s">
        <v>2118</v>
      </c>
      <c r="D55" s="92">
        <v>-7.2679999999999998</v>
      </c>
      <c r="E55" s="93">
        <v>-2.4710000000000001</v>
      </c>
      <c r="F55" s="94">
        <v>-0.56200000000000006</v>
      </c>
      <c r="G55" s="319" t="s">
        <v>840</v>
      </c>
      <c r="H55" s="320" t="s">
        <v>840</v>
      </c>
      <c r="I55" s="321" t="s">
        <v>840</v>
      </c>
      <c r="J55" s="27" t="s">
        <v>840</v>
      </c>
      <c r="K55" s="328" t="str">
        <f ca="1">IFERROR(IF(#REF!="","",INDEX(INDIRECT("'Annex 1 LV and HV charges"&amp;MID($A$2,FIND("_",$A$2),2)&amp;"'!$A$10:$K$51"),MATCH(MID($A55,FIND(":",$A55)+2,LEN($A55)-FIND(":",$A55)+2),INDIRECT("'Annex 1 LV and HV charges"&amp;MID($A$2,FIND("_",$A$2),2)&amp;"'!$A$10:$A$51"),0),MATCH(D$13,$A$13:$J$13,0))-D55),"")</f>
        <v/>
      </c>
      <c r="L55" s="328" t="str">
        <f ca="1">IFERROR(IF(#REF!="","",INDEX(INDIRECT("'Annex 1 LV and HV charges"&amp;MID($A$2,FIND("_",$A$2),2)&amp;"'!$A$10:$K$51"),MATCH(MID($A55,FIND(":",$A55)+2,LEN($A55)-FIND(":",$A55)+2),INDIRECT("'Annex 1 LV and HV charges"&amp;MID($A$2,FIND("_",$A$2),2)&amp;"'!$A$10:$A$51"),0),MATCH(E$13,$A$13:$J$13,0))-E55),"")</f>
        <v/>
      </c>
      <c r="M55" s="328" t="str">
        <f ca="1">IFERROR(IF(#REF!="","",INDEX(INDIRECT("'Annex 1 LV and HV charges"&amp;MID($A$2,FIND("_",$A$2),2)&amp;"'!$A$10:$K$51"),MATCH(MID($A55,FIND(":",$A55)+2,LEN($A55)-FIND(":",$A55)+2),INDIRECT("'Annex 1 LV and HV charges"&amp;MID($A$2,FIND("_",$A$2),2)&amp;"'!$A$10:$A$51"),0),MATCH(F$13,$A$13:$J$13,0))-F55),"")</f>
        <v/>
      </c>
      <c r="N55" s="328" t="str">
        <f ca="1">IFERROR(IF(#REF!="","",INDEX(INDIRECT("'Annex 1 LV and HV charges"&amp;MID($A$2,FIND("_",$A$2),2)&amp;"'!$A$10:$K$51"),MATCH(MID($A55,FIND(":",$A55)+2,LEN($A55)-FIND(":",$A55)+2),INDIRECT("'Annex 1 LV and HV charges"&amp;MID($A$2,FIND("_",$A$2),2)&amp;"'!$A$10:$A$51"),0),MATCH(G$13,$A$13:$J$13,0))-G55),"")</f>
        <v/>
      </c>
      <c r="O55" s="328" t="str">
        <f ca="1">IFERROR(IF(#REF!="","",INDEX(INDIRECT("'Annex 1 LV and HV charges"&amp;MID($A$2,FIND("_",$A$2),2)&amp;"'!$A$10:$K$51"),MATCH(MID($A55,FIND(":",$A55)+2,LEN($A55)-FIND(":",$A55)+2),INDIRECT("'Annex 1 LV and HV charges"&amp;MID($A$2,FIND("_",$A$2),2)&amp;"'!$A$10:$A$51"),0),MATCH(H$13,$A$13:$J$13,0))-H55),"")</f>
        <v/>
      </c>
      <c r="P55" s="328" t="str">
        <f ca="1">IFERROR(IF(#REF!="","",INDEX(INDIRECT("'Annex 1 LV and HV charges"&amp;MID($A$2,FIND("_",$A$2),2)&amp;"'!$A$10:$K$51"),MATCH(MID($A55,FIND(":",$A55)+2,LEN($A55)-FIND(":",$A55)+2),INDIRECT("'Annex 1 LV and HV charges"&amp;MID($A$2,FIND("_",$A$2),2)&amp;"'!$A$10:$A$51"),0),MATCH(I$13,$A$13:$J$13,0))-I55),"")</f>
        <v/>
      </c>
      <c r="Q55" s="328" t="str">
        <f ca="1">IFERROR(IF(#REF!="","",INDEX(INDIRECT("'Annex 1 LV and HV charges"&amp;MID($A$2,FIND("_",$A$2),2)&amp;"'!$A$10:$K$51"),MATCH(MID($A55,FIND(":",$A55)+2,LEN($A55)-FIND(":",$A55)+2),INDIRECT("'Annex 1 LV and HV charges"&amp;MID($A$2,FIND("_",$A$2),2)&amp;"'!$A$10:$A$51"),0),MATCH(J$13,$A$13:$J$13,0))-J55),"")</f>
        <v/>
      </c>
    </row>
    <row r="56" spans="1:17" ht="27" customHeight="1" x14ac:dyDescent="0.2">
      <c r="A56" s="325" t="s">
        <v>614</v>
      </c>
      <c r="B56" s="25"/>
      <c r="C56" s="327">
        <v>0</v>
      </c>
      <c r="D56" s="92">
        <v>-8.3970000000000002</v>
      </c>
      <c r="E56" s="93">
        <v>-2.9289999999999998</v>
      </c>
      <c r="F56" s="94">
        <v>-0.629</v>
      </c>
      <c r="G56" s="319" t="s">
        <v>840</v>
      </c>
      <c r="H56" s="320" t="s">
        <v>840</v>
      </c>
      <c r="I56" s="321" t="s">
        <v>840</v>
      </c>
      <c r="J56" s="26">
        <v>0.502</v>
      </c>
      <c r="K56" s="328" t="str">
        <f ca="1">IFERROR(IF(#REF!="","",INDEX(INDIRECT("'Annex 1 LV and HV charges"&amp;MID($A$2,FIND("_",$A$2),2)&amp;"'!$A$10:$K$51"),MATCH(MID($A56,FIND(":",$A56)+2,LEN($A56)-FIND(":",$A56)+2),INDIRECT("'Annex 1 LV and HV charges"&amp;MID($A$2,FIND("_",$A$2),2)&amp;"'!$A$10:$A$51"),0),MATCH(D$13,$A$13:$J$13,0))-D56),"")</f>
        <v/>
      </c>
      <c r="L56" s="328" t="str">
        <f ca="1">IFERROR(IF(#REF!="","",INDEX(INDIRECT("'Annex 1 LV and HV charges"&amp;MID($A$2,FIND("_",$A$2),2)&amp;"'!$A$10:$K$51"),MATCH(MID($A56,FIND(":",$A56)+2,LEN($A56)-FIND(":",$A56)+2),INDIRECT("'Annex 1 LV and HV charges"&amp;MID($A$2,FIND("_",$A$2),2)&amp;"'!$A$10:$A$51"),0),MATCH(E$13,$A$13:$J$13,0))-E56),"")</f>
        <v/>
      </c>
      <c r="M56" s="328" t="str">
        <f ca="1">IFERROR(IF(#REF!="","",INDEX(INDIRECT("'Annex 1 LV and HV charges"&amp;MID($A$2,FIND("_",$A$2),2)&amp;"'!$A$10:$K$51"),MATCH(MID($A56,FIND(":",$A56)+2,LEN($A56)-FIND(":",$A56)+2),INDIRECT("'Annex 1 LV and HV charges"&amp;MID($A$2,FIND("_",$A$2),2)&amp;"'!$A$10:$A$51"),0),MATCH(F$13,$A$13:$J$13,0))-F56),"")</f>
        <v/>
      </c>
      <c r="N56" s="328" t="str">
        <f ca="1">IFERROR(IF(#REF!="","",INDEX(INDIRECT("'Annex 1 LV and HV charges"&amp;MID($A$2,FIND("_",$A$2),2)&amp;"'!$A$10:$K$51"),MATCH(MID($A56,FIND(":",$A56)+2,LEN($A56)-FIND(":",$A56)+2),INDIRECT("'Annex 1 LV and HV charges"&amp;MID($A$2,FIND("_",$A$2),2)&amp;"'!$A$10:$A$51"),0),MATCH(G$13,$A$13:$J$13,0))-G56),"")</f>
        <v/>
      </c>
      <c r="O56" s="328" t="str">
        <f ca="1">IFERROR(IF(#REF!="","",INDEX(INDIRECT("'Annex 1 LV and HV charges"&amp;MID($A$2,FIND("_",$A$2),2)&amp;"'!$A$10:$K$51"),MATCH(MID($A56,FIND(":",$A56)+2,LEN($A56)-FIND(":",$A56)+2),INDIRECT("'Annex 1 LV and HV charges"&amp;MID($A$2,FIND("_",$A$2),2)&amp;"'!$A$10:$A$51"),0),MATCH(H$13,$A$13:$J$13,0))-H56),"")</f>
        <v/>
      </c>
      <c r="P56" s="328" t="str">
        <f ca="1">IFERROR(IF(#REF!="","",INDEX(INDIRECT("'Annex 1 LV and HV charges"&amp;MID($A$2,FIND("_",$A$2),2)&amp;"'!$A$10:$K$51"),MATCH(MID($A56,FIND(":",$A56)+2,LEN($A56)-FIND(":",$A56)+2),INDIRECT("'Annex 1 LV and HV charges"&amp;MID($A$2,FIND("_",$A$2),2)&amp;"'!$A$10:$A$51"),0),MATCH(I$13,$A$13:$J$13,0))-I56),"")</f>
        <v/>
      </c>
      <c r="Q56" s="328" t="str">
        <f ca="1">IFERROR(IF(#REF!="","",INDEX(INDIRECT("'Annex 1 LV and HV charges"&amp;MID($A$2,FIND("_",$A$2),2)&amp;"'!$A$10:$K$51"),MATCH(MID($A56,FIND(":",$A56)+2,LEN($A56)-FIND(":",$A56)+2),INDIRECT("'Annex 1 LV and HV charges"&amp;MID($A$2,FIND("_",$A$2),2)&amp;"'!$A$10:$A$51"),0),MATCH(J$13,$A$13:$J$13,0))-J56),"")</f>
        <v/>
      </c>
    </row>
    <row r="57" spans="1:17" ht="27" customHeight="1" x14ac:dyDescent="0.2">
      <c r="A57" s="325" t="s">
        <v>615</v>
      </c>
      <c r="B57" s="25"/>
      <c r="C57" s="327">
        <v>0</v>
      </c>
      <c r="D57" s="92">
        <v>-7.2679999999999998</v>
      </c>
      <c r="E57" s="93">
        <v>-2.4710000000000001</v>
      </c>
      <c r="F57" s="94">
        <v>-0.56200000000000006</v>
      </c>
      <c r="G57" s="319" t="s">
        <v>840</v>
      </c>
      <c r="H57" s="320" t="s">
        <v>840</v>
      </c>
      <c r="I57" s="321" t="s">
        <v>840</v>
      </c>
      <c r="J57" s="26">
        <v>0.38400000000000001</v>
      </c>
      <c r="K57" s="328" t="str">
        <f ca="1">IFERROR(IF(#REF!="","",INDEX(INDIRECT("'Annex 1 LV and HV charges"&amp;MID($A$2,FIND("_",$A$2),2)&amp;"'!$A$10:$K$51"),MATCH(MID($A57,FIND(":",$A57)+2,LEN($A57)-FIND(":",$A57)+2),INDIRECT("'Annex 1 LV and HV charges"&amp;MID($A$2,FIND("_",$A$2),2)&amp;"'!$A$10:$A$51"),0),MATCH(D$13,$A$13:$J$13,0))-D57),"")</f>
        <v/>
      </c>
      <c r="L57" s="328" t="str">
        <f ca="1">IFERROR(IF(#REF!="","",INDEX(INDIRECT("'Annex 1 LV and HV charges"&amp;MID($A$2,FIND("_",$A$2),2)&amp;"'!$A$10:$K$51"),MATCH(MID($A57,FIND(":",$A57)+2,LEN($A57)-FIND(":",$A57)+2),INDIRECT("'Annex 1 LV and HV charges"&amp;MID($A$2,FIND("_",$A$2),2)&amp;"'!$A$10:$A$51"),0),MATCH(E$13,$A$13:$J$13,0))-E57),"")</f>
        <v/>
      </c>
      <c r="M57" s="328" t="str">
        <f ca="1">IFERROR(IF(#REF!="","",INDEX(INDIRECT("'Annex 1 LV and HV charges"&amp;MID($A$2,FIND("_",$A$2),2)&amp;"'!$A$10:$K$51"),MATCH(MID($A57,FIND(":",$A57)+2,LEN($A57)-FIND(":",$A57)+2),INDIRECT("'Annex 1 LV and HV charges"&amp;MID($A$2,FIND("_",$A$2),2)&amp;"'!$A$10:$A$51"),0),MATCH(F$13,$A$13:$J$13,0))-F57),"")</f>
        <v/>
      </c>
      <c r="N57" s="328" t="str">
        <f ca="1">IFERROR(IF(#REF!="","",INDEX(INDIRECT("'Annex 1 LV and HV charges"&amp;MID($A$2,FIND("_",$A$2),2)&amp;"'!$A$10:$K$51"),MATCH(MID($A57,FIND(":",$A57)+2,LEN($A57)-FIND(":",$A57)+2),INDIRECT("'Annex 1 LV and HV charges"&amp;MID($A$2,FIND("_",$A$2),2)&amp;"'!$A$10:$A$51"),0),MATCH(G$13,$A$13:$J$13,0))-G57),"")</f>
        <v/>
      </c>
      <c r="O57" s="328" t="str">
        <f ca="1">IFERROR(IF(#REF!="","",INDEX(INDIRECT("'Annex 1 LV and HV charges"&amp;MID($A$2,FIND("_",$A$2),2)&amp;"'!$A$10:$K$51"),MATCH(MID($A57,FIND(":",$A57)+2,LEN($A57)-FIND(":",$A57)+2),INDIRECT("'Annex 1 LV and HV charges"&amp;MID($A$2,FIND("_",$A$2),2)&amp;"'!$A$10:$A$51"),0),MATCH(H$13,$A$13:$J$13,0))-H57),"")</f>
        <v/>
      </c>
      <c r="P57" s="328" t="str">
        <f ca="1">IFERROR(IF(#REF!="","",INDEX(INDIRECT("'Annex 1 LV and HV charges"&amp;MID($A$2,FIND("_",$A$2),2)&amp;"'!$A$10:$K$51"),MATCH(MID($A57,FIND(":",$A57)+2,LEN($A57)-FIND(":",$A57)+2),INDIRECT("'Annex 1 LV and HV charges"&amp;MID($A$2,FIND("_",$A$2),2)&amp;"'!$A$10:$A$51"),0),MATCH(I$13,$A$13:$J$13,0))-I57),"")</f>
        <v/>
      </c>
      <c r="Q57" s="328" t="str">
        <f ca="1">IFERROR(IF(#REF!="","",INDEX(INDIRECT("'Annex 1 LV and HV charges"&amp;MID($A$2,FIND("_",$A$2),2)&amp;"'!$A$10:$K$51"),MATCH(MID($A57,FIND(":",$A57)+2,LEN($A57)-FIND(":",$A57)+2),INDIRECT("'Annex 1 LV and HV charges"&amp;MID($A$2,FIND("_",$A$2),2)&amp;"'!$A$10:$A$51"),0),MATCH(J$13,$A$13:$J$13,0))-J57),"")</f>
        <v/>
      </c>
    </row>
    <row r="58" spans="1:17" ht="27" customHeight="1" x14ac:dyDescent="0.2">
      <c r="A58" s="325" t="s">
        <v>616</v>
      </c>
      <c r="B58" s="25"/>
      <c r="C58" s="327">
        <v>0</v>
      </c>
      <c r="D58" s="92">
        <v>-3.3719999999999999</v>
      </c>
      <c r="E58" s="93">
        <v>-0.85699999999999998</v>
      </c>
      <c r="F58" s="94">
        <v>-0.33900000000000002</v>
      </c>
      <c r="G58" s="319" t="s">
        <v>840</v>
      </c>
      <c r="H58" s="320" t="s">
        <v>840</v>
      </c>
      <c r="I58" s="321" t="s">
        <v>840</v>
      </c>
      <c r="J58" s="26">
        <v>0.32900000000000001</v>
      </c>
      <c r="K58" s="328" t="str">
        <f ca="1">IFERROR(IF(#REF!="","",INDEX(INDIRECT("'Annex 1 LV and HV charges"&amp;MID($A$2,FIND("_",$A$2),2)&amp;"'!$A$10:$K$51"),MATCH(MID($A58,FIND(":",$A58)+2,LEN($A58)-FIND(":",$A58)+2),INDIRECT("'Annex 1 LV and HV charges"&amp;MID($A$2,FIND("_",$A$2),2)&amp;"'!$A$10:$A$51"),0),MATCH(D$13,$A$13:$J$13,0))-D58),"")</f>
        <v/>
      </c>
      <c r="L58" s="328" t="str">
        <f ca="1">IFERROR(IF(#REF!="","",INDEX(INDIRECT("'Annex 1 LV and HV charges"&amp;MID($A$2,FIND("_",$A$2),2)&amp;"'!$A$10:$K$51"),MATCH(MID($A58,FIND(":",$A58)+2,LEN($A58)-FIND(":",$A58)+2),INDIRECT("'Annex 1 LV and HV charges"&amp;MID($A$2,FIND("_",$A$2),2)&amp;"'!$A$10:$A$51"),0),MATCH(E$13,$A$13:$J$13,0))-E58),"")</f>
        <v/>
      </c>
      <c r="M58" s="328" t="str">
        <f ca="1">IFERROR(IF(#REF!="","",INDEX(INDIRECT("'Annex 1 LV and HV charges"&amp;MID($A$2,FIND("_",$A$2),2)&amp;"'!$A$10:$K$51"),MATCH(MID($A58,FIND(":",$A58)+2,LEN($A58)-FIND(":",$A58)+2),INDIRECT("'Annex 1 LV and HV charges"&amp;MID($A$2,FIND("_",$A$2),2)&amp;"'!$A$10:$A$51"),0),MATCH(F$13,$A$13:$J$13,0))-F58),"")</f>
        <v/>
      </c>
      <c r="N58" s="328" t="str">
        <f ca="1">IFERROR(IF(#REF!="","",INDEX(INDIRECT("'Annex 1 LV and HV charges"&amp;MID($A$2,FIND("_",$A$2),2)&amp;"'!$A$10:$K$51"),MATCH(MID($A58,FIND(":",$A58)+2,LEN($A58)-FIND(":",$A58)+2),INDIRECT("'Annex 1 LV and HV charges"&amp;MID($A$2,FIND("_",$A$2),2)&amp;"'!$A$10:$A$51"),0),MATCH(G$13,$A$13:$J$13,0))-G58),"")</f>
        <v/>
      </c>
      <c r="O58" s="328" t="str">
        <f ca="1">IFERROR(IF(#REF!="","",INDEX(INDIRECT("'Annex 1 LV and HV charges"&amp;MID($A$2,FIND("_",$A$2),2)&amp;"'!$A$10:$K$51"),MATCH(MID($A58,FIND(":",$A58)+2,LEN($A58)-FIND(":",$A58)+2),INDIRECT("'Annex 1 LV and HV charges"&amp;MID($A$2,FIND("_",$A$2),2)&amp;"'!$A$10:$A$51"),0),MATCH(H$13,$A$13:$J$13,0))-H58),"")</f>
        <v/>
      </c>
      <c r="P58" s="328" t="str">
        <f ca="1">IFERROR(IF(#REF!="","",INDEX(INDIRECT("'Annex 1 LV and HV charges"&amp;MID($A$2,FIND("_",$A$2),2)&amp;"'!$A$10:$K$51"),MATCH(MID($A58,FIND(":",$A58)+2,LEN($A58)-FIND(":",$A58)+2),INDIRECT("'Annex 1 LV and HV charges"&amp;MID($A$2,FIND("_",$A$2),2)&amp;"'!$A$10:$A$51"),0),MATCH(I$13,$A$13:$J$13,0))-I58),"")</f>
        <v/>
      </c>
      <c r="Q58" s="328" t="str">
        <f ca="1">IFERROR(IF(#REF!="","",INDEX(INDIRECT("'Annex 1 LV and HV charges"&amp;MID($A$2,FIND("_",$A$2),2)&amp;"'!$A$10:$K$51"),MATCH(MID($A58,FIND(":",$A58)+2,LEN($A58)-FIND(":",$A58)+2),INDIRECT("'Annex 1 LV and HV charges"&amp;MID($A$2,FIND("_",$A$2),2)&amp;"'!$A$10:$A$51"),0),MATCH(J$13,$A$13:$J$13,0))-J58),"")</f>
        <v/>
      </c>
    </row>
    <row r="59" spans="1:17" ht="27" customHeight="1" x14ac:dyDescent="0.2">
      <c r="A59" s="324" t="s">
        <v>781</v>
      </c>
      <c r="B59" s="25"/>
      <c r="C59" s="327" t="s">
        <v>845</v>
      </c>
      <c r="D59" s="92">
        <v>3.45</v>
      </c>
      <c r="E59" s="93">
        <v>1.2030000000000001</v>
      </c>
      <c r="F59" s="94">
        <v>0.25800000000000001</v>
      </c>
      <c r="G59" s="319">
        <v>3.55</v>
      </c>
      <c r="H59" s="320" t="s">
        <v>840</v>
      </c>
      <c r="I59" s="321" t="s">
        <v>840</v>
      </c>
      <c r="J59" s="27" t="s">
        <v>840</v>
      </c>
      <c r="K59" s="328" t="str">
        <f ca="1">IFERROR(IF(#REF!="","",INDEX(INDIRECT("'Annex 1 LV and HV charges"&amp;MID($A$2,FIND("_",$A$2),2)&amp;"'!$A$10:$K$51"),MATCH(MID($A59,FIND(":",$A59)+2,LEN($A59)-FIND(":",$A59)+2),INDIRECT("'Annex 1 LV and HV charges"&amp;MID($A$2,FIND("_",$A$2),2)&amp;"'!$A$10:$A$51"),0),MATCH(D$13,$A$13:$J$13,0))-D59),"")</f>
        <v/>
      </c>
      <c r="L59" s="328" t="str">
        <f ca="1">IFERROR(IF(#REF!="","",INDEX(INDIRECT("'Annex 1 LV and HV charges"&amp;MID($A$2,FIND("_",$A$2),2)&amp;"'!$A$10:$K$51"),MATCH(MID($A59,FIND(":",$A59)+2,LEN($A59)-FIND(":",$A59)+2),INDIRECT("'Annex 1 LV and HV charges"&amp;MID($A$2,FIND("_",$A$2),2)&amp;"'!$A$10:$A$51"),0),MATCH(E$13,$A$13:$J$13,0))-E59),"")</f>
        <v/>
      </c>
      <c r="M59" s="328" t="str">
        <f ca="1">IFERROR(IF(#REF!="","",INDEX(INDIRECT("'Annex 1 LV and HV charges"&amp;MID($A$2,FIND("_",$A$2),2)&amp;"'!$A$10:$K$51"),MATCH(MID($A59,FIND(":",$A59)+2,LEN($A59)-FIND(":",$A59)+2),INDIRECT("'Annex 1 LV and HV charges"&amp;MID($A$2,FIND("_",$A$2),2)&amp;"'!$A$10:$A$51"),0),MATCH(F$13,$A$13:$J$13,0))-F59),"")</f>
        <v/>
      </c>
      <c r="N59" s="328" t="str">
        <f ca="1">IFERROR(IF(#REF!="","",INDEX(INDIRECT("'Annex 1 LV and HV charges"&amp;MID($A$2,FIND("_",$A$2),2)&amp;"'!$A$10:$K$51"),MATCH(MID($A59,FIND(":",$A59)+2,LEN($A59)-FIND(":",$A59)+2),INDIRECT("'Annex 1 LV and HV charges"&amp;MID($A$2,FIND("_",$A$2),2)&amp;"'!$A$10:$A$51"),0),MATCH(G$13,$A$13:$J$13,0))-G59),"")</f>
        <v/>
      </c>
      <c r="O59" s="328" t="str">
        <f ca="1">IFERROR(IF(#REF!="","",INDEX(INDIRECT("'Annex 1 LV and HV charges"&amp;MID($A$2,FIND("_",$A$2),2)&amp;"'!$A$10:$K$51"),MATCH(MID($A59,FIND(":",$A59)+2,LEN($A59)-FIND(":",$A59)+2),INDIRECT("'Annex 1 LV and HV charges"&amp;MID($A$2,FIND("_",$A$2),2)&amp;"'!$A$10:$A$51"),0),MATCH(H$13,$A$13:$J$13,0))-H59),"")</f>
        <v/>
      </c>
      <c r="P59" s="328" t="str">
        <f ca="1">IFERROR(IF(#REF!="","",INDEX(INDIRECT("'Annex 1 LV and HV charges"&amp;MID($A$2,FIND("_",$A$2),2)&amp;"'!$A$10:$K$51"),MATCH(MID($A59,FIND(":",$A59)+2,LEN($A59)-FIND(":",$A59)+2),INDIRECT("'Annex 1 LV and HV charges"&amp;MID($A$2,FIND("_",$A$2),2)&amp;"'!$A$10:$A$51"),0),MATCH(I$13,$A$13:$J$13,0))-I59),"")</f>
        <v/>
      </c>
      <c r="Q59" s="328" t="str">
        <f ca="1">IFERROR(IF(#REF!="","",INDEX(INDIRECT("'Annex 1 LV and HV charges"&amp;MID($A$2,FIND("_",$A$2),2)&amp;"'!$A$10:$K$51"),MATCH(MID($A59,FIND(":",$A59)+2,LEN($A59)-FIND(":",$A59)+2),INDIRECT("'Annex 1 LV and HV charges"&amp;MID($A$2,FIND("_",$A$2),2)&amp;"'!$A$10:$A$51"),0),MATCH(J$13,$A$13:$J$13,0))-J59),"")</f>
        <v/>
      </c>
    </row>
    <row r="60" spans="1:17" ht="27" customHeight="1" x14ac:dyDescent="0.2">
      <c r="A60" s="324" t="s">
        <v>664</v>
      </c>
      <c r="B60" s="25"/>
      <c r="C60" s="327">
        <v>2</v>
      </c>
      <c r="D60" s="92">
        <v>3.45</v>
      </c>
      <c r="E60" s="93">
        <v>1.2030000000000001</v>
      </c>
      <c r="F60" s="94">
        <v>0.25800000000000001</v>
      </c>
      <c r="G60" s="320" t="s">
        <v>840</v>
      </c>
      <c r="H60" s="320" t="s">
        <v>840</v>
      </c>
      <c r="I60" s="321" t="s">
        <v>840</v>
      </c>
      <c r="J60" s="27" t="s">
        <v>840</v>
      </c>
      <c r="K60" s="328" t="str">
        <f ca="1">IFERROR(IF(#REF!="","",INDEX(INDIRECT("'Annex 1 LV and HV charges"&amp;MID($A$2,FIND("_",$A$2),2)&amp;"'!$A$10:$K$51"),MATCH(MID($A60,FIND(":",$A60)+2,LEN($A60)-FIND(":",$A60)+2),INDIRECT("'Annex 1 LV and HV charges"&amp;MID($A$2,FIND("_",$A$2),2)&amp;"'!$A$10:$A$51"),0),MATCH(D$13,$A$13:$J$13,0))-D60),"")</f>
        <v/>
      </c>
      <c r="L60" s="328" t="str">
        <f ca="1">IFERROR(IF(#REF!="","",INDEX(INDIRECT("'Annex 1 LV and HV charges"&amp;MID($A$2,FIND("_",$A$2),2)&amp;"'!$A$10:$K$51"),MATCH(MID($A60,FIND(":",$A60)+2,LEN($A60)-FIND(":",$A60)+2),INDIRECT("'Annex 1 LV and HV charges"&amp;MID($A$2,FIND("_",$A$2),2)&amp;"'!$A$10:$A$51"),0),MATCH(E$13,$A$13:$J$13,0))-E60),"")</f>
        <v/>
      </c>
      <c r="M60" s="328" t="str">
        <f ca="1">IFERROR(IF(#REF!="","",INDEX(INDIRECT("'Annex 1 LV and HV charges"&amp;MID($A$2,FIND("_",$A$2),2)&amp;"'!$A$10:$K$51"),MATCH(MID($A60,FIND(":",$A60)+2,LEN($A60)-FIND(":",$A60)+2),INDIRECT("'Annex 1 LV and HV charges"&amp;MID($A$2,FIND("_",$A$2),2)&amp;"'!$A$10:$A$51"),0),MATCH(F$13,$A$13:$J$13,0))-F60),"")</f>
        <v/>
      </c>
      <c r="N60" s="328" t="str">
        <f ca="1">IFERROR(IF(#REF!="","",INDEX(INDIRECT("'Annex 1 LV and HV charges"&amp;MID($A$2,FIND("_",$A$2),2)&amp;"'!$A$10:$K$51"),MATCH(MID($A60,FIND(":",$A60)+2,LEN($A60)-FIND(":",$A60)+2),INDIRECT("'Annex 1 LV and HV charges"&amp;MID($A$2,FIND("_",$A$2),2)&amp;"'!$A$10:$A$51"),0),MATCH(G$13,$A$13:$J$13,0))-G60),"")</f>
        <v/>
      </c>
      <c r="O60" s="328" t="str">
        <f ca="1">IFERROR(IF(#REF!="","",INDEX(INDIRECT("'Annex 1 LV and HV charges"&amp;MID($A$2,FIND("_",$A$2),2)&amp;"'!$A$10:$K$51"),MATCH(MID($A60,FIND(":",$A60)+2,LEN($A60)-FIND(":",$A60)+2),INDIRECT("'Annex 1 LV and HV charges"&amp;MID($A$2,FIND("_",$A$2),2)&amp;"'!$A$10:$A$51"),0),MATCH(H$13,$A$13:$J$13,0))-H60),"")</f>
        <v/>
      </c>
      <c r="P60" s="328" t="str">
        <f ca="1">IFERROR(IF(#REF!="","",INDEX(INDIRECT("'Annex 1 LV and HV charges"&amp;MID($A$2,FIND("_",$A$2),2)&amp;"'!$A$10:$K$51"),MATCH(MID($A60,FIND(":",$A60)+2,LEN($A60)-FIND(":",$A60)+2),INDIRECT("'Annex 1 LV and HV charges"&amp;MID($A$2,FIND("_",$A$2),2)&amp;"'!$A$10:$A$51"),0),MATCH(I$13,$A$13:$J$13,0))-I60),"")</f>
        <v/>
      </c>
      <c r="Q60" s="328" t="str">
        <f ca="1">IFERROR(IF(#REF!="","",INDEX(INDIRECT("'Annex 1 LV and HV charges"&amp;MID($A$2,FIND("_",$A$2),2)&amp;"'!$A$10:$K$51"),MATCH(MID($A60,FIND(":",$A60)+2,LEN($A60)-FIND(":",$A60)+2),INDIRECT("'Annex 1 LV and HV charges"&amp;MID($A$2,FIND("_",$A$2),2)&amp;"'!$A$10:$A$51"),0),MATCH(J$13,$A$13:$J$13,0))-J60),"")</f>
        <v/>
      </c>
    </row>
    <row r="61" spans="1:17" ht="27" customHeight="1" x14ac:dyDescent="0.2">
      <c r="A61" s="324" t="s">
        <v>788</v>
      </c>
      <c r="B61" s="18"/>
      <c r="C61" s="327" t="s">
        <v>846</v>
      </c>
      <c r="D61" s="92">
        <v>4.1719999999999997</v>
      </c>
      <c r="E61" s="93">
        <v>1.4550000000000001</v>
      </c>
      <c r="F61" s="94">
        <v>0.312</v>
      </c>
      <c r="G61" s="319">
        <v>8.33</v>
      </c>
      <c r="H61" s="320" t="s">
        <v>840</v>
      </c>
      <c r="I61" s="321" t="s">
        <v>840</v>
      </c>
      <c r="J61" s="27" t="s">
        <v>840</v>
      </c>
      <c r="K61" s="328" t="str">
        <f ca="1">IFERROR(IF(#REF!="","",INDEX(INDIRECT("'Annex 1 LV and HV charges"&amp;MID($A$2,FIND("_",$A$2),2)&amp;"'!$A$10:$K$51"),MATCH(MID($A61,FIND(":",$A61)+2,LEN($A61)-FIND(":",$A61)+2),INDIRECT("'Annex 1 LV and HV charges"&amp;MID($A$2,FIND("_",$A$2),2)&amp;"'!$A$10:$A$51"),0),MATCH(D$13,$A$13:$J$13,0))-D61),"")</f>
        <v/>
      </c>
      <c r="L61" s="328" t="str">
        <f ca="1">IFERROR(IF(#REF!="","",INDEX(INDIRECT("'Annex 1 LV and HV charges"&amp;MID($A$2,FIND("_",$A$2),2)&amp;"'!$A$10:$K$51"),MATCH(MID($A61,FIND(":",$A61)+2,LEN($A61)-FIND(":",$A61)+2),INDIRECT("'Annex 1 LV and HV charges"&amp;MID($A$2,FIND("_",$A$2),2)&amp;"'!$A$10:$A$51"),0),MATCH(E$13,$A$13:$J$13,0))-E61),"")</f>
        <v/>
      </c>
      <c r="M61" s="328" t="str">
        <f ca="1">IFERROR(IF(#REF!="","",INDEX(INDIRECT("'Annex 1 LV and HV charges"&amp;MID($A$2,FIND("_",$A$2),2)&amp;"'!$A$10:$K$51"),MATCH(MID($A61,FIND(":",$A61)+2,LEN($A61)-FIND(":",$A61)+2),INDIRECT("'Annex 1 LV and HV charges"&amp;MID($A$2,FIND("_",$A$2),2)&amp;"'!$A$10:$A$51"),0),MATCH(F$13,$A$13:$J$13,0))-F61),"")</f>
        <v/>
      </c>
      <c r="N61" s="328" t="str">
        <f ca="1">IFERROR(IF(#REF!="","",INDEX(INDIRECT("'Annex 1 LV and HV charges"&amp;MID($A$2,FIND("_",$A$2),2)&amp;"'!$A$10:$K$51"),MATCH(MID($A61,FIND(":",$A61)+2,LEN($A61)-FIND(":",$A61)+2),INDIRECT("'Annex 1 LV and HV charges"&amp;MID($A$2,FIND("_",$A$2),2)&amp;"'!$A$10:$A$51"),0),MATCH(G$13,$A$13:$J$13,0))-G61),"")</f>
        <v/>
      </c>
      <c r="O61" s="328" t="str">
        <f ca="1">IFERROR(IF(#REF!="","",INDEX(INDIRECT("'Annex 1 LV and HV charges"&amp;MID($A$2,FIND("_",$A$2),2)&amp;"'!$A$10:$K$51"),MATCH(MID($A61,FIND(":",$A61)+2,LEN($A61)-FIND(":",$A61)+2),INDIRECT("'Annex 1 LV and HV charges"&amp;MID($A$2,FIND("_",$A$2),2)&amp;"'!$A$10:$A$51"),0),MATCH(H$13,$A$13:$J$13,0))-H61),"")</f>
        <v/>
      </c>
      <c r="P61" s="328" t="str">
        <f ca="1">IFERROR(IF(#REF!="","",INDEX(INDIRECT("'Annex 1 LV and HV charges"&amp;MID($A$2,FIND("_",$A$2),2)&amp;"'!$A$10:$K$51"),MATCH(MID($A61,FIND(":",$A61)+2,LEN($A61)-FIND(":",$A61)+2),INDIRECT("'Annex 1 LV and HV charges"&amp;MID($A$2,FIND("_",$A$2),2)&amp;"'!$A$10:$A$51"),0),MATCH(I$13,$A$13:$J$13,0))-I61),"")</f>
        <v/>
      </c>
      <c r="Q61" s="328" t="str">
        <f ca="1">IFERROR(IF(#REF!="","",INDEX(INDIRECT("'Annex 1 LV and HV charges"&amp;MID($A$2,FIND("_",$A$2),2)&amp;"'!$A$10:$K$51"),MATCH(MID($A61,FIND(":",$A61)+2,LEN($A61)-FIND(":",$A61)+2),INDIRECT("'Annex 1 LV and HV charges"&amp;MID($A$2,FIND("_",$A$2),2)&amp;"'!$A$10:$A$51"),0),MATCH(J$13,$A$13:$J$13,0))-J61),"")</f>
        <v/>
      </c>
    </row>
    <row r="62" spans="1:17" ht="27" customHeight="1" x14ac:dyDescent="0.2">
      <c r="A62" s="324" t="s">
        <v>795</v>
      </c>
      <c r="B62" s="25"/>
      <c r="C62" s="327" t="s">
        <v>846</v>
      </c>
      <c r="D62" s="92">
        <v>4.1719999999999997</v>
      </c>
      <c r="E62" s="93">
        <v>1.4550000000000001</v>
      </c>
      <c r="F62" s="94">
        <v>0.312</v>
      </c>
      <c r="G62" s="319">
        <v>7.61</v>
      </c>
      <c r="H62" s="320" t="s">
        <v>840</v>
      </c>
      <c r="I62" s="321" t="s">
        <v>840</v>
      </c>
      <c r="J62" s="27" t="s">
        <v>840</v>
      </c>
      <c r="K62" s="328" t="str">
        <f ca="1">IFERROR(IF(#REF!="","",INDEX(INDIRECT("'Annex 1 LV and HV charges"&amp;MID($A$2,FIND("_",$A$2),2)&amp;"'!$A$10:$K$51"),MATCH(MID($A62,FIND(":",$A62)+2,LEN($A62)-FIND(":",$A62)+2),INDIRECT("'Annex 1 LV and HV charges"&amp;MID($A$2,FIND("_",$A$2),2)&amp;"'!$A$10:$A$51"),0),MATCH(D$13,$A$13:$J$13,0))-D62),"")</f>
        <v/>
      </c>
      <c r="L62" s="328" t="str">
        <f ca="1">IFERROR(IF(#REF!="","",INDEX(INDIRECT("'Annex 1 LV and HV charges"&amp;MID($A$2,FIND("_",$A$2),2)&amp;"'!$A$10:$K$51"),MATCH(MID($A62,FIND(":",$A62)+2,LEN($A62)-FIND(":",$A62)+2),INDIRECT("'Annex 1 LV and HV charges"&amp;MID($A$2,FIND("_",$A$2),2)&amp;"'!$A$10:$A$51"),0),MATCH(E$13,$A$13:$J$13,0))-E62),"")</f>
        <v/>
      </c>
      <c r="M62" s="328" t="str">
        <f ca="1">IFERROR(IF(#REF!="","",INDEX(INDIRECT("'Annex 1 LV and HV charges"&amp;MID($A$2,FIND("_",$A$2),2)&amp;"'!$A$10:$K$51"),MATCH(MID($A62,FIND(":",$A62)+2,LEN($A62)-FIND(":",$A62)+2),INDIRECT("'Annex 1 LV and HV charges"&amp;MID($A$2,FIND("_",$A$2),2)&amp;"'!$A$10:$A$51"),0),MATCH(F$13,$A$13:$J$13,0))-F62),"")</f>
        <v/>
      </c>
      <c r="N62" s="328" t="str">
        <f ca="1">IFERROR(IF(#REF!="","",INDEX(INDIRECT("'Annex 1 LV and HV charges"&amp;MID($A$2,FIND("_",$A$2),2)&amp;"'!$A$10:$K$51"),MATCH(MID($A62,FIND(":",$A62)+2,LEN($A62)-FIND(":",$A62)+2),INDIRECT("'Annex 1 LV and HV charges"&amp;MID($A$2,FIND("_",$A$2),2)&amp;"'!$A$10:$A$51"),0),MATCH(G$13,$A$13:$J$13,0))-G62),"")</f>
        <v/>
      </c>
      <c r="O62" s="328" t="str">
        <f ca="1">IFERROR(IF(#REF!="","",INDEX(INDIRECT("'Annex 1 LV and HV charges"&amp;MID($A$2,FIND("_",$A$2),2)&amp;"'!$A$10:$K$51"),MATCH(MID($A62,FIND(":",$A62)+2,LEN($A62)-FIND(":",$A62)+2),INDIRECT("'Annex 1 LV and HV charges"&amp;MID($A$2,FIND("_",$A$2),2)&amp;"'!$A$10:$A$51"),0),MATCH(H$13,$A$13:$J$13,0))-H62),"")</f>
        <v/>
      </c>
      <c r="P62" s="328" t="str">
        <f ca="1">IFERROR(IF(#REF!="","",INDEX(INDIRECT("'Annex 1 LV and HV charges"&amp;MID($A$2,FIND("_",$A$2),2)&amp;"'!$A$10:$K$51"),MATCH(MID($A62,FIND(":",$A62)+2,LEN($A62)-FIND(":",$A62)+2),INDIRECT("'Annex 1 LV and HV charges"&amp;MID($A$2,FIND("_",$A$2),2)&amp;"'!$A$10:$A$51"),0),MATCH(I$13,$A$13:$J$13,0))-I62),"")</f>
        <v/>
      </c>
      <c r="Q62" s="328" t="str">
        <f ca="1">IFERROR(IF(#REF!="","",INDEX(INDIRECT("'Annex 1 LV and HV charges"&amp;MID($A$2,FIND("_",$A$2),2)&amp;"'!$A$10:$K$51"),MATCH(MID($A62,FIND(":",$A62)+2,LEN($A62)-FIND(":",$A62)+2),INDIRECT("'Annex 1 LV and HV charges"&amp;MID($A$2,FIND("_",$A$2),2)&amp;"'!$A$10:$A$51"),0),MATCH(J$13,$A$13:$J$13,0))-J62),"")</f>
        <v/>
      </c>
    </row>
    <row r="63" spans="1:17" ht="27" customHeight="1" x14ac:dyDescent="0.2">
      <c r="A63" s="324" t="s">
        <v>802</v>
      </c>
      <c r="B63" s="18"/>
      <c r="C63" s="327" t="s">
        <v>846</v>
      </c>
      <c r="D63" s="92">
        <v>4.1719999999999997</v>
      </c>
      <c r="E63" s="93">
        <v>1.4550000000000001</v>
      </c>
      <c r="F63" s="94">
        <v>0.312</v>
      </c>
      <c r="G63" s="319">
        <v>4.1100000000000003</v>
      </c>
      <c r="H63" s="320" t="s">
        <v>840</v>
      </c>
      <c r="I63" s="321" t="s">
        <v>840</v>
      </c>
      <c r="J63" s="27" t="s">
        <v>840</v>
      </c>
      <c r="K63" s="328" t="str">
        <f ca="1">IFERROR(IF(#REF!="","",INDEX(INDIRECT("'Annex 1 LV and HV charges"&amp;MID($A$2,FIND("_",$A$2),2)&amp;"'!$A$10:$K$51"),MATCH(MID($A63,FIND(":",$A63)+2,LEN($A63)-FIND(":",$A63)+2),INDIRECT("'Annex 1 LV and HV charges"&amp;MID($A$2,FIND("_",$A$2),2)&amp;"'!$A$10:$A$51"),0),MATCH(D$13,$A$13:$J$13,0))-D63),"")</f>
        <v/>
      </c>
      <c r="L63" s="328" t="str">
        <f ca="1">IFERROR(IF(#REF!="","",INDEX(INDIRECT("'Annex 1 LV and HV charges"&amp;MID($A$2,FIND("_",$A$2),2)&amp;"'!$A$10:$K$51"),MATCH(MID($A63,FIND(":",$A63)+2,LEN($A63)-FIND(":",$A63)+2),INDIRECT("'Annex 1 LV and HV charges"&amp;MID($A$2,FIND("_",$A$2),2)&amp;"'!$A$10:$A$51"),0),MATCH(E$13,$A$13:$J$13,0))-E63),"")</f>
        <v/>
      </c>
      <c r="M63" s="328" t="str">
        <f ca="1">IFERROR(IF(#REF!="","",INDEX(INDIRECT("'Annex 1 LV and HV charges"&amp;MID($A$2,FIND("_",$A$2),2)&amp;"'!$A$10:$K$51"),MATCH(MID($A63,FIND(":",$A63)+2,LEN($A63)-FIND(":",$A63)+2),INDIRECT("'Annex 1 LV and HV charges"&amp;MID($A$2,FIND("_",$A$2),2)&amp;"'!$A$10:$A$51"),0),MATCH(F$13,$A$13:$J$13,0))-F63),"")</f>
        <v/>
      </c>
      <c r="N63" s="328" t="str">
        <f ca="1">IFERROR(IF(#REF!="","",INDEX(INDIRECT("'Annex 1 LV and HV charges"&amp;MID($A$2,FIND("_",$A$2),2)&amp;"'!$A$10:$K$51"),MATCH(MID($A63,FIND(":",$A63)+2,LEN($A63)-FIND(":",$A63)+2),INDIRECT("'Annex 1 LV and HV charges"&amp;MID($A$2,FIND("_",$A$2),2)&amp;"'!$A$10:$A$51"),0),MATCH(G$13,$A$13:$J$13,0))-G63),"")</f>
        <v/>
      </c>
      <c r="O63" s="328" t="str">
        <f ca="1">IFERROR(IF(#REF!="","",INDEX(INDIRECT("'Annex 1 LV and HV charges"&amp;MID($A$2,FIND("_",$A$2),2)&amp;"'!$A$10:$K$51"),MATCH(MID($A63,FIND(":",$A63)+2,LEN($A63)-FIND(":",$A63)+2),INDIRECT("'Annex 1 LV and HV charges"&amp;MID($A$2,FIND("_",$A$2),2)&amp;"'!$A$10:$A$51"),0),MATCH(H$13,$A$13:$J$13,0))-H63),"")</f>
        <v/>
      </c>
      <c r="P63" s="328" t="str">
        <f ca="1">IFERROR(IF(#REF!="","",INDEX(INDIRECT("'Annex 1 LV and HV charges"&amp;MID($A$2,FIND("_",$A$2),2)&amp;"'!$A$10:$K$51"),MATCH(MID($A63,FIND(":",$A63)+2,LEN($A63)-FIND(":",$A63)+2),INDIRECT("'Annex 1 LV and HV charges"&amp;MID($A$2,FIND("_",$A$2),2)&amp;"'!$A$10:$A$51"),0),MATCH(I$13,$A$13:$J$13,0))-I63),"")</f>
        <v/>
      </c>
      <c r="Q63" s="328" t="str">
        <f ca="1">IFERROR(IF(#REF!="","",INDEX(INDIRECT("'Annex 1 LV and HV charges"&amp;MID($A$2,FIND("_",$A$2),2)&amp;"'!$A$10:$K$51"),MATCH(MID($A63,FIND(":",$A63)+2,LEN($A63)-FIND(":",$A63)+2),INDIRECT("'Annex 1 LV and HV charges"&amp;MID($A$2,FIND("_",$A$2),2)&amp;"'!$A$10:$A$51"),0),MATCH(J$13,$A$13:$J$13,0))-J63),"")</f>
        <v/>
      </c>
    </row>
    <row r="64" spans="1:17" ht="27" customHeight="1" x14ac:dyDescent="0.2">
      <c r="A64" s="324" t="s">
        <v>809</v>
      </c>
      <c r="B64" s="18"/>
      <c r="C64" s="327" t="s">
        <v>846</v>
      </c>
      <c r="D64" s="92">
        <v>4.1479999999999997</v>
      </c>
      <c r="E64" s="93">
        <v>1.431</v>
      </c>
      <c r="F64" s="94">
        <v>0.28799999999999998</v>
      </c>
      <c r="G64" s="319" t="s">
        <v>840</v>
      </c>
      <c r="H64" s="320" t="s">
        <v>840</v>
      </c>
      <c r="I64" s="321" t="s">
        <v>840</v>
      </c>
      <c r="J64" s="27" t="s">
        <v>840</v>
      </c>
      <c r="K64" s="328" t="str">
        <f ca="1">IFERROR(IF(#REF!="","",INDEX(INDIRECT("'Annex 1 LV and HV charges"&amp;MID($A$2,FIND("_",$A$2),2)&amp;"'!$A$10:$K$51"),MATCH(MID($A64,FIND(":",$A64)+2,LEN($A64)-FIND(":",$A64)+2),INDIRECT("'Annex 1 LV and HV charges"&amp;MID($A$2,FIND("_",$A$2),2)&amp;"'!$A$10:$A$51"),0),MATCH(D$13,$A$13:$J$13,0))-D64),"")</f>
        <v/>
      </c>
      <c r="L64" s="328" t="str">
        <f ca="1">IFERROR(IF(#REF!="","",INDEX(INDIRECT("'Annex 1 LV and HV charges"&amp;MID($A$2,FIND("_",$A$2),2)&amp;"'!$A$10:$K$51"),MATCH(MID($A64,FIND(":",$A64)+2,LEN($A64)-FIND(":",$A64)+2),INDIRECT("'Annex 1 LV and HV charges"&amp;MID($A$2,FIND("_",$A$2),2)&amp;"'!$A$10:$A$51"),0),MATCH(E$13,$A$13:$J$13,0))-E64),"")</f>
        <v/>
      </c>
      <c r="M64" s="328" t="str">
        <f ca="1">IFERROR(IF(#REF!="","",INDEX(INDIRECT("'Annex 1 LV and HV charges"&amp;MID($A$2,FIND("_",$A$2),2)&amp;"'!$A$10:$K$51"),MATCH(MID($A64,FIND(":",$A64)+2,LEN($A64)-FIND(":",$A64)+2),INDIRECT("'Annex 1 LV and HV charges"&amp;MID($A$2,FIND("_",$A$2),2)&amp;"'!$A$10:$A$51"),0),MATCH(F$13,$A$13:$J$13,0))-F64),"")</f>
        <v/>
      </c>
      <c r="N64" s="328" t="str">
        <f ca="1">IFERROR(IF(#REF!="","",INDEX(INDIRECT("'Annex 1 LV and HV charges"&amp;MID($A$2,FIND("_",$A$2),2)&amp;"'!$A$10:$K$51"),MATCH(MID($A64,FIND(":",$A64)+2,LEN($A64)-FIND(":",$A64)+2),INDIRECT("'Annex 1 LV and HV charges"&amp;MID($A$2,FIND("_",$A$2),2)&amp;"'!$A$10:$A$51"),0),MATCH(G$13,$A$13:$J$13,0))-G64),"")</f>
        <v/>
      </c>
      <c r="O64" s="328" t="str">
        <f ca="1">IFERROR(IF(#REF!="","",INDEX(INDIRECT("'Annex 1 LV and HV charges"&amp;MID($A$2,FIND("_",$A$2),2)&amp;"'!$A$10:$K$51"),MATCH(MID($A64,FIND(":",$A64)+2,LEN($A64)-FIND(":",$A64)+2),INDIRECT("'Annex 1 LV and HV charges"&amp;MID($A$2,FIND("_",$A$2),2)&amp;"'!$A$10:$A$51"),0),MATCH(H$13,$A$13:$J$13,0))-H64),"")</f>
        <v/>
      </c>
      <c r="P64" s="328" t="str">
        <f ca="1">IFERROR(IF(#REF!="","",INDEX(INDIRECT("'Annex 1 LV and HV charges"&amp;MID($A$2,FIND("_",$A$2),2)&amp;"'!$A$10:$K$51"),MATCH(MID($A64,FIND(":",$A64)+2,LEN($A64)-FIND(":",$A64)+2),INDIRECT("'Annex 1 LV and HV charges"&amp;MID($A$2,FIND("_",$A$2),2)&amp;"'!$A$10:$A$51"),0),MATCH(I$13,$A$13:$J$13,0))-I64),"")</f>
        <v/>
      </c>
      <c r="Q64" s="328" t="str">
        <f ca="1">IFERROR(IF(#REF!="","",INDEX(INDIRECT("'Annex 1 LV and HV charges"&amp;MID($A$2,FIND("_",$A$2),2)&amp;"'!$A$10:$K$51"),MATCH(MID($A64,FIND(":",$A64)+2,LEN($A64)-FIND(":",$A64)+2),INDIRECT("'Annex 1 LV and HV charges"&amp;MID($A$2,FIND("_",$A$2),2)&amp;"'!$A$10:$A$51"),0),MATCH(J$13,$A$13:$J$13,0))-J64),"")</f>
        <v/>
      </c>
    </row>
    <row r="65" spans="1:17" ht="27" customHeight="1" x14ac:dyDescent="0.2">
      <c r="A65" s="324" t="s">
        <v>816</v>
      </c>
      <c r="B65" s="18"/>
      <c r="C65" s="327" t="s">
        <v>846</v>
      </c>
      <c r="D65" s="92">
        <v>4.0350000000000001</v>
      </c>
      <c r="E65" s="93">
        <v>1.319</v>
      </c>
      <c r="F65" s="94">
        <v>0.17599999999999999</v>
      </c>
      <c r="G65" s="319" t="s">
        <v>840</v>
      </c>
      <c r="H65" s="320" t="s">
        <v>840</v>
      </c>
      <c r="I65" s="321" t="s">
        <v>840</v>
      </c>
      <c r="J65" s="27" t="s">
        <v>840</v>
      </c>
      <c r="K65" s="328" t="str">
        <f ca="1">IFERROR(IF(#REF!="","",INDEX(INDIRECT("'Annex 1 LV and HV charges"&amp;MID($A$2,FIND("_",$A$2),2)&amp;"'!$A$10:$K$51"),MATCH(MID($A65,FIND(":",$A65)+2,LEN($A65)-FIND(":",$A65)+2),INDIRECT("'Annex 1 LV and HV charges"&amp;MID($A$2,FIND("_",$A$2),2)&amp;"'!$A$10:$A$51"),0),MATCH(D$13,$A$13:$J$13,0))-D65),"")</f>
        <v/>
      </c>
      <c r="L65" s="328" t="str">
        <f ca="1">IFERROR(IF(#REF!="","",INDEX(INDIRECT("'Annex 1 LV and HV charges"&amp;MID($A$2,FIND("_",$A$2),2)&amp;"'!$A$10:$K$51"),MATCH(MID($A65,FIND(":",$A65)+2,LEN($A65)-FIND(":",$A65)+2),INDIRECT("'Annex 1 LV and HV charges"&amp;MID($A$2,FIND("_",$A$2),2)&amp;"'!$A$10:$A$51"),0),MATCH(E$13,$A$13:$J$13,0))-E65),"")</f>
        <v/>
      </c>
      <c r="M65" s="328" t="str">
        <f ca="1">IFERROR(IF(#REF!="","",INDEX(INDIRECT("'Annex 1 LV and HV charges"&amp;MID($A$2,FIND("_",$A$2),2)&amp;"'!$A$10:$K$51"),MATCH(MID($A65,FIND(":",$A65)+2,LEN($A65)-FIND(":",$A65)+2),INDIRECT("'Annex 1 LV and HV charges"&amp;MID($A$2,FIND("_",$A$2),2)&amp;"'!$A$10:$A$51"),0),MATCH(F$13,$A$13:$J$13,0))-F65),"")</f>
        <v/>
      </c>
      <c r="N65" s="328" t="str">
        <f ca="1">IFERROR(IF(#REF!="","",INDEX(INDIRECT("'Annex 1 LV and HV charges"&amp;MID($A$2,FIND("_",$A$2),2)&amp;"'!$A$10:$K$51"),MATCH(MID($A65,FIND(":",$A65)+2,LEN($A65)-FIND(":",$A65)+2),INDIRECT("'Annex 1 LV and HV charges"&amp;MID($A$2,FIND("_",$A$2),2)&amp;"'!$A$10:$A$51"),0),MATCH(G$13,$A$13:$J$13,0))-G65),"")</f>
        <v/>
      </c>
      <c r="O65" s="328" t="str">
        <f ca="1">IFERROR(IF(#REF!="","",INDEX(INDIRECT("'Annex 1 LV and HV charges"&amp;MID($A$2,FIND("_",$A$2),2)&amp;"'!$A$10:$K$51"),MATCH(MID($A65,FIND(":",$A65)+2,LEN($A65)-FIND(":",$A65)+2),INDIRECT("'Annex 1 LV and HV charges"&amp;MID($A$2,FIND("_",$A$2),2)&amp;"'!$A$10:$A$51"),0),MATCH(H$13,$A$13:$J$13,0))-H65),"")</f>
        <v/>
      </c>
      <c r="P65" s="328" t="str">
        <f ca="1">IFERROR(IF(#REF!="","",INDEX(INDIRECT("'Annex 1 LV and HV charges"&amp;MID($A$2,FIND("_",$A$2),2)&amp;"'!$A$10:$K$51"),MATCH(MID($A65,FIND(":",$A65)+2,LEN($A65)-FIND(":",$A65)+2),INDIRECT("'Annex 1 LV and HV charges"&amp;MID($A$2,FIND("_",$A$2),2)&amp;"'!$A$10:$A$51"),0),MATCH(I$13,$A$13:$J$13,0))-I65),"")</f>
        <v/>
      </c>
      <c r="Q65" s="328" t="str">
        <f ca="1">IFERROR(IF(#REF!="","",INDEX(INDIRECT("'Annex 1 LV and HV charges"&amp;MID($A$2,FIND("_",$A$2),2)&amp;"'!$A$10:$K$51"),MATCH(MID($A65,FIND(":",$A65)+2,LEN($A65)-FIND(":",$A65)+2),INDIRECT("'Annex 1 LV and HV charges"&amp;MID($A$2,FIND("_",$A$2),2)&amp;"'!$A$10:$A$51"),0),MATCH(J$13,$A$13:$J$13,0))-J65),"")</f>
        <v/>
      </c>
    </row>
    <row r="66" spans="1:17" ht="27" customHeight="1" x14ac:dyDescent="0.2">
      <c r="A66" s="324" t="s">
        <v>584</v>
      </c>
      <c r="B66" s="25"/>
      <c r="C66" s="327">
        <v>4</v>
      </c>
      <c r="D66" s="92">
        <v>4.1719999999999997</v>
      </c>
      <c r="E66" s="93">
        <v>1.4550000000000001</v>
      </c>
      <c r="F66" s="94">
        <v>0.312</v>
      </c>
      <c r="G66" s="320" t="s">
        <v>840</v>
      </c>
      <c r="H66" s="320" t="s">
        <v>840</v>
      </c>
      <c r="I66" s="321" t="s">
        <v>840</v>
      </c>
      <c r="J66" s="27" t="s">
        <v>840</v>
      </c>
      <c r="K66" s="328" t="str">
        <f ca="1">IFERROR(IF(#REF!="","",INDEX(INDIRECT("'Annex 1 LV and HV charges"&amp;MID($A$2,FIND("_",$A$2),2)&amp;"'!$A$10:$K$51"),MATCH(MID($A66,FIND(":",$A66)+2,LEN($A66)-FIND(":",$A66)+2),INDIRECT("'Annex 1 LV and HV charges"&amp;MID($A$2,FIND("_",$A$2),2)&amp;"'!$A$10:$A$51"),0),MATCH(D$13,$A$13:$J$13,0))-D66),"")</f>
        <v/>
      </c>
      <c r="L66" s="328" t="str">
        <f ca="1">IFERROR(IF(#REF!="","",INDEX(INDIRECT("'Annex 1 LV and HV charges"&amp;MID($A$2,FIND("_",$A$2),2)&amp;"'!$A$10:$K$51"),MATCH(MID($A66,FIND(":",$A66)+2,LEN($A66)-FIND(":",$A66)+2),INDIRECT("'Annex 1 LV and HV charges"&amp;MID($A$2,FIND("_",$A$2),2)&amp;"'!$A$10:$A$51"),0),MATCH(E$13,$A$13:$J$13,0))-E66),"")</f>
        <v/>
      </c>
      <c r="M66" s="328" t="str">
        <f ca="1">IFERROR(IF(#REF!="","",INDEX(INDIRECT("'Annex 1 LV and HV charges"&amp;MID($A$2,FIND("_",$A$2),2)&amp;"'!$A$10:$K$51"),MATCH(MID($A66,FIND(":",$A66)+2,LEN($A66)-FIND(":",$A66)+2),INDIRECT("'Annex 1 LV and HV charges"&amp;MID($A$2,FIND("_",$A$2),2)&amp;"'!$A$10:$A$51"),0),MATCH(F$13,$A$13:$J$13,0))-F66),"")</f>
        <v/>
      </c>
      <c r="N66" s="328" t="str">
        <f ca="1">IFERROR(IF(#REF!="","",INDEX(INDIRECT("'Annex 1 LV and HV charges"&amp;MID($A$2,FIND("_",$A$2),2)&amp;"'!$A$10:$K$51"),MATCH(MID($A66,FIND(":",$A66)+2,LEN($A66)-FIND(":",$A66)+2),INDIRECT("'Annex 1 LV and HV charges"&amp;MID($A$2,FIND("_",$A$2),2)&amp;"'!$A$10:$A$51"),0),MATCH(G$13,$A$13:$J$13,0))-G66),"")</f>
        <v/>
      </c>
      <c r="O66" s="328" t="str">
        <f ca="1">IFERROR(IF(#REF!="","",INDEX(INDIRECT("'Annex 1 LV and HV charges"&amp;MID($A$2,FIND("_",$A$2),2)&amp;"'!$A$10:$K$51"),MATCH(MID($A66,FIND(":",$A66)+2,LEN($A66)-FIND(":",$A66)+2),INDIRECT("'Annex 1 LV and HV charges"&amp;MID($A$2,FIND("_",$A$2),2)&amp;"'!$A$10:$A$51"),0),MATCH(H$13,$A$13:$J$13,0))-H66),"")</f>
        <v/>
      </c>
      <c r="P66" s="328" t="str">
        <f ca="1">IFERROR(IF(#REF!="","",INDEX(INDIRECT("'Annex 1 LV and HV charges"&amp;MID($A$2,FIND("_",$A$2),2)&amp;"'!$A$10:$K$51"),MATCH(MID($A66,FIND(":",$A66)+2,LEN($A66)-FIND(":",$A66)+2),INDIRECT("'Annex 1 LV and HV charges"&amp;MID($A$2,FIND("_",$A$2),2)&amp;"'!$A$10:$A$51"),0),MATCH(I$13,$A$13:$J$13,0))-I66),"")</f>
        <v/>
      </c>
      <c r="Q66" s="328" t="str">
        <f ca="1">IFERROR(IF(#REF!="","",INDEX(INDIRECT("'Annex 1 LV and HV charges"&amp;MID($A$2,FIND("_",$A$2),2)&amp;"'!$A$10:$K$51"),MATCH(MID($A66,FIND(":",$A66)+2,LEN($A66)-FIND(":",$A66)+2),INDIRECT("'Annex 1 LV and HV charges"&amp;MID($A$2,FIND("_",$A$2),2)&amp;"'!$A$10:$A$51"),0),MATCH(J$13,$A$13:$J$13,0))-J66),"")</f>
        <v/>
      </c>
    </row>
    <row r="67" spans="1:17" ht="27" customHeight="1" x14ac:dyDescent="0.2">
      <c r="A67" s="324" t="s">
        <v>665</v>
      </c>
      <c r="B67" s="18"/>
      <c r="C67" s="327">
        <v>0</v>
      </c>
      <c r="D67" s="92">
        <v>2.58</v>
      </c>
      <c r="E67" s="93">
        <v>0.85399999999999998</v>
      </c>
      <c r="F67" s="94">
        <v>0.20599999999999999</v>
      </c>
      <c r="G67" s="319">
        <v>22.05</v>
      </c>
      <c r="H67" s="319">
        <v>4.17</v>
      </c>
      <c r="I67" s="322">
        <v>4.17</v>
      </c>
      <c r="J67" s="26">
        <v>0.13300000000000001</v>
      </c>
      <c r="K67" s="328" t="str">
        <f ca="1">IFERROR(IF(#REF!="","",INDEX(INDIRECT("'Annex 1 LV and HV charges"&amp;MID($A$2,FIND("_",$A$2),2)&amp;"'!$A$10:$K$51"),MATCH(MID($A67,FIND(":",$A67)+2,LEN($A67)-FIND(":",$A67)+2),INDIRECT("'Annex 1 LV and HV charges"&amp;MID($A$2,FIND("_",$A$2),2)&amp;"'!$A$10:$A$51"),0),MATCH(D$13,$A$13:$J$13,0))-D67),"")</f>
        <v/>
      </c>
      <c r="L67" s="328" t="str">
        <f ca="1">IFERROR(IF(#REF!="","",INDEX(INDIRECT("'Annex 1 LV and HV charges"&amp;MID($A$2,FIND("_",$A$2),2)&amp;"'!$A$10:$K$51"),MATCH(MID($A67,FIND(":",$A67)+2,LEN($A67)-FIND(":",$A67)+2),INDIRECT("'Annex 1 LV and HV charges"&amp;MID($A$2,FIND("_",$A$2),2)&amp;"'!$A$10:$A$51"),0),MATCH(E$13,$A$13:$J$13,0))-E67),"")</f>
        <v/>
      </c>
      <c r="M67" s="328" t="str">
        <f ca="1">IFERROR(IF(#REF!="","",INDEX(INDIRECT("'Annex 1 LV and HV charges"&amp;MID($A$2,FIND("_",$A$2),2)&amp;"'!$A$10:$K$51"),MATCH(MID($A67,FIND(":",$A67)+2,LEN($A67)-FIND(":",$A67)+2),INDIRECT("'Annex 1 LV and HV charges"&amp;MID($A$2,FIND("_",$A$2),2)&amp;"'!$A$10:$A$51"),0),MATCH(F$13,$A$13:$J$13,0))-F67),"")</f>
        <v/>
      </c>
      <c r="N67" s="328" t="str">
        <f ca="1">IFERROR(IF(#REF!="","",INDEX(INDIRECT("'Annex 1 LV and HV charges"&amp;MID($A$2,FIND("_",$A$2),2)&amp;"'!$A$10:$K$51"),MATCH(MID($A67,FIND(":",$A67)+2,LEN($A67)-FIND(":",$A67)+2),INDIRECT("'Annex 1 LV and HV charges"&amp;MID($A$2,FIND("_",$A$2),2)&amp;"'!$A$10:$A$51"),0),MATCH(G$13,$A$13:$J$13,0))-G67),"")</f>
        <v/>
      </c>
      <c r="O67" s="328" t="str">
        <f ca="1">IFERROR(IF(#REF!="","",INDEX(INDIRECT("'Annex 1 LV and HV charges"&amp;MID($A$2,FIND("_",$A$2),2)&amp;"'!$A$10:$K$51"),MATCH(MID($A67,FIND(":",$A67)+2,LEN($A67)-FIND(":",$A67)+2),INDIRECT("'Annex 1 LV and HV charges"&amp;MID($A$2,FIND("_",$A$2),2)&amp;"'!$A$10:$A$51"),0),MATCH(H$13,$A$13:$J$13,0))-H67),"")</f>
        <v/>
      </c>
      <c r="P67" s="328" t="str">
        <f ca="1">IFERROR(IF(#REF!="","",INDEX(INDIRECT("'Annex 1 LV and HV charges"&amp;MID($A$2,FIND("_",$A$2),2)&amp;"'!$A$10:$K$51"),MATCH(MID($A67,FIND(":",$A67)+2,LEN($A67)-FIND(":",$A67)+2),INDIRECT("'Annex 1 LV and HV charges"&amp;MID($A$2,FIND("_",$A$2),2)&amp;"'!$A$10:$A$51"),0),MATCH(I$13,$A$13:$J$13,0))-I67),"")</f>
        <v/>
      </c>
      <c r="Q67" s="328" t="str">
        <f ca="1">IFERROR(IF(#REF!="","",INDEX(INDIRECT("'Annex 1 LV and HV charges"&amp;MID($A$2,FIND("_",$A$2),2)&amp;"'!$A$10:$K$51"),MATCH(MID($A67,FIND(":",$A67)+2,LEN($A67)-FIND(":",$A67)+2),INDIRECT("'Annex 1 LV and HV charges"&amp;MID($A$2,FIND("_",$A$2),2)&amp;"'!$A$10:$A$51"),0),MATCH(J$13,$A$13:$J$13,0))-J67),"")</f>
        <v/>
      </c>
    </row>
    <row r="68" spans="1:17" ht="27" customHeight="1" x14ac:dyDescent="0.2">
      <c r="A68" s="324" t="s">
        <v>666</v>
      </c>
      <c r="B68" s="25"/>
      <c r="C68" s="327">
        <v>0</v>
      </c>
      <c r="D68" s="92">
        <v>2.4780000000000002</v>
      </c>
      <c r="E68" s="93">
        <v>0.752</v>
      </c>
      <c r="F68" s="94">
        <v>0.104</v>
      </c>
      <c r="G68" s="319" t="s">
        <v>840</v>
      </c>
      <c r="H68" s="319">
        <v>4.17</v>
      </c>
      <c r="I68" s="322">
        <v>4.17</v>
      </c>
      <c r="J68" s="26">
        <v>0.13300000000000001</v>
      </c>
      <c r="K68" s="328" t="str">
        <f ca="1">IFERROR(IF(#REF!="","",INDEX(INDIRECT("'Annex 1 LV and HV charges"&amp;MID($A$2,FIND("_",$A$2),2)&amp;"'!$A$10:$K$51"),MATCH(MID($A68,FIND(":",$A68)+2,LEN($A68)-FIND(":",$A68)+2),INDIRECT("'Annex 1 LV and HV charges"&amp;MID($A$2,FIND("_",$A$2),2)&amp;"'!$A$10:$A$51"),0),MATCH(D$13,$A$13:$J$13,0))-D68),"")</f>
        <v/>
      </c>
      <c r="L68" s="328" t="str">
        <f ca="1">IFERROR(IF(#REF!="","",INDEX(INDIRECT("'Annex 1 LV and HV charges"&amp;MID($A$2,FIND("_",$A$2),2)&amp;"'!$A$10:$K$51"),MATCH(MID($A68,FIND(":",$A68)+2,LEN($A68)-FIND(":",$A68)+2),INDIRECT("'Annex 1 LV and HV charges"&amp;MID($A$2,FIND("_",$A$2),2)&amp;"'!$A$10:$A$51"),0),MATCH(E$13,$A$13:$J$13,0))-E68),"")</f>
        <v/>
      </c>
      <c r="M68" s="328" t="str">
        <f ca="1">IFERROR(IF(#REF!="","",INDEX(INDIRECT("'Annex 1 LV and HV charges"&amp;MID($A$2,FIND("_",$A$2),2)&amp;"'!$A$10:$K$51"),MATCH(MID($A68,FIND(":",$A68)+2,LEN($A68)-FIND(":",$A68)+2),INDIRECT("'Annex 1 LV and HV charges"&amp;MID($A$2,FIND("_",$A$2),2)&amp;"'!$A$10:$A$51"),0),MATCH(F$13,$A$13:$J$13,0))-F68),"")</f>
        <v/>
      </c>
      <c r="N68" s="328" t="str">
        <f ca="1">IFERROR(IF(#REF!="","",INDEX(INDIRECT("'Annex 1 LV and HV charges"&amp;MID($A$2,FIND("_",$A$2),2)&amp;"'!$A$10:$K$51"),MATCH(MID($A68,FIND(":",$A68)+2,LEN($A68)-FIND(":",$A68)+2),INDIRECT("'Annex 1 LV and HV charges"&amp;MID($A$2,FIND("_",$A$2),2)&amp;"'!$A$10:$A$51"),0),MATCH(G$13,$A$13:$J$13,0))-G68),"")</f>
        <v/>
      </c>
      <c r="O68" s="328" t="str">
        <f ca="1">IFERROR(IF(#REF!="","",INDEX(INDIRECT("'Annex 1 LV and HV charges"&amp;MID($A$2,FIND("_",$A$2),2)&amp;"'!$A$10:$K$51"),MATCH(MID($A68,FIND(":",$A68)+2,LEN($A68)-FIND(":",$A68)+2),INDIRECT("'Annex 1 LV and HV charges"&amp;MID($A$2,FIND("_",$A$2),2)&amp;"'!$A$10:$A$51"),0),MATCH(H$13,$A$13:$J$13,0))-H68),"")</f>
        <v/>
      </c>
      <c r="P68" s="328" t="str">
        <f ca="1">IFERROR(IF(#REF!="","",INDEX(INDIRECT("'Annex 1 LV and HV charges"&amp;MID($A$2,FIND("_",$A$2),2)&amp;"'!$A$10:$K$51"),MATCH(MID($A68,FIND(":",$A68)+2,LEN($A68)-FIND(":",$A68)+2),INDIRECT("'Annex 1 LV and HV charges"&amp;MID($A$2,FIND("_",$A$2),2)&amp;"'!$A$10:$A$51"),0),MATCH(I$13,$A$13:$J$13,0))-I68),"")</f>
        <v/>
      </c>
      <c r="Q68" s="328" t="str">
        <f ca="1">IFERROR(IF(#REF!="","",INDEX(INDIRECT("'Annex 1 LV and HV charges"&amp;MID($A$2,FIND("_",$A$2),2)&amp;"'!$A$10:$K$51"),MATCH(MID($A68,FIND(":",$A68)+2,LEN($A68)-FIND(":",$A68)+2),INDIRECT("'Annex 1 LV and HV charges"&amp;MID($A$2,FIND("_",$A$2),2)&amp;"'!$A$10:$A$51"),0),MATCH(J$13,$A$13:$J$13,0))-J68),"")</f>
        <v/>
      </c>
    </row>
    <row r="69" spans="1:17" ht="27" customHeight="1" x14ac:dyDescent="0.2">
      <c r="A69" s="324" t="s">
        <v>667</v>
      </c>
      <c r="B69" s="18"/>
      <c r="C69" s="327">
        <v>0</v>
      </c>
      <c r="D69" s="92">
        <v>2.4260000000000002</v>
      </c>
      <c r="E69" s="93">
        <v>0.7</v>
      </c>
      <c r="F69" s="94">
        <v>0.09</v>
      </c>
      <c r="G69" s="319" t="s">
        <v>840</v>
      </c>
      <c r="H69" s="319">
        <v>4.17</v>
      </c>
      <c r="I69" s="322">
        <v>4.17</v>
      </c>
      <c r="J69" s="26">
        <v>0.13300000000000001</v>
      </c>
      <c r="K69" s="328" t="str">
        <f ca="1">IFERROR(IF(#REF!="","",INDEX(INDIRECT("'Annex 1 LV and HV charges"&amp;MID($A$2,FIND("_",$A$2),2)&amp;"'!$A$10:$K$51"),MATCH(MID($A69,FIND(":",$A69)+2,LEN($A69)-FIND(":",$A69)+2),INDIRECT("'Annex 1 LV and HV charges"&amp;MID($A$2,FIND("_",$A$2),2)&amp;"'!$A$10:$A$51"),0),MATCH(D$13,$A$13:$J$13,0))-D69),"")</f>
        <v/>
      </c>
      <c r="L69" s="328" t="str">
        <f ca="1">IFERROR(IF(#REF!="","",INDEX(INDIRECT("'Annex 1 LV and HV charges"&amp;MID($A$2,FIND("_",$A$2),2)&amp;"'!$A$10:$K$51"),MATCH(MID($A69,FIND(":",$A69)+2,LEN($A69)-FIND(":",$A69)+2),INDIRECT("'Annex 1 LV and HV charges"&amp;MID($A$2,FIND("_",$A$2),2)&amp;"'!$A$10:$A$51"),0),MATCH(E$13,$A$13:$J$13,0))-E69),"")</f>
        <v/>
      </c>
      <c r="M69" s="328" t="str">
        <f ca="1">IFERROR(IF(#REF!="","",INDEX(INDIRECT("'Annex 1 LV and HV charges"&amp;MID($A$2,FIND("_",$A$2),2)&amp;"'!$A$10:$K$51"),MATCH(MID($A69,FIND(":",$A69)+2,LEN($A69)-FIND(":",$A69)+2),INDIRECT("'Annex 1 LV and HV charges"&amp;MID($A$2,FIND("_",$A$2),2)&amp;"'!$A$10:$A$51"),0),MATCH(F$13,$A$13:$J$13,0))-F69),"")</f>
        <v/>
      </c>
      <c r="N69" s="328" t="str">
        <f ca="1">IFERROR(IF(#REF!="","",INDEX(INDIRECT("'Annex 1 LV and HV charges"&amp;MID($A$2,FIND("_",$A$2),2)&amp;"'!$A$10:$K$51"),MATCH(MID($A69,FIND(":",$A69)+2,LEN($A69)-FIND(":",$A69)+2),INDIRECT("'Annex 1 LV and HV charges"&amp;MID($A$2,FIND("_",$A$2),2)&amp;"'!$A$10:$A$51"),0),MATCH(G$13,$A$13:$J$13,0))-G69),"")</f>
        <v/>
      </c>
      <c r="O69" s="328" t="str">
        <f ca="1">IFERROR(IF(#REF!="","",INDEX(INDIRECT("'Annex 1 LV and HV charges"&amp;MID($A$2,FIND("_",$A$2),2)&amp;"'!$A$10:$K$51"),MATCH(MID($A69,FIND(":",$A69)+2,LEN($A69)-FIND(":",$A69)+2),INDIRECT("'Annex 1 LV and HV charges"&amp;MID($A$2,FIND("_",$A$2),2)&amp;"'!$A$10:$A$51"),0),MATCH(H$13,$A$13:$J$13,0))-H69),"")</f>
        <v/>
      </c>
      <c r="P69" s="328" t="str">
        <f ca="1">IFERROR(IF(#REF!="","",INDEX(INDIRECT("'Annex 1 LV and HV charges"&amp;MID($A$2,FIND("_",$A$2),2)&amp;"'!$A$10:$K$51"),MATCH(MID($A69,FIND(":",$A69)+2,LEN($A69)-FIND(":",$A69)+2),INDIRECT("'Annex 1 LV and HV charges"&amp;MID($A$2,FIND("_",$A$2),2)&amp;"'!$A$10:$A$51"),0),MATCH(I$13,$A$13:$J$13,0))-I69),"")</f>
        <v/>
      </c>
      <c r="Q69" s="328" t="str">
        <f ca="1">IFERROR(IF(#REF!="","",INDEX(INDIRECT("'Annex 1 LV and HV charges"&amp;MID($A$2,FIND("_",$A$2),2)&amp;"'!$A$10:$K$51"),MATCH(MID($A69,FIND(":",$A69)+2,LEN($A69)-FIND(":",$A69)+2),INDIRECT("'Annex 1 LV and HV charges"&amp;MID($A$2,FIND("_",$A$2),2)&amp;"'!$A$10:$A$51"),0),MATCH(J$13,$A$13:$J$13,0))-J69),"")</f>
        <v/>
      </c>
    </row>
    <row r="70" spans="1:17" ht="27" customHeight="1" x14ac:dyDescent="0.2">
      <c r="A70" s="324" t="s">
        <v>668</v>
      </c>
      <c r="B70" s="18"/>
      <c r="C70" s="327">
        <v>0</v>
      </c>
      <c r="D70" s="92">
        <v>2.3959999999999999</v>
      </c>
      <c r="E70" s="93">
        <v>0.66900000000000004</v>
      </c>
      <c r="F70" s="94">
        <v>0.09</v>
      </c>
      <c r="G70" s="319" t="s">
        <v>840</v>
      </c>
      <c r="H70" s="319">
        <v>4.17</v>
      </c>
      <c r="I70" s="322">
        <v>4.17</v>
      </c>
      <c r="J70" s="26">
        <v>0.13300000000000001</v>
      </c>
      <c r="K70" s="328" t="str">
        <f ca="1">IFERROR(IF(#REF!="","",INDEX(INDIRECT("'Annex 1 LV and HV charges"&amp;MID($A$2,FIND("_",$A$2),2)&amp;"'!$A$10:$K$51"),MATCH(MID($A70,FIND(":",$A70)+2,LEN($A70)-FIND(":",$A70)+2),INDIRECT("'Annex 1 LV and HV charges"&amp;MID($A$2,FIND("_",$A$2),2)&amp;"'!$A$10:$A$51"),0),MATCH(D$13,$A$13:$J$13,0))-D70),"")</f>
        <v/>
      </c>
      <c r="L70" s="328" t="str">
        <f ca="1">IFERROR(IF(#REF!="","",INDEX(INDIRECT("'Annex 1 LV and HV charges"&amp;MID($A$2,FIND("_",$A$2),2)&amp;"'!$A$10:$K$51"),MATCH(MID($A70,FIND(":",$A70)+2,LEN($A70)-FIND(":",$A70)+2),INDIRECT("'Annex 1 LV and HV charges"&amp;MID($A$2,FIND("_",$A$2),2)&amp;"'!$A$10:$A$51"),0),MATCH(E$13,$A$13:$J$13,0))-E70),"")</f>
        <v/>
      </c>
      <c r="M70" s="328" t="str">
        <f ca="1">IFERROR(IF(#REF!="","",INDEX(INDIRECT("'Annex 1 LV and HV charges"&amp;MID($A$2,FIND("_",$A$2),2)&amp;"'!$A$10:$K$51"),MATCH(MID($A70,FIND(":",$A70)+2,LEN($A70)-FIND(":",$A70)+2),INDIRECT("'Annex 1 LV and HV charges"&amp;MID($A$2,FIND("_",$A$2),2)&amp;"'!$A$10:$A$51"),0),MATCH(F$13,$A$13:$J$13,0))-F70),"")</f>
        <v/>
      </c>
      <c r="N70" s="328" t="str">
        <f ca="1">IFERROR(IF(#REF!="","",INDEX(INDIRECT("'Annex 1 LV and HV charges"&amp;MID($A$2,FIND("_",$A$2),2)&amp;"'!$A$10:$K$51"),MATCH(MID($A70,FIND(":",$A70)+2,LEN($A70)-FIND(":",$A70)+2),INDIRECT("'Annex 1 LV and HV charges"&amp;MID($A$2,FIND("_",$A$2),2)&amp;"'!$A$10:$A$51"),0),MATCH(G$13,$A$13:$J$13,0))-G70),"")</f>
        <v/>
      </c>
      <c r="O70" s="328" t="str">
        <f ca="1">IFERROR(IF(#REF!="","",INDEX(INDIRECT("'Annex 1 LV and HV charges"&amp;MID($A$2,FIND("_",$A$2),2)&amp;"'!$A$10:$K$51"),MATCH(MID($A70,FIND(":",$A70)+2,LEN($A70)-FIND(":",$A70)+2),INDIRECT("'Annex 1 LV and HV charges"&amp;MID($A$2,FIND("_",$A$2),2)&amp;"'!$A$10:$A$51"),0),MATCH(H$13,$A$13:$J$13,0))-H70),"")</f>
        <v/>
      </c>
      <c r="P70" s="328" t="str">
        <f ca="1">IFERROR(IF(#REF!="","",INDEX(INDIRECT("'Annex 1 LV and HV charges"&amp;MID($A$2,FIND("_",$A$2),2)&amp;"'!$A$10:$K$51"),MATCH(MID($A70,FIND(":",$A70)+2,LEN($A70)-FIND(":",$A70)+2),INDIRECT("'Annex 1 LV and HV charges"&amp;MID($A$2,FIND("_",$A$2),2)&amp;"'!$A$10:$A$51"),0),MATCH(I$13,$A$13:$J$13,0))-I70),"")</f>
        <v/>
      </c>
      <c r="Q70" s="328" t="str">
        <f ca="1">IFERROR(IF(#REF!="","",INDEX(INDIRECT("'Annex 1 LV and HV charges"&amp;MID($A$2,FIND("_",$A$2),2)&amp;"'!$A$10:$K$51"),MATCH(MID($A70,FIND(":",$A70)+2,LEN($A70)-FIND(":",$A70)+2),INDIRECT("'Annex 1 LV and HV charges"&amp;MID($A$2,FIND("_",$A$2),2)&amp;"'!$A$10:$A$51"),0),MATCH(J$13,$A$13:$J$13,0))-J70),"")</f>
        <v/>
      </c>
    </row>
    <row r="71" spans="1:17" ht="27" customHeight="1" x14ac:dyDescent="0.2">
      <c r="A71" s="324" t="s">
        <v>669</v>
      </c>
      <c r="B71" s="18"/>
      <c r="C71" s="327">
        <v>0</v>
      </c>
      <c r="D71" s="92">
        <v>2.3660000000000001</v>
      </c>
      <c r="E71" s="93">
        <v>0.64</v>
      </c>
      <c r="F71" s="94">
        <v>0.09</v>
      </c>
      <c r="G71" s="319" t="s">
        <v>840</v>
      </c>
      <c r="H71" s="319">
        <v>4.17</v>
      </c>
      <c r="I71" s="322">
        <v>4.17</v>
      </c>
      <c r="J71" s="26">
        <v>0.13300000000000001</v>
      </c>
      <c r="K71" s="328" t="str">
        <f ca="1">IFERROR(IF(#REF!="","",INDEX(INDIRECT("'Annex 1 LV and HV charges"&amp;MID($A$2,FIND("_",$A$2),2)&amp;"'!$A$10:$K$51"),MATCH(MID($A71,FIND(":",$A71)+2,LEN($A71)-FIND(":",$A71)+2),INDIRECT("'Annex 1 LV and HV charges"&amp;MID($A$2,FIND("_",$A$2),2)&amp;"'!$A$10:$A$51"),0),MATCH(D$13,$A$13:$J$13,0))-D71),"")</f>
        <v/>
      </c>
      <c r="L71" s="328" t="str">
        <f ca="1">IFERROR(IF(#REF!="","",INDEX(INDIRECT("'Annex 1 LV and HV charges"&amp;MID($A$2,FIND("_",$A$2),2)&amp;"'!$A$10:$K$51"),MATCH(MID($A71,FIND(":",$A71)+2,LEN($A71)-FIND(":",$A71)+2),INDIRECT("'Annex 1 LV and HV charges"&amp;MID($A$2,FIND("_",$A$2),2)&amp;"'!$A$10:$A$51"),0),MATCH(E$13,$A$13:$J$13,0))-E71),"")</f>
        <v/>
      </c>
      <c r="M71" s="328" t="str">
        <f ca="1">IFERROR(IF(#REF!="","",INDEX(INDIRECT("'Annex 1 LV and HV charges"&amp;MID($A$2,FIND("_",$A$2),2)&amp;"'!$A$10:$K$51"),MATCH(MID($A71,FIND(":",$A71)+2,LEN($A71)-FIND(":",$A71)+2),INDIRECT("'Annex 1 LV and HV charges"&amp;MID($A$2,FIND("_",$A$2),2)&amp;"'!$A$10:$A$51"),0),MATCH(F$13,$A$13:$J$13,0))-F71),"")</f>
        <v/>
      </c>
      <c r="N71" s="328" t="str">
        <f ca="1">IFERROR(IF(#REF!="","",INDEX(INDIRECT("'Annex 1 LV and HV charges"&amp;MID($A$2,FIND("_",$A$2),2)&amp;"'!$A$10:$K$51"),MATCH(MID($A71,FIND(":",$A71)+2,LEN($A71)-FIND(":",$A71)+2),INDIRECT("'Annex 1 LV and HV charges"&amp;MID($A$2,FIND("_",$A$2),2)&amp;"'!$A$10:$A$51"),0),MATCH(G$13,$A$13:$J$13,0))-G71),"")</f>
        <v/>
      </c>
      <c r="O71" s="328" t="str">
        <f ca="1">IFERROR(IF(#REF!="","",INDEX(INDIRECT("'Annex 1 LV and HV charges"&amp;MID($A$2,FIND("_",$A$2),2)&amp;"'!$A$10:$K$51"),MATCH(MID($A71,FIND(":",$A71)+2,LEN($A71)-FIND(":",$A71)+2),INDIRECT("'Annex 1 LV and HV charges"&amp;MID($A$2,FIND("_",$A$2),2)&amp;"'!$A$10:$A$51"),0),MATCH(H$13,$A$13:$J$13,0))-H71),"")</f>
        <v/>
      </c>
      <c r="P71" s="328" t="str">
        <f ca="1">IFERROR(IF(#REF!="","",INDEX(INDIRECT("'Annex 1 LV and HV charges"&amp;MID($A$2,FIND("_",$A$2),2)&amp;"'!$A$10:$K$51"),MATCH(MID($A71,FIND(":",$A71)+2,LEN($A71)-FIND(":",$A71)+2),INDIRECT("'Annex 1 LV and HV charges"&amp;MID($A$2,FIND("_",$A$2),2)&amp;"'!$A$10:$A$51"),0),MATCH(I$13,$A$13:$J$13,0))-I71),"")</f>
        <v/>
      </c>
      <c r="Q71" s="328" t="str">
        <f ca="1">IFERROR(IF(#REF!="","",INDEX(INDIRECT("'Annex 1 LV and HV charges"&amp;MID($A$2,FIND("_",$A$2),2)&amp;"'!$A$10:$K$51"),MATCH(MID($A71,FIND(":",$A71)+2,LEN($A71)-FIND(":",$A71)+2),INDIRECT("'Annex 1 LV and HV charges"&amp;MID($A$2,FIND("_",$A$2),2)&amp;"'!$A$10:$A$51"),0),MATCH(J$13,$A$13:$J$13,0))-J71),"")</f>
        <v/>
      </c>
    </row>
    <row r="72" spans="1:17" ht="27" customHeight="1" x14ac:dyDescent="0.2">
      <c r="A72" s="324" t="s">
        <v>670</v>
      </c>
      <c r="B72" s="18"/>
      <c r="C72" s="327">
        <v>0</v>
      </c>
      <c r="D72" s="92">
        <v>1.6220000000000001</v>
      </c>
      <c r="E72" s="93">
        <v>0.41199999999999998</v>
      </c>
      <c r="F72" s="94">
        <v>0.16300000000000001</v>
      </c>
      <c r="G72" s="319">
        <v>78.78</v>
      </c>
      <c r="H72" s="319">
        <v>7.63</v>
      </c>
      <c r="I72" s="322">
        <v>7.63</v>
      </c>
      <c r="J72" s="26">
        <v>7.4999999999999997E-2</v>
      </c>
      <c r="K72" s="328" t="str">
        <f ca="1">IFERROR(IF(#REF!="","",INDEX(INDIRECT("'Annex 1 LV and HV charges"&amp;MID($A$2,FIND("_",$A$2),2)&amp;"'!$A$10:$K$51"),MATCH(MID($A72,FIND(":",$A72)+2,LEN($A72)-FIND(":",$A72)+2),INDIRECT("'Annex 1 LV and HV charges"&amp;MID($A$2,FIND("_",$A$2),2)&amp;"'!$A$10:$A$51"),0),MATCH(D$13,$A$13:$J$13,0))-D72),"")</f>
        <v/>
      </c>
      <c r="L72" s="328" t="str">
        <f ca="1">IFERROR(IF(#REF!="","",INDEX(INDIRECT("'Annex 1 LV and HV charges"&amp;MID($A$2,FIND("_",$A$2),2)&amp;"'!$A$10:$K$51"),MATCH(MID($A72,FIND(":",$A72)+2,LEN($A72)-FIND(":",$A72)+2),INDIRECT("'Annex 1 LV and HV charges"&amp;MID($A$2,FIND("_",$A$2),2)&amp;"'!$A$10:$A$51"),0),MATCH(E$13,$A$13:$J$13,0))-E72),"")</f>
        <v/>
      </c>
      <c r="M72" s="328" t="str">
        <f ca="1">IFERROR(IF(#REF!="","",INDEX(INDIRECT("'Annex 1 LV and HV charges"&amp;MID($A$2,FIND("_",$A$2),2)&amp;"'!$A$10:$K$51"),MATCH(MID($A72,FIND(":",$A72)+2,LEN($A72)-FIND(":",$A72)+2),INDIRECT("'Annex 1 LV and HV charges"&amp;MID($A$2,FIND("_",$A$2),2)&amp;"'!$A$10:$A$51"),0),MATCH(F$13,$A$13:$J$13,0))-F72),"")</f>
        <v/>
      </c>
      <c r="N72" s="328" t="str">
        <f ca="1">IFERROR(IF(#REF!="","",INDEX(INDIRECT("'Annex 1 LV and HV charges"&amp;MID($A$2,FIND("_",$A$2),2)&amp;"'!$A$10:$K$51"),MATCH(MID($A72,FIND(":",$A72)+2,LEN($A72)-FIND(":",$A72)+2),INDIRECT("'Annex 1 LV and HV charges"&amp;MID($A$2,FIND("_",$A$2),2)&amp;"'!$A$10:$A$51"),0),MATCH(G$13,$A$13:$J$13,0))-G72),"")</f>
        <v/>
      </c>
      <c r="O72" s="328" t="str">
        <f ca="1">IFERROR(IF(#REF!="","",INDEX(INDIRECT("'Annex 1 LV and HV charges"&amp;MID($A$2,FIND("_",$A$2),2)&amp;"'!$A$10:$K$51"),MATCH(MID($A72,FIND(":",$A72)+2,LEN($A72)-FIND(":",$A72)+2),INDIRECT("'Annex 1 LV and HV charges"&amp;MID($A$2,FIND("_",$A$2),2)&amp;"'!$A$10:$A$51"),0),MATCH(H$13,$A$13:$J$13,0))-H72),"")</f>
        <v/>
      </c>
      <c r="P72" s="328" t="str">
        <f ca="1">IFERROR(IF(#REF!="","",INDEX(INDIRECT("'Annex 1 LV and HV charges"&amp;MID($A$2,FIND("_",$A$2),2)&amp;"'!$A$10:$K$51"),MATCH(MID($A72,FIND(":",$A72)+2,LEN($A72)-FIND(":",$A72)+2),INDIRECT("'Annex 1 LV and HV charges"&amp;MID($A$2,FIND("_",$A$2),2)&amp;"'!$A$10:$A$51"),0),MATCH(I$13,$A$13:$J$13,0))-I72),"")</f>
        <v/>
      </c>
      <c r="Q72" s="328" t="str">
        <f ca="1">IFERROR(IF(#REF!="","",INDEX(INDIRECT("'Annex 1 LV and HV charges"&amp;MID($A$2,FIND("_",$A$2),2)&amp;"'!$A$10:$K$51"),MATCH(MID($A72,FIND(":",$A72)+2,LEN($A72)-FIND(":",$A72)+2),INDIRECT("'Annex 1 LV and HV charges"&amp;MID($A$2,FIND("_",$A$2),2)&amp;"'!$A$10:$A$51"),0),MATCH(J$13,$A$13:$J$13,0))-J72),"")</f>
        <v/>
      </c>
    </row>
    <row r="73" spans="1:17" ht="27" customHeight="1" x14ac:dyDescent="0.2">
      <c r="A73" s="324" t="s">
        <v>671</v>
      </c>
      <c r="B73" s="25"/>
      <c r="C73" s="327">
        <v>0</v>
      </c>
      <c r="D73" s="92">
        <v>1.4790000000000001</v>
      </c>
      <c r="E73" s="93">
        <v>0.26900000000000002</v>
      </c>
      <c r="F73" s="94">
        <v>0.02</v>
      </c>
      <c r="G73" s="319">
        <v>47.7</v>
      </c>
      <c r="H73" s="319">
        <v>7.63</v>
      </c>
      <c r="I73" s="322">
        <v>7.63</v>
      </c>
      <c r="J73" s="26">
        <v>7.4999999999999997E-2</v>
      </c>
      <c r="K73" s="328" t="str">
        <f ca="1">IFERROR(IF(#REF!="","",INDEX(INDIRECT("'Annex 1 LV and HV charges"&amp;MID($A$2,FIND("_",$A$2),2)&amp;"'!$A$10:$K$51"),MATCH(MID($A73,FIND(":",$A73)+2,LEN($A73)-FIND(":",$A73)+2),INDIRECT("'Annex 1 LV and HV charges"&amp;MID($A$2,FIND("_",$A$2),2)&amp;"'!$A$10:$A$51"),0),MATCH(D$13,$A$13:$J$13,0))-D73),"")</f>
        <v/>
      </c>
      <c r="L73" s="328" t="str">
        <f ca="1">IFERROR(IF(#REF!="","",INDEX(INDIRECT("'Annex 1 LV and HV charges"&amp;MID($A$2,FIND("_",$A$2),2)&amp;"'!$A$10:$K$51"),MATCH(MID($A73,FIND(":",$A73)+2,LEN($A73)-FIND(":",$A73)+2),INDIRECT("'Annex 1 LV and HV charges"&amp;MID($A$2,FIND("_",$A$2),2)&amp;"'!$A$10:$A$51"),0),MATCH(E$13,$A$13:$J$13,0))-E73),"")</f>
        <v/>
      </c>
      <c r="M73" s="328" t="str">
        <f ca="1">IFERROR(IF(#REF!="","",INDEX(INDIRECT("'Annex 1 LV and HV charges"&amp;MID($A$2,FIND("_",$A$2),2)&amp;"'!$A$10:$K$51"),MATCH(MID($A73,FIND(":",$A73)+2,LEN($A73)-FIND(":",$A73)+2),INDIRECT("'Annex 1 LV and HV charges"&amp;MID($A$2,FIND("_",$A$2),2)&amp;"'!$A$10:$A$51"),0),MATCH(F$13,$A$13:$J$13,0))-F73),"")</f>
        <v/>
      </c>
      <c r="N73" s="328" t="str">
        <f ca="1">IFERROR(IF(#REF!="","",INDEX(INDIRECT("'Annex 1 LV and HV charges"&amp;MID($A$2,FIND("_",$A$2),2)&amp;"'!$A$10:$K$51"),MATCH(MID($A73,FIND(":",$A73)+2,LEN($A73)-FIND(":",$A73)+2),INDIRECT("'Annex 1 LV and HV charges"&amp;MID($A$2,FIND("_",$A$2),2)&amp;"'!$A$10:$A$51"),0),MATCH(G$13,$A$13:$J$13,0))-G73),"")</f>
        <v/>
      </c>
      <c r="O73" s="328" t="str">
        <f ca="1">IFERROR(IF(#REF!="","",INDEX(INDIRECT("'Annex 1 LV and HV charges"&amp;MID($A$2,FIND("_",$A$2),2)&amp;"'!$A$10:$K$51"),MATCH(MID($A73,FIND(":",$A73)+2,LEN($A73)-FIND(":",$A73)+2),INDIRECT("'Annex 1 LV and HV charges"&amp;MID($A$2,FIND("_",$A$2),2)&amp;"'!$A$10:$A$51"),0),MATCH(H$13,$A$13:$J$13,0))-H73),"")</f>
        <v/>
      </c>
      <c r="P73" s="328" t="str">
        <f ca="1">IFERROR(IF(#REF!="","",INDEX(INDIRECT("'Annex 1 LV and HV charges"&amp;MID($A$2,FIND("_",$A$2),2)&amp;"'!$A$10:$K$51"),MATCH(MID($A73,FIND(":",$A73)+2,LEN($A73)-FIND(":",$A73)+2),INDIRECT("'Annex 1 LV and HV charges"&amp;MID($A$2,FIND("_",$A$2),2)&amp;"'!$A$10:$A$51"),0),MATCH(I$13,$A$13:$J$13,0))-I73),"")</f>
        <v/>
      </c>
      <c r="Q73" s="328" t="str">
        <f ca="1">IFERROR(IF(#REF!="","",INDEX(INDIRECT("'Annex 1 LV and HV charges"&amp;MID($A$2,FIND("_",$A$2),2)&amp;"'!$A$10:$K$51"),MATCH(MID($A73,FIND(":",$A73)+2,LEN($A73)-FIND(":",$A73)+2),INDIRECT("'Annex 1 LV and HV charges"&amp;MID($A$2,FIND("_",$A$2),2)&amp;"'!$A$10:$A$51"),0),MATCH(J$13,$A$13:$J$13,0))-J73),"")</f>
        <v/>
      </c>
    </row>
    <row r="74" spans="1:17" ht="27" customHeight="1" x14ac:dyDescent="0.2">
      <c r="A74" s="324" t="s">
        <v>672</v>
      </c>
      <c r="B74" s="18"/>
      <c r="C74" s="327">
        <v>0</v>
      </c>
      <c r="D74" s="92">
        <v>1.405</v>
      </c>
      <c r="E74" s="93">
        <v>0.19500000000000001</v>
      </c>
      <c r="F74" s="94" t="s">
        <v>840</v>
      </c>
      <c r="G74" s="319">
        <v>47.7</v>
      </c>
      <c r="H74" s="319">
        <v>7.63</v>
      </c>
      <c r="I74" s="322">
        <v>7.63</v>
      </c>
      <c r="J74" s="26">
        <v>7.4999999999999997E-2</v>
      </c>
      <c r="K74" s="328" t="str">
        <f ca="1">IFERROR(IF(#REF!="","",INDEX(INDIRECT("'Annex 1 LV and HV charges"&amp;MID($A$2,FIND("_",$A$2),2)&amp;"'!$A$10:$K$51"),MATCH(MID($A74,FIND(":",$A74)+2,LEN($A74)-FIND(":",$A74)+2),INDIRECT("'Annex 1 LV and HV charges"&amp;MID($A$2,FIND("_",$A$2),2)&amp;"'!$A$10:$A$51"),0),MATCH(D$13,$A$13:$J$13,0))-D74),"")</f>
        <v/>
      </c>
      <c r="L74" s="328" t="str">
        <f ca="1">IFERROR(IF(#REF!="","",INDEX(INDIRECT("'Annex 1 LV and HV charges"&amp;MID($A$2,FIND("_",$A$2),2)&amp;"'!$A$10:$K$51"),MATCH(MID($A74,FIND(":",$A74)+2,LEN($A74)-FIND(":",$A74)+2),INDIRECT("'Annex 1 LV and HV charges"&amp;MID($A$2,FIND("_",$A$2),2)&amp;"'!$A$10:$A$51"),0),MATCH(E$13,$A$13:$J$13,0))-E74),"")</f>
        <v/>
      </c>
      <c r="M74" s="328" t="str">
        <f ca="1">IFERROR(IF(#REF!="","",INDEX(INDIRECT("'Annex 1 LV and HV charges"&amp;MID($A$2,FIND("_",$A$2),2)&amp;"'!$A$10:$K$51"),MATCH(MID($A74,FIND(":",$A74)+2,LEN($A74)-FIND(":",$A74)+2),INDIRECT("'Annex 1 LV and HV charges"&amp;MID($A$2,FIND("_",$A$2),2)&amp;"'!$A$10:$A$51"),0),MATCH(F$13,$A$13:$J$13,0))-F74),"")</f>
        <v/>
      </c>
      <c r="N74" s="328" t="str">
        <f ca="1">IFERROR(IF(#REF!="","",INDEX(INDIRECT("'Annex 1 LV and HV charges"&amp;MID($A$2,FIND("_",$A$2),2)&amp;"'!$A$10:$K$51"),MATCH(MID($A74,FIND(":",$A74)+2,LEN($A74)-FIND(":",$A74)+2),INDIRECT("'Annex 1 LV and HV charges"&amp;MID($A$2,FIND("_",$A$2),2)&amp;"'!$A$10:$A$51"),0),MATCH(G$13,$A$13:$J$13,0))-G74),"")</f>
        <v/>
      </c>
      <c r="O74" s="328" t="str">
        <f ca="1">IFERROR(IF(#REF!="","",INDEX(INDIRECT("'Annex 1 LV and HV charges"&amp;MID($A$2,FIND("_",$A$2),2)&amp;"'!$A$10:$K$51"),MATCH(MID($A74,FIND(":",$A74)+2,LEN($A74)-FIND(":",$A74)+2),INDIRECT("'Annex 1 LV and HV charges"&amp;MID($A$2,FIND("_",$A$2),2)&amp;"'!$A$10:$A$51"),0),MATCH(H$13,$A$13:$J$13,0))-H74),"")</f>
        <v/>
      </c>
      <c r="P74" s="328" t="str">
        <f ca="1">IFERROR(IF(#REF!="","",INDEX(INDIRECT("'Annex 1 LV and HV charges"&amp;MID($A$2,FIND("_",$A$2),2)&amp;"'!$A$10:$K$51"),MATCH(MID($A74,FIND(":",$A74)+2,LEN($A74)-FIND(":",$A74)+2),INDIRECT("'Annex 1 LV and HV charges"&amp;MID($A$2,FIND("_",$A$2),2)&amp;"'!$A$10:$A$51"),0),MATCH(I$13,$A$13:$J$13,0))-I74),"")</f>
        <v/>
      </c>
      <c r="Q74" s="328" t="str">
        <f ca="1">IFERROR(IF(#REF!="","",INDEX(INDIRECT("'Annex 1 LV and HV charges"&amp;MID($A$2,FIND("_",$A$2),2)&amp;"'!$A$10:$K$51"),MATCH(MID($A74,FIND(":",$A74)+2,LEN($A74)-FIND(":",$A74)+2),INDIRECT("'Annex 1 LV and HV charges"&amp;MID($A$2,FIND("_",$A$2),2)&amp;"'!$A$10:$A$51"),0),MATCH(J$13,$A$13:$J$13,0))-J74),"")</f>
        <v/>
      </c>
    </row>
    <row r="75" spans="1:17" ht="27" customHeight="1" x14ac:dyDescent="0.2">
      <c r="A75" s="324" t="s">
        <v>673</v>
      </c>
      <c r="B75" s="18"/>
      <c r="C75" s="327">
        <v>0</v>
      </c>
      <c r="D75" s="92">
        <v>1.3620000000000001</v>
      </c>
      <c r="E75" s="93">
        <v>0.152</v>
      </c>
      <c r="F75" s="94" t="s">
        <v>840</v>
      </c>
      <c r="G75" s="319">
        <v>47.7</v>
      </c>
      <c r="H75" s="319">
        <v>7.63</v>
      </c>
      <c r="I75" s="322">
        <v>7.63</v>
      </c>
      <c r="J75" s="26">
        <v>7.4999999999999997E-2</v>
      </c>
      <c r="K75" s="328" t="str">
        <f ca="1">IFERROR(IF(#REF!="","",INDEX(INDIRECT("'Annex 1 LV and HV charges"&amp;MID($A$2,FIND("_",$A$2),2)&amp;"'!$A$10:$K$51"),MATCH(MID($A75,FIND(":",$A75)+2,LEN($A75)-FIND(":",$A75)+2),INDIRECT("'Annex 1 LV and HV charges"&amp;MID($A$2,FIND("_",$A$2),2)&amp;"'!$A$10:$A$51"),0),MATCH(D$13,$A$13:$J$13,0))-D75),"")</f>
        <v/>
      </c>
      <c r="L75" s="328" t="str">
        <f ca="1">IFERROR(IF(#REF!="","",INDEX(INDIRECT("'Annex 1 LV and HV charges"&amp;MID($A$2,FIND("_",$A$2),2)&amp;"'!$A$10:$K$51"),MATCH(MID($A75,FIND(":",$A75)+2,LEN($A75)-FIND(":",$A75)+2),INDIRECT("'Annex 1 LV and HV charges"&amp;MID($A$2,FIND("_",$A$2),2)&amp;"'!$A$10:$A$51"),0),MATCH(E$13,$A$13:$J$13,0))-E75),"")</f>
        <v/>
      </c>
      <c r="M75" s="328" t="str">
        <f ca="1">IFERROR(IF(#REF!="","",INDEX(INDIRECT("'Annex 1 LV and HV charges"&amp;MID($A$2,FIND("_",$A$2),2)&amp;"'!$A$10:$K$51"),MATCH(MID($A75,FIND(":",$A75)+2,LEN($A75)-FIND(":",$A75)+2),INDIRECT("'Annex 1 LV and HV charges"&amp;MID($A$2,FIND("_",$A$2),2)&amp;"'!$A$10:$A$51"),0),MATCH(F$13,$A$13:$J$13,0))-F75),"")</f>
        <v/>
      </c>
      <c r="N75" s="328" t="str">
        <f ca="1">IFERROR(IF(#REF!="","",INDEX(INDIRECT("'Annex 1 LV and HV charges"&amp;MID($A$2,FIND("_",$A$2),2)&amp;"'!$A$10:$K$51"),MATCH(MID($A75,FIND(":",$A75)+2,LEN($A75)-FIND(":",$A75)+2),INDIRECT("'Annex 1 LV and HV charges"&amp;MID($A$2,FIND("_",$A$2),2)&amp;"'!$A$10:$A$51"),0),MATCH(G$13,$A$13:$J$13,0))-G75),"")</f>
        <v/>
      </c>
      <c r="O75" s="328" t="str">
        <f ca="1">IFERROR(IF(#REF!="","",INDEX(INDIRECT("'Annex 1 LV and HV charges"&amp;MID($A$2,FIND("_",$A$2),2)&amp;"'!$A$10:$K$51"),MATCH(MID($A75,FIND(":",$A75)+2,LEN($A75)-FIND(":",$A75)+2),INDIRECT("'Annex 1 LV and HV charges"&amp;MID($A$2,FIND("_",$A$2),2)&amp;"'!$A$10:$A$51"),0),MATCH(H$13,$A$13:$J$13,0))-H75),"")</f>
        <v/>
      </c>
      <c r="P75" s="328" t="str">
        <f ca="1">IFERROR(IF(#REF!="","",INDEX(INDIRECT("'Annex 1 LV and HV charges"&amp;MID($A$2,FIND("_",$A$2),2)&amp;"'!$A$10:$K$51"),MATCH(MID($A75,FIND(":",$A75)+2,LEN($A75)-FIND(":",$A75)+2),INDIRECT("'Annex 1 LV and HV charges"&amp;MID($A$2,FIND("_",$A$2),2)&amp;"'!$A$10:$A$51"),0),MATCH(I$13,$A$13:$J$13,0))-I75),"")</f>
        <v/>
      </c>
      <c r="Q75" s="328" t="str">
        <f ca="1">IFERROR(IF(#REF!="","",INDEX(INDIRECT("'Annex 1 LV and HV charges"&amp;MID($A$2,FIND("_",$A$2),2)&amp;"'!$A$10:$K$51"),MATCH(MID($A75,FIND(":",$A75)+2,LEN($A75)-FIND(":",$A75)+2),INDIRECT("'Annex 1 LV and HV charges"&amp;MID($A$2,FIND("_",$A$2),2)&amp;"'!$A$10:$A$51"),0),MATCH(J$13,$A$13:$J$13,0))-J75),"")</f>
        <v/>
      </c>
    </row>
    <row r="76" spans="1:17" ht="27" customHeight="1" x14ac:dyDescent="0.2">
      <c r="A76" s="324" t="s">
        <v>674</v>
      </c>
      <c r="B76" s="18"/>
      <c r="C76" s="327">
        <v>0</v>
      </c>
      <c r="D76" s="92">
        <v>1.321</v>
      </c>
      <c r="E76" s="93">
        <v>0.11</v>
      </c>
      <c r="F76" s="94" t="s">
        <v>840</v>
      </c>
      <c r="G76" s="319">
        <v>47.7</v>
      </c>
      <c r="H76" s="319">
        <v>7.63</v>
      </c>
      <c r="I76" s="322">
        <v>7.63</v>
      </c>
      <c r="J76" s="26">
        <v>7.4999999999999997E-2</v>
      </c>
      <c r="K76" s="328" t="str">
        <f ca="1">IFERROR(IF(#REF!="","",INDEX(INDIRECT("'Annex 1 LV and HV charges"&amp;MID($A$2,FIND("_",$A$2),2)&amp;"'!$A$10:$K$51"),MATCH(MID($A76,FIND(":",$A76)+2,LEN($A76)-FIND(":",$A76)+2),INDIRECT("'Annex 1 LV and HV charges"&amp;MID($A$2,FIND("_",$A$2),2)&amp;"'!$A$10:$A$51"),0),MATCH(D$13,$A$13:$J$13,0))-D76),"")</f>
        <v/>
      </c>
      <c r="L76" s="328" t="str">
        <f ca="1">IFERROR(IF(#REF!="","",INDEX(INDIRECT("'Annex 1 LV and HV charges"&amp;MID($A$2,FIND("_",$A$2),2)&amp;"'!$A$10:$K$51"),MATCH(MID($A76,FIND(":",$A76)+2,LEN($A76)-FIND(":",$A76)+2),INDIRECT("'Annex 1 LV and HV charges"&amp;MID($A$2,FIND("_",$A$2),2)&amp;"'!$A$10:$A$51"),0),MATCH(E$13,$A$13:$J$13,0))-E76),"")</f>
        <v/>
      </c>
      <c r="M76" s="328" t="str">
        <f ca="1">IFERROR(IF(#REF!="","",INDEX(INDIRECT("'Annex 1 LV and HV charges"&amp;MID($A$2,FIND("_",$A$2),2)&amp;"'!$A$10:$K$51"),MATCH(MID($A76,FIND(":",$A76)+2,LEN($A76)-FIND(":",$A76)+2),INDIRECT("'Annex 1 LV and HV charges"&amp;MID($A$2,FIND("_",$A$2),2)&amp;"'!$A$10:$A$51"),0),MATCH(F$13,$A$13:$J$13,0))-F76),"")</f>
        <v/>
      </c>
      <c r="N76" s="328" t="str">
        <f ca="1">IFERROR(IF(#REF!="","",INDEX(INDIRECT("'Annex 1 LV and HV charges"&amp;MID($A$2,FIND("_",$A$2),2)&amp;"'!$A$10:$K$51"),MATCH(MID($A76,FIND(":",$A76)+2,LEN($A76)-FIND(":",$A76)+2),INDIRECT("'Annex 1 LV and HV charges"&amp;MID($A$2,FIND("_",$A$2),2)&amp;"'!$A$10:$A$51"),0),MATCH(G$13,$A$13:$J$13,0))-G76),"")</f>
        <v/>
      </c>
      <c r="O76" s="328" t="str">
        <f ca="1">IFERROR(IF(#REF!="","",INDEX(INDIRECT("'Annex 1 LV and HV charges"&amp;MID($A$2,FIND("_",$A$2),2)&amp;"'!$A$10:$K$51"),MATCH(MID($A76,FIND(":",$A76)+2,LEN($A76)-FIND(":",$A76)+2),INDIRECT("'Annex 1 LV and HV charges"&amp;MID($A$2,FIND("_",$A$2),2)&amp;"'!$A$10:$A$51"),0),MATCH(H$13,$A$13:$J$13,0))-H76),"")</f>
        <v/>
      </c>
      <c r="P76" s="328" t="str">
        <f ca="1">IFERROR(IF(#REF!="","",INDEX(INDIRECT("'Annex 1 LV and HV charges"&amp;MID($A$2,FIND("_",$A$2),2)&amp;"'!$A$10:$K$51"),MATCH(MID($A76,FIND(":",$A76)+2,LEN($A76)-FIND(":",$A76)+2),INDIRECT("'Annex 1 LV and HV charges"&amp;MID($A$2,FIND("_",$A$2),2)&amp;"'!$A$10:$A$51"),0),MATCH(I$13,$A$13:$J$13,0))-I76),"")</f>
        <v/>
      </c>
      <c r="Q76" s="328" t="str">
        <f ca="1">IFERROR(IF(#REF!="","",INDEX(INDIRECT("'Annex 1 LV and HV charges"&amp;MID($A$2,FIND("_",$A$2),2)&amp;"'!$A$10:$K$51"),MATCH(MID($A76,FIND(":",$A76)+2,LEN($A76)-FIND(":",$A76)+2),INDIRECT("'Annex 1 LV and HV charges"&amp;MID($A$2,FIND("_",$A$2),2)&amp;"'!$A$10:$A$51"),0),MATCH(J$13,$A$13:$J$13,0))-J76),"")</f>
        <v/>
      </c>
    </row>
    <row r="77" spans="1:17" ht="27" customHeight="1" x14ac:dyDescent="0.2">
      <c r="A77" s="324" t="s">
        <v>675</v>
      </c>
      <c r="B77" s="18"/>
      <c r="C77" s="327">
        <v>0</v>
      </c>
      <c r="D77" s="92">
        <v>0.90700000000000003</v>
      </c>
      <c r="E77" s="93">
        <v>0.24199999999999999</v>
      </c>
      <c r="F77" s="94">
        <v>0.14899999999999999</v>
      </c>
      <c r="G77" s="319">
        <v>378.34</v>
      </c>
      <c r="H77" s="319">
        <v>9.25</v>
      </c>
      <c r="I77" s="322">
        <v>9.25</v>
      </c>
      <c r="J77" s="26">
        <v>4.7E-2</v>
      </c>
      <c r="K77" s="328" t="str">
        <f ca="1">IFERROR(IF(#REF!="","",INDEX(INDIRECT("'Annex 1 LV and HV charges"&amp;MID($A$2,FIND("_",$A$2),2)&amp;"'!$A$10:$K$51"),MATCH(MID($A77,FIND(":",$A77)+2,LEN($A77)-FIND(":",$A77)+2),INDIRECT("'Annex 1 LV and HV charges"&amp;MID($A$2,FIND("_",$A$2),2)&amp;"'!$A$10:$A$51"),0),MATCH(D$13,$A$13:$J$13,0))-D77),"")</f>
        <v/>
      </c>
      <c r="L77" s="328" t="str">
        <f ca="1">IFERROR(IF(#REF!="","",INDEX(INDIRECT("'Annex 1 LV and HV charges"&amp;MID($A$2,FIND("_",$A$2),2)&amp;"'!$A$10:$K$51"),MATCH(MID($A77,FIND(":",$A77)+2,LEN($A77)-FIND(":",$A77)+2),INDIRECT("'Annex 1 LV and HV charges"&amp;MID($A$2,FIND("_",$A$2),2)&amp;"'!$A$10:$A$51"),0),MATCH(E$13,$A$13:$J$13,0))-E77),"")</f>
        <v/>
      </c>
      <c r="M77" s="328" t="str">
        <f ca="1">IFERROR(IF(#REF!="","",INDEX(INDIRECT("'Annex 1 LV and HV charges"&amp;MID($A$2,FIND("_",$A$2),2)&amp;"'!$A$10:$K$51"),MATCH(MID($A77,FIND(":",$A77)+2,LEN($A77)-FIND(":",$A77)+2),INDIRECT("'Annex 1 LV and HV charges"&amp;MID($A$2,FIND("_",$A$2),2)&amp;"'!$A$10:$A$51"),0),MATCH(F$13,$A$13:$J$13,0))-F77),"")</f>
        <v/>
      </c>
      <c r="N77" s="328" t="str">
        <f ca="1">IFERROR(IF(#REF!="","",INDEX(INDIRECT("'Annex 1 LV and HV charges"&amp;MID($A$2,FIND("_",$A$2),2)&amp;"'!$A$10:$K$51"),MATCH(MID($A77,FIND(":",$A77)+2,LEN($A77)-FIND(":",$A77)+2),INDIRECT("'Annex 1 LV and HV charges"&amp;MID($A$2,FIND("_",$A$2),2)&amp;"'!$A$10:$A$51"),0),MATCH(G$13,$A$13:$J$13,0))-G77),"")</f>
        <v/>
      </c>
      <c r="O77" s="328" t="str">
        <f ca="1">IFERROR(IF(#REF!="","",INDEX(INDIRECT("'Annex 1 LV and HV charges"&amp;MID($A$2,FIND("_",$A$2),2)&amp;"'!$A$10:$K$51"),MATCH(MID($A77,FIND(":",$A77)+2,LEN($A77)-FIND(":",$A77)+2),INDIRECT("'Annex 1 LV and HV charges"&amp;MID($A$2,FIND("_",$A$2),2)&amp;"'!$A$10:$A$51"),0),MATCH(H$13,$A$13:$J$13,0))-H77),"")</f>
        <v/>
      </c>
      <c r="P77" s="328" t="str">
        <f ca="1">IFERROR(IF(#REF!="","",INDEX(INDIRECT("'Annex 1 LV and HV charges"&amp;MID($A$2,FIND("_",$A$2),2)&amp;"'!$A$10:$K$51"),MATCH(MID($A77,FIND(":",$A77)+2,LEN($A77)-FIND(":",$A77)+2),INDIRECT("'Annex 1 LV and HV charges"&amp;MID($A$2,FIND("_",$A$2),2)&amp;"'!$A$10:$A$51"),0),MATCH(I$13,$A$13:$J$13,0))-I77),"")</f>
        <v/>
      </c>
      <c r="Q77" s="328" t="str">
        <f ca="1">IFERROR(IF(#REF!="","",INDEX(INDIRECT("'Annex 1 LV and HV charges"&amp;MID($A$2,FIND("_",$A$2),2)&amp;"'!$A$10:$K$51"),MATCH(MID($A77,FIND(":",$A77)+2,LEN($A77)-FIND(":",$A77)+2),INDIRECT("'Annex 1 LV and HV charges"&amp;MID($A$2,FIND("_",$A$2),2)&amp;"'!$A$10:$A$51"),0),MATCH(J$13,$A$13:$J$13,0))-J77),"")</f>
        <v/>
      </c>
    </row>
    <row r="78" spans="1:17" ht="27" customHeight="1" x14ac:dyDescent="0.2">
      <c r="A78" s="324" t="s">
        <v>676</v>
      </c>
      <c r="B78" s="25"/>
      <c r="C78" s="327">
        <v>0</v>
      </c>
      <c r="D78" s="92">
        <v>0.90700000000000003</v>
      </c>
      <c r="E78" s="93">
        <v>0.24199999999999999</v>
      </c>
      <c r="F78" s="94">
        <v>0.14899999999999999</v>
      </c>
      <c r="G78" s="319">
        <v>51.36</v>
      </c>
      <c r="H78" s="319">
        <v>9.25</v>
      </c>
      <c r="I78" s="322">
        <v>9.25</v>
      </c>
      <c r="J78" s="26">
        <v>4.7E-2</v>
      </c>
      <c r="K78" s="328" t="str">
        <f ca="1">IFERROR(IF(#REF!="","",INDEX(INDIRECT("'Annex 1 LV and HV charges"&amp;MID($A$2,FIND("_",$A$2),2)&amp;"'!$A$10:$K$51"),MATCH(MID($A78,FIND(":",$A78)+2,LEN($A78)-FIND(":",$A78)+2),INDIRECT("'Annex 1 LV and HV charges"&amp;MID($A$2,FIND("_",$A$2),2)&amp;"'!$A$10:$A$51"),0),MATCH(D$13,$A$13:$J$13,0))-D78),"")</f>
        <v/>
      </c>
      <c r="L78" s="328" t="str">
        <f ca="1">IFERROR(IF(#REF!="","",INDEX(INDIRECT("'Annex 1 LV and HV charges"&amp;MID($A$2,FIND("_",$A$2),2)&amp;"'!$A$10:$K$51"),MATCH(MID($A78,FIND(":",$A78)+2,LEN($A78)-FIND(":",$A78)+2),INDIRECT("'Annex 1 LV and HV charges"&amp;MID($A$2,FIND("_",$A$2),2)&amp;"'!$A$10:$A$51"),0),MATCH(E$13,$A$13:$J$13,0))-E78),"")</f>
        <v/>
      </c>
      <c r="M78" s="328" t="str">
        <f ca="1">IFERROR(IF(#REF!="","",INDEX(INDIRECT("'Annex 1 LV and HV charges"&amp;MID($A$2,FIND("_",$A$2),2)&amp;"'!$A$10:$K$51"),MATCH(MID($A78,FIND(":",$A78)+2,LEN($A78)-FIND(":",$A78)+2),INDIRECT("'Annex 1 LV and HV charges"&amp;MID($A$2,FIND("_",$A$2),2)&amp;"'!$A$10:$A$51"),0),MATCH(F$13,$A$13:$J$13,0))-F78),"")</f>
        <v/>
      </c>
      <c r="N78" s="328" t="str">
        <f ca="1">IFERROR(IF(#REF!="","",INDEX(INDIRECT("'Annex 1 LV and HV charges"&amp;MID($A$2,FIND("_",$A$2),2)&amp;"'!$A$10:$K$51"),MATCH(MID($A78,FIND(":",$A78)+2,LEN($A78)-FIND(":",$A78)+2),INDIRECT("'Annex 1 LV and HV charges"&amp;MID($A$2,FIND("_",$A$2),2)&amp;"'!$A$10:$A$51"),0),MATCH(G$13,$A$13:$J$13,0))-G78),"")</f>
        <v/>
      </c>
      <c r="O78" s="328" t="str">
        <f ca="1">IFERROR(IF(#REF!="","",INDEX(INDIRECT("'Annex 1 LV and HV charges"&amp;MID($A$2,FIND("_",$A$2),2)&amp;"'!$A$10:$K$51"),MATCH(MID($A78,FIND(":",$A78)+2,LEN($A78)-FIND(":",$A78)+2),INDIRECT("'Annex 1 LV and HV charges"&amp;MID($A$2,FIND("_",$A$2),2)&amp;"'!$A$10:$A$51"),0),MATCH(H$13,$A$13:$J$13,0))-H78),"")</f>
        <v/>
      </c>
      <c r="P78" s="328" t="str">
        <f ca="1">IFERROR(IF(#REF!="","",INDEX(INDIRECT("'Annex 1 LV and HV charges"&amp;MID($A$2,FIND("_",$A$2),2)&amp;"'!$A$10:$K$51"),MATCH(MID($A78,FIND(":",$A78)+2,LEN($A78)-FIND(":",$A78)+2),INDIRECT("'Annex 1 LV and HV charges"&amp;MID($A$2,FIND("_",$A$2),2)&amp;"'!$A$10:$A$51"),0),MATCH(I$13,$A$13:$J$13,0))-I78),"")</f>
        <v/>
      </c>
      <c r="Q78" s="328" t="str">
        <f ca="1">IFERROR(IF(#REF!="","",INDEX(INDIRECT("'Annex 1 LV and HV charges"&amp;MID($A$2,FIND("_",$A$2),2)&amp;"'!$A$10:$K$51"),MATCH(MID($A78,FIND(":",$A78)+2,LEN($A78)-FIND(":",$A78)+2),INDIRECT("'Annex 1 LV and HV charges"&amp;MID($A$2,FIND("_",$A$2),2)&amp;"'!$A$10:$A$51"),0),MATCH(J$13,$A$13:$J$13,0))-J78),"")</f>
        <v/>
      </c>
    </row>
    <row r="79" spans="1:17" ht="27" customHeight="1" x14ac:dyDescent="0.2">
      <c r="A79" s="324" t="s">
        <v>677</v>
      </c>
      <c r="B79" s="18"/>
      <c r="C79" s="327">
        <v>0</v>
      </c>
      <c r="D79" s="92">
        <v>0.67300000000000004</v>
      </c>
      <c r="E79" s="93">
        <v>8.0000000000000002E-3</v>
      </c>
      <c r="F79" s="94" t="s">
        <v>840</v>
      </c>
      <c r="G79" s="319" t="s">
        <v>840</v>
      </c>
      <c r="H79" s="319">
        <v>9.25</v>
      </c>
      <c r="I79" s="322">
        <v>9.25</v>
      </c>
      <c r="J79" s="26">
        <v>4.7E-2</v>
      </c>
      <c r="K79" s="328" t="str">
        <f ca="1">IFERROR(IF(#REF!="","",INDEX(INDIRECT("'Annex 1 LV and HV charges"&amp;MID($A$2,FIND("_",$A$2),2)&amp;"'!$A$10:$K$51"),MATCH(MID($A79,FIND(":",$A79)+2,LEN($A79)-FIND(":",$A79)+2),INDIRECT("'Annex 1 LV and HV charges"&amp;MID($A$2,FIND("_",$A$2),2)&amp;"'!$A$10:$A$51"),0),MATCH(D$13,$A$13:$J$13,0))-D79),"")</f>
        <v/>
      </c>
      <c r="L79" s="328" t="str">
        <f ca="1">IFERROR(IF(#REF!="","",INDEX(INDIRECT("'Annex 1 LV and HV charges"&amp;MID($A$2,FIND("_",$A$2),2)&amp;"'!$A$10:$K$51"),MATCH(MID($A79,FIND(":",$A79)+2,LEN($A79)-FIND(":",$A79)+2),INDIRECT("'Annex 1 LV and HV charges"&amp;MID($A$2,FIND("_",$A$2),2)&amp;"'!$A$10:$A$51"),0),MATCH(E$13,$A$13:$J$13,0))-E79),"")</f>
        <v/>
      </c>
      <c r="M79" s="328" t="str">
        <f ca="1">IFERROR(IF(#REF!="","",INDEX(INDIRECT("'Annex 1 LV and HV charges"&amp;MID($A$2,FIND("_",$A$2),2)&amp;"'!$A$10:$K$51"),MATCH(MID($A79,FIND(":",$A79)+2,LEN($A79)-FIND(":",$A79)+2),INDIRECT("'Annex 1 LV and HV charges"&amp;MID($A$2,FIND("_",$A$2),2)&amp;"'!$A$10:$A$51"),0),MATCH(F$13,$A$13:$J$13,0))-F79),"")</f>
        <v/>
      </c>
      <c r="N79" s="328" t="str">
        <f ca="1">IFERROR(IF(#REF!="","",INDEX(INDIRECT("'Annex 1 LV and HV charges"&amp;MID($A$2,FIND("_",$A$2),2)&amp;"'!$A$10:$K$51"),MATCH(MID($A79,FIND(":",$A79)+2,LEN($A79)-FIND(":",$A79)+2),INDIRECT("'Annex 1 LV and HV charges"&amp;MID($A$2,FIND("_",$A$2),2)&amp;"'!$A$10:$A$51"),0),MATCH(G$13,$A$13:$J$13,0))-G79),"")</f>
        <v/>
      </c>
      <c r="O79" s="328" t="str">
        <f ca="1">IFERROR(IF(#REF!="","",INDEX(INDIRECT("'Annex 1 LV and HV charges"&amp;MID($A$2,FIND("_",$A$2),2)&amp;"'!$A$10:$K$51"),MATCH(MID($A79,FIND(":",$A79)+2,LEN($A79)-FIND(":",$A79)+2),INDIRECT("'Annex 1 LV and HV charges"&amp;MID($A$2,FIND("_",$A$2),2)&amp;"'!$A$10:$A$51"),0),MATCH(H$13,$A$13:$J$13,0))-H79),"")</f>
        <v/>
      </c>
      <c r="P79" s="328" t="str">
        <f ca="1">IFERROR(IF(#REF!="","",INDEX(INDIRECT("'Annex 1 LV and HV charges"&amp;MID($A$2,FIND("_",$A$2),2)&amp;"'!$A$10:$K$51"),MATCH(MID($A79,FIND(":",$A79)+2,LEN($A79)-FIND(":",$A79)+2),INDIRECT("'Annex 1 LV and HV charges"&amp;MID($A$2,FIND("_",$A$2),2)&amp;"'!$A$10:$A$51"),0),MATCH(I$13,$A$13:$J$13,0))-I79),"")</f>
        <v/>
      </c>
      <c r="Q79" s="328" t="str">
        <f ca="1">IFERROR(IF(#REF!="","",INDEX(INDIRECT("'Annex 1 LV and HV charges"&amp;MID($A$2,FIND("_",$A$2),2)&amp;"'!$A$10:$K$51"),MATCH(MID($A79,FIND(":",$A79)+2,LEN($A79)-FIND(":",$A79)+2),INDIRECT("'Annex 1 LV and HV charges"&amp;MID($A$2,FIND("_",$A$2),2)&amp;"'!$A$10:$A$51"),0),MATCH(J$13,$A$13:$J$13,0))-J79),"")</f>
        <v/>
      </c>
    </row>
    <row r="80" spans="1:17" ht="27" customHeight="1" x14ac:dyDescent="0.2">
      <c r="A80" s="324" t="s">
        <v>678</v>
      </c>
      <c r="B80" s="18"/>
      <c r="C80" s="327">
        <v>0</v>
      </c>
      <c r="D80" s="92">
        <v>0.30299999999999999</v>
      </c>
      <c r="E80" s="93" t="s">
        <v>840</v>
      </c>
      <c r="F80" s="94" t="s">
        <v>840</v>
      </c>
      <c r="G80" s="319" t="s">
        <v>840</v>
      </c>
      <c r="H80" s="319">
        <v>9.25</v>
      </c>
      <c r="I80" s="322">
        <v>9.25</v>
      </c>
      <c r="J80" s="26">
        <v>4.7E-2</v>
      </c>
      <c r="K80" s="328" t="str">
        <f ca="1">IFERROR(IF(#REF!="","",INDEX(INDIRECT("'Annex 1 LV and HV charges"&amp;MID($A$2,FIND("_",$A$2),2)&amp;"'!$A$10:$K$51"),MATCH(MID($A80,FIND(":",$A80)+2,LEN($A80)-FIND(":",$A80)+2),INDIRECT("'Annex 1 LV and HV charges"&amp;MID($A$2,FIND("_",$A$2),2)&amp;"'!$A$10:$A$51"),0),MATCH(D$13,$A$13:$J$13,0))-D80),"")</f>
        <v/>
      </c>
      <c r="L80" s="328" t="str">
        <f ca="1">IFERROR(IF(#REF!="","",INDEX(INDIRECT("'Annex 1 LV and HV charges"&amp;MID($A$2,FIND("_",$A$2),2)&amp;"'!$A$10:$K$51"),MATCH(MID($A80,FIND(":",$A80)+2,LEN($A80)-FIND(":",$A80)+2),INDIRECT("'Annex 1 LV and HV charges"&amp;MID($A$2,FIND("_",$A$2),2)&amp;"'!$A$10:$A$51"),0),MATCH(E$13,$A$13:$J$13,0))-E80),"")</f>
        <v/>
      </c>
      <c r="M80" s="328" t="str">
        <f ca="1">IFERROR(IF(#REF!="","",INDEX(INDIRECT("'Annex 1 LV and HV charges"&amp;MID($A$2,FIND("_",$A$2),2)&amp;"'!$A$10:$K$51"),MATCH(MID($A80,FIND(":",$A80)+2,LEN($A80)-FIND(":",$A80)+2),INDIRECT("'Annex 1 LV and HV charges"&amp;MID($A$2,FIND("_",$A$2),2)&amp;"'!$A$10:$A$51"),0),MATCH(F$13,$A$13:$J$13,0))-F80),"")</f>
        <v/>
      </c>
      <c r="N80" s="328" t="str">
        <f ca="1">IFERROR(IF(#REF!="","",INDEX(INDIRECT("'Annex 1 LV and HV charges"&amp;MID($A$2,FIND("_",$A$2),2)&amp;"'!$A$10:$K$51"),MATCH(MID($A80,FIND(":",$A80)+2,LEN($A80)-FIND(":",$A80)+2),INDIRECT("'Annex 1 LV and HV charges"&amp;MID($A$2,FIND("_",$A$2),2)&amp;"'!$A$10:$A$51"),0),MATCH(G$13,$A$13:$J$13,0))-G80),"")</f>
        <v/>
      </c>
      <c r="O80" s="328" t="str">
        <f ca="1">IFERROR(IF(#REF!="","",INDEX(INDIRECT("'Annex 1 LV and HV charges"&amp;MID($A$2,FIND("_",$A$2),2)&amp;"'!$A$10:$K$51"),MATCH(MID($A80,FIND(":",$A80)+2,LEN($A80)-FIND(":",$A80)+2),INDIRECT("'Annex 1 LV and HV charges"&amp;MID($A$2,FIND("_",$A$2),2)&amp;"'!$A$10:$A$51"),0),MATCH(H$13,$A$13:$J$13,0))-H80),"")</f>
        <v/>
      </c>
      <c r="P80" s="328" t="str">
        <f ca="1">IFERROR(IF(#REF!="","",INDEX(INDIRECT("'Annex 1 LV and HV charges"&amp;MID($A$2,FIND("_",$A$2),2)&amp;"'!$A$10:$K$51"),MATCH(MID($A80,FIND(":",$A80)+2,LEN($A80)-FIND(":",$A80)+2),INDIRECT("'Annex 1 LV and HV charges"&amp;MID($A$2,FIND("_",$A$2),2)&amp;"'!$A$10:$A$51"),0),MATCH(I$13,$A$13:$J$13,0))-I80),"")</f>
        <v/>
      </c>
      <c r="Q80" s="328" t="str">
        <f ca="1">IFERROR(IF(#REF!="","",INDEX(INDIRECT("'Annex 1 LV and HV charges"&amp;MID($A$2,FIND("_",$A$2),2)&amp;"'!$A$10:$K$51"),MATCH(MID($A80,FIND(":",$A80)+2,LEN($A80)-FIND(":",$A80)+2),INDIRECT("'Annex 1 LV and HV charges"&amp;MID($A$2,FIND("_",$A$2),2)&amp;"'!$A$10:$A$51"),0),MATCH(J$13,$A$13:$J$13,0))-J80),"")</f>
        <v/>
      </c>
    </row>
    <row r="81" spans="1:17" ht="27" customHeight="1" x14ac:dyDescent="0.2">
      <c r="A81" s="324" t="s">
        <v>679</v>
      </c>
      <c r="B81" s="18"/>
      <c r="C81" s="327">
        <v>0</v>
      </c>
      <c r="D81" s="92" t="s">
        <v>840</v>
      </c>
      <c r="E81" s="93" t="s">
        <v>840</v>
      </c>
      <c r="F81" s="94" t="s">
        <v>840</v>
      </c>
      <c r="G81" s="319" t="s">
        <v>840</v>
      </c>
      <c r="H81" s="319">
        <v>9.25</v>
      </c>
      <c r="I81" s="322">
        <v>9.25</v>
      </c>
      <c r="J81" s="26">
        <v>4.7E-2</v>
      </c>
      <c r="K81" s="328" t="str">
        <f ca="1">IFERROR(IF(#REF!="","",INDEX(INDIRECT("'Annex 1 LV and HV charges"&amp;MID($A$2,FIND("_",$A$2),2)&amp;"'!$A$10:$K$51"),MATCH(MID($A81,FIND(":",$A81)+2,LEN($A81)-FIND(":",$A81)+2),INDIRECT("'Annex 1 LV and HV charges"&amp;MID($A$2,FIND("_",$A$2),2)&amp;"'!$A$10:$A$51"),0),MATCH(D$13,$A$13:$J$13,0))-D81),"")</f>
        <v/>
      </c>
      <c r="L81" s="328" t="str">
        <f ca="1">IFERROR(IF(#REF!="","",INDEX(INDIRECT("'Annex 1 LV and HV charges"&amp;MID($A$2,FIND("_",$A$2),2)&amp;"'!$A$10:$K$51"),MATCH(MID($A81,FIND(":",$A81)+2,LEN($A81)-FIND(":",$A81)+2),INDIRECT("'Annex 1 LV and HV charges"&amp;MID($A$2,FIND("_",$A$2),2)&amp;"'!$A$10:$A$51"),0),MATCH(E$13,$A$13:$J$13,0))-E81),"")</f>
        <v/>
      </c>
      <c r="M81" s="328" t="str">
        <f ca="1">IFERROR(IF(#REF!="","",INDEX(INDIRECT("'Annex 1 LV and HV charges"&amp;MID($A$2,FIND("_",$A$2),2)&amp;"'!$A$10:$K$51"),MATCH(MID($A81,FIND(":",$A81)+2,LEN($A81)-FIND(":",$A81)+2),INDIRECT("'Annex 1 LV and HV charges"&amp;MID($A$2,FIND("_",$A$2),2)&amp;"'!$A$10:$A$51"),0),MATCH(F$13,$A$13:$J$13,0))-F81),"")</f>
        <v/>
      </c>
      <c r="N81" s="328" t="str">
        <f ca="1">IFERROR(IF(#REF!="","",INDEX(INDIRECT("'Annex 1 LV and HV charges"&amp;MID($A$2,FIND("_",$A$2),2)&amp;"'!$A$10:$K$51"),MATCH(MID($A81,FIND(":",$A81)+2,LEN($A81)-FIND(":",$A81)+2),INDIRECT("'Annex 1 LV and HV charges"&amp;MID($A$2,FIND("_",$A$2),2)&amp;"'!$A$10:$A$51"),0),MATCH(G$13,$A$13:$J$13,0))-G81),"")</f>
        <v/>
      </c>
      <c r="O81" s="328" t="str">
        <f ca="1">IFERROR(IF(#REF!="","",INDEX(INDIRECT("'Annex 1 LV and HV charges"&amp;MID($A$2,FIND("_",$A$2),2)&amp;"'!$A$10:$K$51"),MATCH(MID($A81,FIND(":",$A81)+2,LEN($A81)-FIND(":",$A81)+2),INDIRECT("'Annex 1 LV and HV charges"&amp;MID($A$2,FIND("_",$A$2),2)&amp;"'!$A$10:$A$51"),0),MATCH(H$13,$A$13:$J$13,0))-H81),"")</f>
        <v/>
      </c>
      <c r="P81" s="328" t="str">
        <f ca="1">IFERROR(IF(#REF!="","",INDEX(INDIRECT("'Annex 1 LV and HV charges"&amp;MID($A$2,FIND("_",$A$2),2)&amp;"'!$A$10:$K$51"),MATCH(MID($A81,FIND(":",$A81)+2,LEN($A81)-FIND(":",$A81)+2),INDIRECT("'Annex 1 LV and HV charges"&amp;MID($A$2,FIND("_",$A$2),2)&amp;"'!$A$10:$A$51"),0),MATCH(I$13,$A$13:$J$13,0))-I81),"")</f>
        <v/>
      </c>
      <c r="Q81" s="328" t="str">
        <f ca="1">IFERROR(IF(#REF!="","",INDEX(INDIRECT("'Annex 1 LV and HV charges"&amp;MID($A$2,FIND("_",$A$2),2)&amp;"'!$A$10:$K$51"),MATCH(MID($A81,FIND(":",$A81)+2,LEN($A81)-FIND(":",$A81)+2),INDIRECT("'Annex 1 LV and HV charges"&amp;MID($A$2,FIND("_",$A$2),2)&amp;"'!$A$10:$A$51"),0),MATCH(J$13,$A$13:$J$13,0))-J81),"")</f>
        <v/>
      </c>
    </row>
    <row r="82" spans="1:17" ht="27" customHeight="1" x14ac:dyDescent="0.2">
      <c r="A82" s="324" t="s">
        <v>585</v>
      </c>
      <c r="B82" s="25"/>
      <c r="C82" s="327" t="s">
        <v>847</v>
      </c>
      <c r="D82" s="95">
        <v>8.3379999999999992</v>
      </c>
      <c r="E82" s="96">
        <v>2.7040000000000002</v>
      </c>
      <c r="F82" s="94">
        <v>2.0630000000000002</v>
      </c>
      <c r="G82" s="320" t="s">
        <v>840</v>
      </c>
      <c r="H82" s="320" t="s">
        <v>840</v>
      </c>
      <c r="I82" s="321" t="s">
        <v>840</v>
      </c>
      <c r="J82" s="27" t="s">
        <v>840</v>
      </c>
      <c r="K82" s="328" t="str">
        <f ca="1">IFERROR(IF(#REF!="","",INDEX(INDIRECT("'Annex 1 LV and HV charges"&amp;MID($A$2,FIND("_",$A$2),2)&amp;"'!$A$10:$K$51"),MATCH(MID($A82,FIND(":",$A82)+2,LEN($A82)-FIND(":",$A82)+2),INDIRECT("'Annex 1 LV and HV charges"&amp;MID($A$2,FIND("_",$A$2),2)&amp;"'!$A$10:$A$51"),0),MATCH(D$13,$A$13:$J$13,0))-D82),"")</f>
        <v/>
      </c>
      <c r="L82" s="328" t="str">
        <f ca="1">IFERROR(IF(#REF!="","",INDEX(INDIRECT("'Annex 1 LV and HV charges"&amp;MID($A$2,FIND("_",$A$2),2)&amp;"'!$A$10:$K$51"),MATCH(MID($A82,FIND(":",$A82)+2,LEN($A82)-FIND(":",$A82)+2),INDIRECT("'Annex 1 LV and HV charges"&amp;MID($A$2,FIND("_",$A$2),2)&amp;"'!$A$10:$A$51"),0),MATCH(E$13,$A$13:$J$13,0))-E82),"")</f>
        <v/>
      </c>
      <c r="M82" s="328" t="str">
        <f ca="1">IFERROR(IF(#REF!="","",INDEX(INDIRECT("'Annex 1 LV and HV charges"&amp;MID($A$2,FIND("_",$A$2),2)&amp;"'!$A$10:$K$51"),MATCH(MID($A82,FIND(":",$A82)+2,LEN($A82)-FIND(":",$A82)+2),INDIRECT("'Annex 1 LV and HV charges"&amp;MID($A$2,FIND("_",$A$2),2)&amp;"'!$A$10:$A$51"),0),MATCH(F$13,$A$13:$J$13,0))-F82),"")</f>
        <v/>
      </c>
      <c r="N82" s="328" t="str">
        <f ca="1">IFERROR(IF(#REF!="","",INDEX(INDIRECT("'Annex 1 LV and HV charges"&amp;MID($A$2,FIND("_",$A$2),2)&amp;"'!$A$10:$K$51"),MATCH(MID($A82,FIND(":",$A82)+2,LEN($A82)-FIND(":",$A82)+2),INDIRECT("'Annex 1 LV and HV charges"&amp;MID($A$2,FIND("_",$A$2),2)&amp;"'!$A$10:$A$51"),0),MATCH(G$13,$A$13:$J$13,0))-G82),"")</f>
        <v/>
      </c>
      <c r="O82" s="328" t="str">
        <f ca="1">IFERROR(IF(#REF!="","",INDEX(INDIRECT("'Annex 1 LV and HV charges"&amp;MID($A$2,FIND("_",$A$2),2)&amp;"'!$A$10:$K$51"),MATCH(MID($A82,FIND(":",$A82)+2,LEN($A82)-FIND(":",$A82)+2),INDIRECT("'Annex 1 LV and HV charges"&amp;MID($A$2,FIND("_",$A$2),2)&amp;"'!$A$10:$A$51"),0),MATCH(H$13,$A$13:$J$13,0))-H82),"")</f>
        <v/>
      </c>
      <c r="P82" s="328" t="str">
        <f ca="1">IFERROR(IF(#REF!="","",INDEX(INDIRECT("'Annex 1 LV and HV charges"&amp;MID($A$2,FIND("_",$A$2),2)&amp;"'!$A$10:$K$51"),MATCH(MID($A82,FIND(":",$A82)+2,LEN($A82)-FIND(":",$A82)+2),INDIRECT("'Annex 1 LV and HV charges"&amp;MID($A$2,FIND("_",$A$2),2)&amp;"'!$A$10:$A$51"),0),MATCH(I$13,$A$13:$J$13,0))-I82),"")</f>
        <v/>
      </c>
      <c r="Q82" s="328" t="str">
        <f ca="1">IFERROR(IF(#REF!="","",INDEX(INDIRECT("'Annex 1 LV and HV charges"&amp;MID($A$2,FIND("_",$A$2),2)&amp;"'!$A$10:$K$51"),MATCH(MID($A82,FIND(":",$A82)+2,LEN($A82)-FIND(":",$A82)+2),INDIRECT("'Annex 1 LV and HV charges"&amp;MID($A$2,FIND("_",$A$2),2)&amp;"'!$A$10:$A$51"),0),MATCH(J$13,$A$13:$J$13,0))-J82),"")</f>
        <v/>
      </c>
    </row>
    <row r="83" spans="1:17" ht="27" customHeight="1" x14ac:dyDescent="0.2">
      <c r="A83" s="324" t="s">
        <v>617</v>
      </c>
      <c r="B83" s="25"/>
      <c r="C83" s="327" t="s">
        <v>2118</v>
      </c>
      <c r="D83" s="92">
        <v>-3.5659999999999998</v>
      </c>
      <c r="E83" s="93">
        <v>-1.244</v>
      </c>
      <c r="F83" s="94">
        <v>-0.26700000000000002</v>
      </c>
      <c r="G83" s="319" t="s">
        <v>840</v>
      </c>
      <c r="H83" s="320" t="s">
        <v>840</v>
      </c>
      <c r="I83" s="321" t="s">
        <v>840</v>
      </c>
      <c r="J83" s="27" t="s">
        <v>840</v>
      </c>
      <c r="K83" s="328" t="str">
        <f ca="1">IFERROR(IF(#REF!="","",INDEX(INDIRECT("'Annex 1 LV and HV charges"&amp;MID($A$2,FIND("_",$A$2),2)&amp;"'!$A$10:$K$51"),MATCH(MID($A83,FIND(":",$A83)+2,LEN($A83)-FIND(":",$A83)+2),INDIRECT("'Annex 1 LV and HV charges"&amp;MID($A$2,FIND("_",$A$2),2)&amp;"'!$A$10:$A$51"),0),MATCH(D$13,$A$13:$J$13,0))-D83),"")</f>
        <v/>
      </c>
      <c r="L83" s="328" t="str">
        <f ca="1">IFERROR(IF(#REF!="","",INDEX(INDIRECT("'Annex 1 LV and HV charges"&amp;MID($A$2,FIND("_",$A$2),2)&amp;"'!$A$10:$K$51"),MATCH(MID($A83,FIND(":",$A83)+2,LEN($A83)-FIND(":",$A83)+2),INDIRECT("'Annex 1 LV and HV charges"&amp;MID($A$2,FIND("_",$A$2),2)&amp;"'!$A$10:$A$51"),0),MATCH(E$13,$A$13:$J$13,0))-E83),"")</f>
        <v/>
      </c>
      <c r="M83" s="328" t="str">
        <f ca="1">IFERROR(IF(#REF!="","",INDEX(INDIRECT("'Annex 1 LV and HV charges"&amp;MID($A$2,FIND("_",$A$2),2)&amp;"'!$A$10:$K$51"),MATCH(MID($A83,FIND(":",$A83)+2,LEN($A83)-FIND(":",$A83)+2),INDIRECT("'Annex 1 LV and HV charges"&amp;MID($A$2,FIND("_",$A$2),2)&amp;"'!$A$10:$A$51"),0),MATCH(F$13,$A$13:$J$13,0))-F83),"")</f>
        <v/>
      </c>
      <c r="N83" s="328" t="str">
        <f ca="1">IFERROR(IF(#REF!="","",INDEX(INDIRECT("'Annex 1 LV and HV charges"&amp;MID($A$2,FIND("_",$A$2),2)&amp;"'!$A$10:$K$51"),MATCH(MID($A83,FIND(":",$A83)+2,LEN($A83)-FIND(":",$A83)+2),INDIRECT("'Annex 1 LV and HV charges"&amp;MID($A$2,FIND("_",$A$2),2)&amp;"'!$A$10:$A$51"),0),MATCH(G$13,$A$13:$J$13,0))-G83),"")</f>
        <v/>
      </c>
      <c r="O83" s="328" t="str">
        <f ca="1">IFERROR(IF(#REF!="","",INDEX(INDIRECT("'Annex 1 LV and HV charges"&amp;MID($A$2,FIND("_",$A$2),2)&amp;"'!$A$10:$K$51"),MATCH(MID($A83,FIND(":",$A83)+2,LEN($A83)-FIND(":",$A83)+2),INDIRECT("'Annex 1 LV and HV charges"&amp;MID($A$2,FIND("_",$A$2),2)&amp;"'!$A$10:$A$51"),0),MATCH(H$13,$A$13:$J$13,0))-H83),"")</f>
        <v/>
      </c>
      <c r="P83" s="328" t="str">
        <f ca="1">IFERROR(IF(#REF!="","",INDEX(INDIRECT("'Annex 1 LV and HV charges"&amp;MID($A$2,FIND("_",$A$2),2)&amp;"'!$A$10:$K$51"),MATCH(MID($A83,FIND(":",$A83)+2,LEN($A83)-FIND(":",$A83)+2),INDIRECT("'Annex 1 LV and HV charges"&amp;MID($A$2,FIND("_",$A$2),2)&amp;"'!$A$10:$A$51"),0),MATCH(I$13,$A$13:$J$13,0))-I83),"")</f>
        <v/>
      </c>
      <c r="Q83" s="328" t="str">
        <f ca="1">IFERROR(IF(#REF!="","",INDEX(INDIRECT("'Annex 1 LV and HV charges"&amp;MID($A$2,FIND("_",$A$2),2)&amp;"'!$A$10:$K$51"),MATCH(MID($A83,FIND(":",$A83)+2,LEN($A83)-FIND(":",$A83)+2),INDIRECT("'Annex 1 LV and HV charges"&amp;MID($A$2,FIND("_",$A$2),2)&amp;"'!$A$10:$A$51"),0),MATCH(J$13,$A$13:$J$13,0))-J83),"")</f>
        <v/>
      </c>
    </row>
    <row r="84" spans="1:17" ht="27" customHeight="1" x14ac:dyDescent="0.2">
      <c r="A84" s="324" t="s">
        <v>618</v>
      </c>
      <c r="B84" s="323"/>
      <c r="C84" s="327" t="s">
        <v>2118</v>
      </c>
      <c r="D84" s="92">
        <v>-3.3450000000000002</v>
      </c>
      <c r="E84" s="93">
        <v>-1.1379999999999999</v>
      </c>
      <c r="F84" s="94">
        <v>-0.25900000000000001</v>
      </c>
      <c r="G84" s="319" t="s">
        <v>840</v>
      </c>
      <c r="H84" s="320" t="s">
        <v>840</v>
      </c>
      <c r="I84" s="321" t="s">
        <v>840</v>
      </c>
      <c r="J84" s="27" t="s">
        <v>840</v>
      </c>
      <c r="K84" s="328" t="str">
        <f ca="1">IFERROR(IF(#REF!="","",INDEX(INDIRECT("'Annex 1 LV and HV charges"&amp;MID($A$2,FIND("_",$A$2),2)&amp;"'!$A$10:$K$51"),MATCH(MID($A84,FIND(":",$A84)+2,LEN($A84)-FIND(":",$A84)+2),INDIRECT("'Annex 1 LV and HV charges"&amp;MID($A$2,FIND("_",$A$2),2)&amp;"'!$A$10:$A$51"),0),MATCH(D$13,$A$13:$J$13,0))-D84),"")</f>
        <v/>
      </c>
      <c r="L84" s="328" t="str">
        <f ca="1">IFERROR(IF(#REF!="","",INDEX(INDIRECT("'Annex 1 LV and HV charges"&amp;MID($A$2,FIND("_",$A$2),2)&amp;"'!$A$10:$K$51"),MATCH(MID($A84,FIND(":",$A84)+2,LEN($A84)-FIND(":",$A84)+2),INDIRECT("'Annex 1 LV and HV charges"&amp;MID($A$2,FIND("_",$A$2),2)&amp;"'!$A$10:$A$51"),0),MATCH(E$13,$A$13:$J$13,0))-E84),"")</f>
        <v/>
      </c>
      <c r="M84" s="328" t="str">
        <f ca="1">IFERROR(IF(#REF!="","",INDEX(INDIRECT("'Annex 1 LV and HV charges"&amp;MID($A$2,FIND("_",$A$2),2)&amp;"'!$A$10:$K$51"),MATCH(MID($A84,FIND(":",$A84)+2,LEN($A84)-FIND(":",$A84)+2),INDIRECT("'Annex 1 LV and HV charges"&amp;MID($A$2,FIND("_",$A$2),2)&amp;"'!$A$10:$A$51"),0),MATCH(F$13,$A$13:$J$13,0))-F84),"")</f>
        <v/>
      </c>
      <c r="N84" s="328" t="str">
        <f ca="1">IFERROR(IF(#REF!="","",INDEX(INDIRECT("'Annex 1 LV and HV charges"&amp;MID($A$2,FIND("_",$A$2),2)&amp;"'!$A$10:$K$51"),MATCH(MID($A84,FIND(":",$A84)+2,LEN($A84)-FIND(":",$A84)+2),INDIRECT("'Annex 1 LV and HV charges"&amp;MID($A$2,FIND("_",$A$2),2)&amp;"'!$A$10:$A$51"),0),MATCH(G$13,$A$13:$J$13,0))-G84),"")</f>
        <v/>
      </c>
      <c r="O84" s="328" t="str">
        <f ca="1">IFERROR(IF(#REF!="","",INDEX(INDIRECT("'Annex 1 LV and HV charges"&amp;MID($A$2,FIND("_",$A$2),2)&amp;"'!$A$10:$K$51"),MATCH(MID($A84,FIND(":",$A84)+2,LEN($A84)-FIND(":",$A84)+2),INDIRECT("'Annex 1 LV and HV charges"&amp;MID($A$2,FIND("_",$A$2),2)&amp;"'!$A$10:$A$51"),0),MATCH(H$13,$A$13:$J$13,0))-H84),"")</f>
        <v/>
      </c>
      <c r="P84" s="328" t="str">
        <f ca="1">IFERROR(IF(#REF!="","",INDEX(INDIRECT("'Annex 1 LV and HV charges"&amp;MID($A$2,FIND("_",$A$2),2)&amp;"'!$A$10:$K$51"),MATCH(MID($A84,FIND(":",$A84)+2,LEN($A84)-FIND(":",$A84)+2),INDIRECT("'Annex 1 LV and HV charges"&amp;MID($A$2,FIND("_",$A$2),2)&amp;"'!$A$10:$A$51"),0),MATCH(I$13,$A$13:$J$13,0))-I84),"")</f>
        <v/>
      </c>
      <c r="Q84" s="328" t="str">
        <f ca="1">IFERROR(IF(#REF!="","",INDEX(INDIRECT("'Annex 1 LV and HV charges"&amp;MID($A$2,FIND("_",$A$2),2)&amp;"'!$A$10:$K$51"),MATCH(MID($A84,FIND(":",$A84)+2,LEN($A84)-FIND(":",$A84)+2),INDIRECT("'Annex 1 LV and HV charges"&amp;MID($A$2,FIND("_",$A$2),2)&amp;"'!$A$10:$A$51"),0),MATCH(J$13,$A$13:$J$13,0))-J84),"")</f>
        <v/>
      </c>
    </row>
    <row r="85" spans="1:17" ht="27" customHeight="1" x14ac:dyDescent="0.2">
      <c r="A85" s="324" t="s">
        <v>619</v>
      </c>
      <c r="B85" s="25"/>
      <c r="C85" s="327">
        <v>0</v>
      </c>
      <c r="D85" s="92">
        <v>-3.5659999999999998</v>
      </c>
      <c r="E85" s="93">
        <v>-1.244</v>
      </c>
      <c r="F85" s="94">
        <v>-0.26700000000000002</v>
      </c>
      <c r="G85" s="319" t="s">
        <v>840</v>
      </c>
      <c r="H85" s="320" t="s">
        <v>840</v>
      </c>
      <c r="I85" s="321" t="s">
        <v>840</v>
      </c>
      <c r="J85" s="26">
        <v>0.21299999999999999</v>
      </c>
      <c r="K85" s="328" t="str">
        <f ca="1">IFERROR(IF(#REF!="","",INDEX(INDIRECT("'Annex 1 LV and HV charges"&amp;MID($A$2,FIND("_",$A$2),2)&amp;"'!$A$10:$K$51"),MATCH(MID($A85,FIND(":",$A85)+2,LEN($A85)-FIND(":",$A85)+2),INDIRECT("'Annex 1 LV and HV charges"&amp;MID($A$2,FIND("_",$A$2),2)&amp;"'!$A$10:$A$51"),0),MATCH(D$13,$A$13:$J$13,0))-D85),"")</f>
        <v/>
      </c>
      <c r="L85" s="328" t="str">
        <f ca="1">IFERROR(IF(#REF!="","",INDEX(INDIRECT("'Annex 1 LV and HV charges"&amp;MID($A$2,FIND("_",$A$2),2)&amp;"'!$A$10:$K$51"),MATCH(MID($A85,FIND(":",$A85)+2,LEN($A85)-FIND(":",$A85)+2),INDIRECT("'Annex 1 LV and HV charges"&amp;MID($A$2,FIND("_",$A$2),2)&amp;"'!$A$10:$A$51"),0),MATCH(E$13,$A$13:$J$13,0))-E85),"")</f>
        <v/>
      </c>
      <c r="M85" s="328" t="str">
        <f ca="1">IFERROR(IF(#REF!="","",INDEX(INDIRECT("'Annex 1 LV and HV charges"&amp;MID($A$2,FIND("_",$A$2),2)&amp;"'!$A$10:$K$51"),MATCH(MID($A85,FIND(":",$A85)+2,LEN($A85)-FIND(":",$A85)+2),INDIRECT("'Annex 1 LV and HV charges"&amp;MID($A$2,FIND("_",$A$2),2)&amp;"'!$A$10:$A$51"),0),MATCH(F$13,$A$13:$J$13,0))-F85),"")</f>
        <v/>
      </c>
      <c r="N85" s="328" t="str">
        <f ca="1">IFERROR(IF(#REF!="","",INDEX(INDIRECT("'Annex 1 LV and HV charges"&amp;MID($A$2,FIND("_",$A$2),2)&amp;"'!$A$10:$K$51"),MATCH(MID($A85,FIND(":",$A85)+2,LEN($A85)-FIND(":",$A85)+2),INDIRECT("'Annex 1 LV and HV charges"&amp;MID($A$2,FIND("_",$A$2),2)&amp;"'!$A$10:$A$51"),0),MATCH(G$13,$A$13:$J$13,0))-G85),"")</f>
        <v/>
      </c>
      <c r="O85" s="328" t="str">
        <f ca="1">IFERROR(IF(#REF!="","",INDEX(INDIRECT("'Annex 1 LV and HV charges"&amp;MID($A$2,FIND("_",$A$2),2)&amp;"'!$A$10:$K$51"),MATCH(MID($A85,FIND(":",$A85)+2,LEN($A85)-FIND(":",$A85)+2),INDIRECT("'Annex 1 LV and HV charges"&amp;MID($A$2,FIND("_",$A$2),2)&amp;"'!$A$10:$A$51"),0),MATCH(H$13,$A$13:$J$13,0))-H85),"")</f>
        <v/>
      </c>
      <c r="P85" s="328" t="str">
        <f ca="1">IFERROR(IF(#REF!="","",INDEX(INDIRECT("'Annex 1 LV and HV charges"&amp;MID($A$2,FIND("_",$A$2),2)&amp;"'!$A$10:$K$51"),MATCH(MID($A85,FIND(":",$A85)+2,LEN($A85)-FIND(":",$A85)+2),INDIRECT("'Annex 1 LV and HV charges"&amp;MID($A$2,FIND("_",$A$2),2)&amp;"'!$A$10:$A$51"),0),MATCH(I$13,$A$13:$J$13,0))-I85),"")</f>
        <v/>
      </c>
      <c r="Q85" s="328" t="str">
        <f ca="1">IFERROR(IF(#REF!="","",INDEX(INDIRECT("'Annex 1 LV and HV charges"&amp;MID($A$2,FIND("_",$A$2),2)&amp;"'!$A$10:$K$51"),MATCH(MID($A85,FIND(":",$A85)+2,LEN($A85)-FIND(":",$A85)+2),INDIRECT("'Annex 1 LV and HV charges"&amp;MID($A$2,FIND("_",$A$2),2)&amp;"'!$A$10:$A$51"),0),MATCH(J$13,$A$13:$J$13,0))-J85),"")</f>
        <v/>
      </c>
    </row>
    <row r="86" spans="1:17" ht="27" customHeight="1" x14ac:dyDescent="0.2">
      <c r="A86" s="324" t="s">
        <v>620</v>
      </c>
      <c r="B86" s="25"/>
      <c r="C86" s="327">
        <v>0</v>
      </c>
      <c r="D86" s="92">
        <v>-3.3450000000000002</v>
      </c>
      <c r="E86" s="93">
        <v>-1.1379999999999999</v>
      </c>
      <c r="F86" s="94">
        <v>-0.25900000000000001</v>
      </c>
      <c r="G86" s="319" t="s">
        <v>840</v>
      </c>
      <c r="H86" s="320" t="s">
        <v>840</v>
      </c>
      <c r="I86" s="321" t="s">
        <v>840</v>
      </c>
      <c r="J86" s="26">
        <v>0.17699999999999999</v>
      </c>
      <c r="K86" s="328" t="str">
        <f ca="1">IFERROR(IF(#REF!="","",INDEX(INDIRECT("'Annex 1 LV and HV charges"&amp;MID($A$2,FIND("_",$A$2),2)&amp;"'!$A$10:$K$51"),MATCH(MID($A86,FIND(":",$A86)+2,LEN($A86)-FIND(":",$A86)+2),INDIRECT("'Annex 1 LV and HV charges"&amp;MID($A$2,FIND("_",$A$2),2)&amp;"'!$A$10:$A$51"),0),MATCH(D$13,$A$13:$J$13,0))-D86),"")</f>
        <v/>
      </c>
      <c r="L86" s="328" t="str">
        <f ca="1">IFERROR(IF(#REF!="","",INDEX(INDIRECT("'Annex 1 LV and HV charges"&amp;MID($A$2,FIND("_",$A$2),2)&amp;"'!$A$10:$K$51"),MATCH(MID($A86,FIND(":",$A86)+2,LEN($A86)-FIND(":",$A86)+2),INDIRECT("'Annex 1 LV and HV charges"&amp;MID($A$2,FIND("_",$A$2),2)&amp;"'!$A$10:$A$51"),0),MATCH(E$13,$A$13:$J$13,0))-E86),"")</f>
        <v/>
      </c>
      <c r="M86" s="328" t="str">
        <f ca="1">IFERROR(IF(#REF!="","",INDEX(INDIRECT("'Annex 1 LV and HV charges"&amp;MID($A$2,FIND("_",$A$2),2)&amp;"'!$A$10:$K$51"),MATCH(MID($A86,FIND(":",$A86)+2,LEN($A86)-FIND(":",$A86)+2),INDIRECT("'Annex 1 LV and HV charges"&amp;MID($A$2,FIND("_",$A$2),2)&amp;"'!$A$10:$A$51"),0),MATCH(F$13,$A$13:$J$13,0))-F86),"")</f>
        <v/>
      </c>
      <c r="N86" s="328" t="str">
        <f ca="1">IFERROR(IF(#REF!="","",INDEX(INDIRECT("'Annex 1 LV and HV charges"&amp;MID($A$2,FIND("_",$A$2),2)&amp;"'!$A$10:$K$51"),MATCH(MID($A86,FIND(":",$A86)+2,LEN($A86)-FIND(":",$A86)+2),INDIRECT("'Annex 1 LV and HV charges"&amp;MID($A$2,FIND("_",$A$2),2)&amp;"'!$A$10:$A$51"),0),MATCH(G$13,$A$13:$J$13,0))-G86),"")</f>
        <v/>
      </c>
      <c r="O86" s="328" t="str">
        <f ca="1">IFERROR(IF(#REF!="","",INDEX(INDIRECT("'Annex 1 LV and HV charges"&amp;MID($A$2,FIND("_",$A$2),2)&amp;"'!$A$10:$K$51"),MATCH(MID($A86,FIND(":",$A86)+2,LEN($A86)-FIND(":",$A86)+2),INDIRECT("'Annex 1 LV and HV charges"&amp;MID($A$2,FIND("_",$A$2),2)&amp;"'!$A$10:$A$51"),0),MATCH(H$13,$A$13:$J$13,0))-H86),"")</f>
        <v/>
      </c>
      <c r="P86" s="328" t="str">
        <f ca="1">IFERROR(IF(#REF!="","",INDEX(INDIRECT("'Annex 1 LV and HV charges"&amp;MID($A$2,FIND("_",$A$2),2)&amp;"'!$A$10:$K$51"),MATCH(MID($A86,FIND(":",$A86)+2,LEN($A86)-FIND(":",$A86)+2),INDIRECT("'Annex 1 LV and HV charges"&amp;MID($A$2,FIND("_",$A$2),2)&amp;"'!$A$10:$A$51"),0),MATCH(I$13,$A$13:$J$13,0))-I86),"")</f>
        <v/>
      </c>
      <c r="Q86" s="328" t="str">
        <f ca="1">IFERROR(IF(#REF!="","",INDEX(INDIRECT("'Annex 1 LV and HV charges"&amp;MID($A$2,FIND("_",$A$2),2)&amp;"'!$A$10:$K$51"),MATCH(MID($A86,FIND(":",$A86)+2,LEN($A86)-FIND(":",$A86)+2),INDIRECT("'Annex 1 LV and HV charges"&amp;MID($A$2,FIND("_",$A$2),2)&amp;"'!$A$10:$A$51"),0),MATCH(J$13,$A$13:$J$13,0))-J86),"")</f>
        <v/>
      </c>
    </row>
    <row r="87" spans="1:17" ht="27" customHeight="1" x14ac:dyDescent="0.2">
      <c r="A87" s="324" t="s">
        <v>621</v>
      </c>
      <c r="B87" s="25"/>
      <c r="C87" s="327">
        <v>0</v>
      </c>
      <c r="D87" s="92">
        <v>-3.3719999999999999</v>
      </c>
      <c r="E87" s="93">
        <v>-0.85699999999999998</v>
      </c>
      <c r="F87" s="94">
        <v>-0.33900000000000002</v>
      </c>
      <c r="G87" s="319">
        <v>1073.07</v>
      </c>
      <c r="H87" s="320" t="s">
        <v>840</v>
      </c>
      <c r="I87" s="321" t="s">
        <v>840</v>
      </c>
      <c r="J87" s="26">
        <v>0.32900000000000001</v>
      </c>
      <c r="K87" s="328" t="str">
        <f ca="1">IFERROR(IF(#REF!="","",INDEX(INDIRECT("'Annex 1 LV and HV charges"&amp;MID($A$2,FIND("_",$A$2),2)&amp;"'!$A$10:$K$51"),MATCH(MID($A87,FIND(":",$A87)+2,LEN($A87)-FIND(":",$A87)+2),INDIRECT("'Annex 1 LV and HV charges"&amp;MID($A$2,FIND("_",$A$2),2)&amp;"'!$A$10:$A$51"),0),MATCH(D$13,$A$13:$J$13,0))-D87),"")</f>
        <v/>
      </c>
      <c r="L87" s="328" t="str">
        <f ca="1">IFERROR(IF(#REF!="","",INDEX(INDIRECT("'Annex 1 LV and HV charges"&amp;MID($A$2,FIND("_",$A$2),2)&amp;"'!$A$10:$K$51"),MATCH(MID($A87,FIND(":",$A87)+2,LEN($A87)-FIND(":",$A87)+2),INDIRECT("'Annex 1 LV and HV charges"&amp;MID($A$2,FIND("_",$A$2),2)&amp;"'!$A$10:$A$51"),0),MATCH(E$13,$A$13:$J$13,0))-E87),"")</f>
        <v/>
      </c>
      <c r="M87" s="328" t="str">
        <f ca="1">IFERROR(IF(#REF!="","",INDEX(INDIRECT("'Annex 1 LV and HV charges"&amp;MID($A$2,FIND("_",$A$2),2)&amp;"'!$A$10:$K$51"),MATCH(MID($A87,FIND(":",$A87)+2,LEN($A87)-FIND(":",$A87)+2),INDIRECT("'Annex 1 LV and HV charges"&amp;MID($A$2,FIND("_",$A$2),2)&amp;"'!$A$10:$A$51"),0),MATCH(F$13,$A$13:$J$13,0))-F87),"")</f>
        <v/>
      </c>
      <c r="N87" s="328" t="str">
        <f ca="1">IFERROR(IF(#REF!="","",INDEX(INDIRECT("'Annex 1 LV and HV charges"&amp;MID($A$2,FIND("_",$A$2),2)&amp;"'!$A$10:$K$51"),MATCH(MID($A87,FIND(":",$A87)+2,LEN($A87)-FIND(":",$A87)+2),INDIRECT("'Annex 1 LV and HV charges"&amp;MID($A$2,FIND("_",$A$2),2)&amp;"'!$A$10:$A$51"),0),MATCH(G$13,$A$13:$J$13,0))-G87),"")</f>
        <v/>
      </c>
      <c r="O87" s="328" t="str">
        <f ca="1">IFERROR(IF(#REF!="","",INDEX(INDIRECT("'Annex 1 LV and HV charges"&amp;MID($A$2,FIND("_",$A$2),2)&amp;"'!$A$10:$K$51"),MATCH(MID($A87,FIND(":",$A87)+2,LEN($A87)-FIND(":",$A87)+2),INDIRECT("'Annex 1 LV and HV charges"&amp;MID($A$2,FIND("_",$A$2),2)&amp;"'!$A$10:$A$51"),0),MATCH(H$13,$A$13:$J$13,0))-H87),"")</f>
        <v/>
      </c>
      <c r="P87" s="328" t="str">
        <f ca="1">IFERROR(IF(#REF!="","",INDEX(INDIRECT("'Annex 1 LV and HV charges"&amp;MID($A$2,FIND("_",$A$2),2)&amp;"'!$A$10:$K$51"),MATCH(MID($A87,FIND(":",$A87)+2,LEN($A87)-FIND(":",$A87)+2),INDIRECT("'Annex 1 LV and HV charges"&amp;MID($A$2,FIND("_",$A$2),2)&amp;"'!$A$10:$A$51"),0),MATCH(I$13,$A$13:$J$13,0))-I87),"")</f>
        <v/>
      </c>
      <c r="Q87" s="328" t="str">
        <f ca="1">IFERROR(IF(#REF!="","",INDEX(INDIRECT("'Annex 1 LV and HV charges"&amp;MID($A$2,FIND("_",$A$2),2)&amp;"'!$A$10:$K$51"),MATCH(MID($A87,FIND(":",$A87)+2,LEN($A87)-FIND(":",$A87)+2),INDIRECT("'Annex 1 LV and HV charges"&amp;MID($A$2,FIND("_",$A$2),2)&amp;"'!$A$10:$A$51"),0),MATCH(J$13,$A$13:$J$13,0))-J87),"")</f>
        <v/>
      </c>
    </row>
    <row r="88" spans="1:17" ht="27" customHeight="1" x14ac:dyDescent="0.2">
      <c r="A88" s="324" t="s">
        <v>782</v>
      </c>
      <c r="B88" s="25"/>
      <c r="C88" s="327" t="s">
        <v>845</v>
      </c>
      <c r="D88" s="92">
        <v>2.137</v>
      </c>
      <c r="E88" s="93">
        <v>0.746</v>
      </c>
      <c r="F88" s="94">
        <v>0.16</v>
      </c>
      <c r="G88" s="319">
        <v>2.2000000000000002</v>
      </c>
      <c r="H88" s="320" t="s">
        <v>840</v>
      </c>
      <c r="I88" s="321" t="s">
        <v>840</v>
      </c>
      <c r="J88" s="27" t="s">
        <v>840</v>
      </c>
      <c r="K88" s="328" t="str">
        <f ca="1">IFERROR(IF(#REF!="","",INDEX(INDIRECT("'Annex 1 LV and HV charges"&amp;MID($A$2,FIND("_",$A$2),2)&amp;"'!$A$10:$K$51"),MATCH(MID($A88,FIND(":",$A88)+2,LEN($A88)-FIND(":",$A88)+2),INDIRECT("'Annex 1 LV and HV charges"&amp;MID($A$2,FIND("_",$A$2),2)&amp;"'!$A$10:$A$51"),0),MATCH(D$13,$A$13:$J$13,0))-D88),"")</f>
        <v/>
      </c>
      <c r="L88" s="328" t="str">
        <f ca="1">IFERROR(IF(#REF!="","",INDEX(INDIRECT("'Annex 1 LV and HV charges"&amp;MID($A$2,FIND("_",$A$2),2)&amp;"'!$A$10:$K$51"),MATCH(MID($A88,FIND(":",$A88)+2,LEN($A88)-FIND(":",$A88)+2),INDIRECT("'Annex 1 LV and HV charges"&amp;MID($A$2,FIND("_",$A$2),2)&amp;"'!$A$10:$A$51"),0),MATCH(E$13,$A$13:$J$13,0))-E88),"")</f>
        <v/>
      </c>
      <c r="M88" s="328" t="str">
        <f ca="1">IFERROR(IF(#REF!="","",INDEX(INDIRECT("'Annex 1 LV and HV charges"&amp;MID($A$2,FIND("_",$A$2),2)&amp;"'!$A$10:$K$51"),MATCH(MID($A88,FIND(":",$A88)+2,LEN($A88)-FIND(":",$A88)+2),INDIRECT("'Annex 1 LV and HV charges"&amp;MID($A$2,FIND("_",$A$2),2)&amp;"'!$A$10:$A$51"),0),MATCH(F$13,$A$13:$J$13,0))-F88),"")</f>
        <v/>
      </c>
      <c r="N88" s="328" t="str">
        <f ca="1">IFERROR(IF(#REF!="","",INDEX(INDIRECT("'Annex 1 LV and HV charges"&amp;MID($A$2,FIND("_",$A$2),2)&amp;"'!$A$10:$K$51"),MATCH(MID($A88,FIND(":",$A88)+2,LEN($A88)-FIND(":",$A88)+2),INDIRECT("'Annex 1 LV and HV charges"&amp;MID($A$2,FIND("_",$A$2),2)&amp;"'!$A$10:$A$51"),0),MATCH(G$13,$A$13:$J$13,0))-G88),"")</f>
        <v/>
      </c>
      <c r="O88" s="328" t="str">
        <f ca="1">IFERROR(IF(#REF!="","",INDEX(INDIRECT("'Annex 1 LV and HV charges"&amp;MID($A$2,FIND("_",$A$2),2)&amp;"'!$A$10:$K$51"),MATCH(MID($A88,FIND(":",$A88)+2,LEN($A88)-FIND(":",$A88)+2),INDIRECT("'Annex 1 LV and HV charges"&amp;MID($A$2,FIND("_",$A$2),2)&amp;"'!$A$10:$A$51"),0),MATCH(H$13,$A$13:$J$13,0))-H88),"")</f>
        <v/>
      </c>
      <c r="P88" s="328" t="str">
        <f ca="1">IFERROR(IF(#REF!="","",INDEX(INDIRECT("'Annex 1 LV and HV charges"&amp;MID($A$2,FIND("_",$A$2),2)&amp;"'!$A$10:$K$51"),MATCH(MID($A88,FIND(":",$A88)+2,LEN($A88)-FIND(":",$A88)+2),INDIRECT("'Annex 1 LV and HV charges"&amp;MID($A$2,FIND("_",$A$2),2)&amp;"'!$A$10:$A$51"),0),MATCH(I$13,$A$13:$J$13,0))-I88),"")</f>
        <v/>
      </c>
      <c r="Q88" s="328" t="str">
        <f ca="1">IFERROR(IF(#REF!="","",INDEX(INDIRECT("'Annex 1 LV and HV charges"&amp;MID($A$2,FIND("_",$A$2),2)&amp;"'!$A$10:$K$51"),MATCH(MID($A88,FIND(":",$A88)+2,LEN($A88)-FIND(":",$A88)+2),INDIRECT("'Annex 1 LV and HV charges"&amp;MID($A$2,FIND("_",$A$2),2)&amp;"'!$A$10:$A$51"),0),MATCH(J$13,$A$13:$J$13,0))-J88),"")</f>
        <v/>
      </c>
    </row>
    <row r="89" spans="1:17" ht="27" customHeight="1" x14ac:dyDescent="0.2">
      <c r="A89" s="324" t="s">
        <v>680</v>
      </c>
      <c r="B89" s="25"/>
      <c r="C89" s="327">
        <v>2</v>
      </c>
      <c r="D89" s="92">
        <v>2.137</v>
      </c>
      <c r="E89" s="93">
        <v>0.746</v>
      </c>
      <c r="F89" s="94">
        <v>0.16</v>
      </c>
      <c r="G89" s="320" t="s">
        <v>840</v>
      </c>
      <c r="H89" s="320" t="s">
        <v>840</v>
      </c>
      <c r="I89" s="321" t="s">
        <v>840</v>
      </c>
      <c r="J89" s="27" t="s">
        <v>840</v>
      </c>
      <c r="K89" s="328" t="str">
        <f ca="1">IFERROR(IF(#REF!="","",INDEX(INDIRECT("'Annex 1 LV and HV charges"&amp;MID($A$2,FIND("_",$A$2),2)&amp;"'!$A$10:$K$51"),MATCH(MID($A89,FIND(":",$A89)+2,LEN($A89)-FIND(":",$A89)+2),INDIRECT("'Annex 1 LV and HV charges"&amp;MID($A$2,FIND("_",$A$2),2)&amp;"'!$A$10:$A$51"),0),MATCH(D$13,$A$13:$J$13,0))-D89),"")</f>
        <v/>
      </c>
      <c r="L89" s="328" t="str">
        <f ca="1">IFERROR(IF(#REF!="","",INDEX(INDIRECT("'Annex 1 LV and HV charges"&amp;MID($A$2,FIND("_",$A$2),2)&amp;"'!$A$10:$K$51"),MATCH(MID($A89,FIND(":",$A89)+2,LEN($A89)-FIND(":",$A89)+2),INDIRECT("'Annex 1 LV and HV charges"&amp;MID($A$2,FIND("_",$A$2),2)&amp;"'!$A$10:$A$51"),0),MATCH(E$13,$A$13:$J$13,0))-E89),"")</f>
        <v/>
      </c>
      <c r="M89" s="328" t="str">
        <f ca="1">IFERROR(IF(#REF!="","",INDEX(INDIRECT("'Annex 1 LV and HV charges"&amp;MID($A$2,FIND("_",$A$2),2)&amp;"'!$A$10:$K$51"),MATCH(MID($A89,FIND(":",$A89)+2,LEN($A89)-FIND(":",$A89)+2),INDIRECT("'Annex 1 LV and HV charges"&amp;MID($A$2,FIND("_",$A$2),2)&amp;"'!$A$10:$A$51"),0),MATCH(F$13,$A$13:$J$13,0))-F89),"")</f>
        <v/>
      </c>
      <c r="N89" s="328" t="str">
        <f ca="1">IFERROR(IF(#REF!="","",INDEX(INDIRECT("'Annex 1 LV and HV charges"&amp;MID($A$2,FIND("_",$A$2),2)&amp;"'!$A$10:$K$51"),MATCH(MID($A89,FIND(":",$A89)+2,LEN($A89)-FIND(":",$A89)+2),INDIRECT("'Annex 1 LV and HV charges"&amp;MID($A$2,FIND("_",$A$2),2)&amp;"'!$A$10:$A$51"),0),MATCH(G$13,$A$13:$J$13,0))-G89),"")</f>
        <v/>
      </c>
      <c r="O89" s="328" t="str">
        <f ca="1">IFERROR(IF(#REF!="","",INDEX(INDIRECT("'Annex 1 LV and HV charges"&amp;MID($A$2,FIND("_",$A$2),2)&amp;"'!$A$10:$K$51"),MATCH(MID($A89,FIND(":",$A89)+2,LEN($A89)-FIND(":",$A89)+2),INDIRECT("'Annex 1 LV and HV charges"&amp;MID($A$2,FIND("_",$A$2),2)&amp;"'!$A$10:$A$51"),0),MATCH(H$13,$A$13:$J$13,0))-H89),"")</f>
        <v/>
      </c>
      <c r="P89" s="328" t="str">
        <f ca="1">IFERROR(IF(#REF!="","",INDEX(INDIRECT("'Annex 1 LV and HV charges"&amp;MID($A$2,FIND("_",$A$2),2)&amp;"'!$A$10:$K$51"),MATCH(MID($A89,FIND(":",$A89)+2,LEN($A89)-FIND(":",$A89)+2),INDIRECT("'Annex 1 LV and HV charges"&amp;MID($A$2,FIND("_",$A$2),2)&amp;"'!$A$10:$A$51"),0),MATCH(I$13,$A$13:$J$13,0))-I89),"")</f>
        <v/>
      </c>
      <c r="Q89" s="328" t="str">
        <f ca="1">IFERROR(IF(#REF!="","",INDEX(INDIRECT("'Annex 1 LV and HV charges"&amp;MID($A$2,FIND("_",$A$2),2)&amp;"'!$A$10:$K$51"),MATCH(MID($A89,FIND(":",$A89)+2,LEN($A89)-FIND(":",$A89)+2),INDIRECT("'Annex 1 LV and HV charges"&amp;MID($A$2,FIND("_",$A$2),2)&amp;"'!$A$10:$A$51"),0),MATCH(J$13,$A$13:$J$13,0))-J89),"")</f>
        <v/>
      </c>
    </row>
    <row r="90" spans="1:17" ht="27" customHeight="1" x14ac:dyDescent="0.2">
      <c r="A90" s="324" t="s">
        <v>789</v>
      </c>
      <c r="B90" s="18"/>
      <c r="C90" s="327" t="s">
        <v>846</v>
      </c>
      <c r="D90" s="92">
        <v>2.585</v>
      </c>
      <c r="E90" s="93">
        <v>0.90200000000000002</v>
      </c>
      <c r="F90" s="94">
        <v>0.19400000000000001</v>
      </c>
      <c r="G90" s="319">
        <v>5.16</v>
      </c>
      <c r="H90" s="320" t="s">
        <v>840</v>
      </c>
      <c r="I90" s="321" t="s">
        <v>840</v>
      </c>
      <c r="J90" s="27" t="s">
        <v>840</v>
      </c>
      <c r="K90" s="328" t="str">
        <f ca="1">IFERROR(IF(#REF!="","",INDEX(INDIRECT("'Annex 1 LV and HV charges"&amp;MID($A$2,FIND("_",$A$2),2)&amp;"'!$A$10:$K$51"),MATCH(MID($A90,FIND(":",$A90)+2,LEN($A90)-FIND(":",$A90)+2),INDIRECT("'Annex 1 LV and HV charges"&amp;MID($A$2,FIND("_",$A$2),2)&amp;"'!$A$10:$A$51"),0),MATCH(D$13,$A$13:$J$13,0))-D90),"")</f>
        <v/>
      </c>
      <c r="L90" s="328" t="str">
        <f ca="1">IFERROR(IF(#REF!="","",INDEX(INDIRECT("'Annex 1 LV and HV charges"&amp;MID($A$2,FIND("_",$A$2),2)&amp;"'!$A$10:$K$51"),MATCH(MID($A90,FIND(":",$A90)+2,LEN($A90)-FIND(":",$A90)+2),INDIRECT("'Annex 1 LV and HV charges"&amp;MID($A$2,FIND("_",$A$2),2)&amp;"'!$A$10:$A$51"),0),MATCH(E$13,$A$13:$J$13,0))-E90),"")</f>
        <v/>
      </c>
      <c r="M90" s="328" t="str">
        <f ca="1">IFERROR(IF(#REF!="","",INDEX(INDIRECT("'Annex 1 LV and HV charges"&amp;MID($A$2,FIND("_",$A$2),2)&amp;"'!$A$10:$K$51"),MATCH(MID($A90,FIND(":",$A90)+2,LEN($A90)-FIND(":",$A90)+2),INDIRECT("'Annex 1 LV and HV charges"&amp;MID($A$2,FIND("_",$A$2),2)&amp;"'!$A$10:$A$51"),0),MATCH(F$13,$A$13:$J$13,0))-F90),"")</f>
        <v/>
      </c>
      <c r="N90" s="328" t="str">
        <f ca="1">IFERROR(IF(#REF!="","",INDEX(INDIRECT("'Annex 1 LV and HV charges"&amp;MID($A$2,FIND("_",$A$2),2)&amp;"'!$A$10:$K$51"),MATCH(MID($A90,FIND(":",$A90)+2,LEN($A90)-FIND(":",$A90)+2),INDIRECT("'Annex 1 LV and HV charges"&amp;MID($A$2,FIND("_",$A$2),2)&amp;"'!$A$10:$A$51"),0),MATCH(G$13,$A$13:$J$13,0))-G90),"")</f>
        <v/>
      </c>
      <c r="O90" s="328" t="str">
        <f ca="1">IFERROR(IF(#REF!="","",INDEX(INDIRECT("'Annex 1 LV and HV charges"&amp;MID($A$2,FIND("_",$A$2),2)&amp;"'!$A$10:$K$51"),MATCH(MID($A90,FIND(":",$A90)+2,LEN($A90)-FIND(":",$A90)+2),INDIRECT("'Annex 1 LV and HV charges"&amp;MID($A$2,FIND("_",$A$2),2)&amp;"'!$A$10:$A$51"),0),MATCH(H$13,$A$13:$J$13,0))-H90),"")</f>
        <v/>
      </c>
      <c r="P90" s="328" t="str">
        <f ca="1">IFERROR(IF(#REF!="","",INDEX(INDIRECT("'Annex 1 LV and HV charges"&amp;MID($A$2,FIND("_",$A$2),2)&amp;"'!$A$10:$K$51"),MATCH(MID($A90,FIND(":",$A90)+2,LEN($A90)-FIND(":",$A90)+2),INDIRECT("'Annex 1 LV and HV charges"&amp;MID($A$2,FIND("_",$A$2),2)&amp;"'!$A$10:$A$51"),0),MATCH(I$13,$A$13:$J$13,0))-I90),"")</f>
        <v/>
      </c>
      <c r="Q90" s="328" t="str">
        <f ca="1">IFERROR(IF(#REF!="","",INDEX(INDIRECT("'Annex 1 LV and HV charges"&amp;MID($A$2,FIND("_",$A$2),2)&amp;"'!$A$10:$K$51"),MATCH(MID($A90,FIND(":",$A90)+2,LEN($A90)-FIND(":",$A90)+2),INDIRECT("'Annex 1 LV and HV charges"&amp;MID($A$2,FIND("_",$A$2),2)&amp;"'!$A$10:$A$51"),0),MATCH(J$13,$A$13:$J$13,0))-J90),"")</f>
        <v/>
      </c>
    </row>
    <row r="91" spans="1:17" ht="27" customHeight="1" x14ac:dyDescent="0.2">
      <c r="A91" s="324" t="s">
        <v>796</v>
      </c>
      <c r="B91" s="25"/>
      <c r="C91" s="327" t="s">
        <v>846</v>
      </c>
      <c r="D91" s="92">
        <v>2.585</v>
      </c>
      <c r="E91" s="93">
        <v>0.90200000000000002</v>
      </c>
      <c r="F91" s="94">
        <v>0.19400000000000001</v>
      </c>
      <c r="G91" s="319">
        <v>4.71</v>
      </c>
      <c r="H91" s="320" t="s">
        <v>840</v>
      </c>
      <c r="I91" s="321" t="s">
        <v>840</v>
      </c>
      <c r="J91" s="27" t="s">
        <v>840</v>
      </c>
      <c r="K91" s="328" t="str">
        <f ca="1">IFERROR(IF(#REF!="","",INDEX(INDIRECT("'Annex 1 LV and HV charges"&amp;MID($A$2,FIND("_",$A$2),2)&amp;"'!$A$10:$K$51"),MATCH(MID($A91,FIND(":",$A91)+2,LEN($A91)-FIND(":",$A91)+2),INDIRECT("'Annex 1 LV and HV charges"&amp;MID($A$2,FIND("_",$A$2),2)&amp;"'!$A$10:$A$51"),0),MATCH(D$13,$A$13:$J$13,0))-D91),"")</f>
        <v/>
      </c>
      <c r="L91" s="328" t="str">
        <f ca="1">IFERROR(IF(#REF!="","",INDEX(INDIRECT("'Annex 1 LV and HV charges"&amp;MID($A$2,FIND("_",$A$2),2)&amp;"'!$A$10:$K$51"),MATCH(MID($A91,FIND(":",$A91)+2,LEN($A91)-FIND(":",$A91)+2),INDIRECT("'Annex 1 LV and HV charges"&amp;MID($A$2,FIND("_",$A$2),2)&amp;"'!$A$10:$A$51"),0),MATCH(E$13,$A$13:$J$13,0))-E91),"")</f>
        <v/>
      </c>
      <c r="M91" s="328" t="str">
        <f ca="1">IFERROR(IF(#REF!="","",INDEX(INDIRECT("'Annex 1 LV and HV charges"&amp;MID($A$2,FIND("_",$A$2),2)&amp;"'!$A$10:$K$51"),MATCH(MID($A91,FIND(":",$A91)+2,LEN($A91)-FIND(":",$A91)+2),INDIRECT("'Annex 1 LV and HV charges"&amp;MID($A$2,FIND("_",$A$2),2)&amp;"'!$A$10:$A$51"),0),MATCH(F$13,$A$13:$J$13,0))-F91),"")</f>
        <v/>
      </c>
      <c r="N91" s="328" t="str">
        <f ca="1">IFERROR(IF(#REF!="","",INDEX(INDIRECT("'Annex 1 LV and HV charges"&amp;MID($A$2,FIND("_",$A$2),2)&amp;"'!$A$10:$K$51"),MATCH(MID($A91,FIND(":",$A91)+2,LEN($A91)-FIND(":",$A91)+2),INDIRECT("'Annex 1 LV and HV charges"&amp;MID($A$2,FIND("_",$A$2),2)&amp;"'!$A$10:$A$51"),0),MATCH(G$13,$A$13:$J$13,0))-G91),"")</f>
        <v/>
      </c>
      <c r="O91" s="328" t="str">
        <f ca="1">IFERROR(IF(#REF!="","",INDEX(INDIRECT("'Annex 1 LV and HV charges"&amp;MID($A$2,FIND("_",$A$2),2)&amp;"'!$A$10:$K$51"),MATCH(MID($A91,FIND(":",$A91)+2,LEN($A91)-FIND(":",$A91)+2),INDIRECT("'Annex 1 LV and HV charges"&amp;MID($A$2,FIND("_",$A$2),2)&amp;"'!$A$10:$A$51"),0),MATCH(H$13,$A$13:$J$13,0))-H91),"")</f>
        <v/>
      </c>
      <c r="P91" s="328" t="str">
        <f ca="1">IFERROR(IF(#REF!="","",INDEX(INDIRECT("'Annex 1 LV and HV charges"&amp;MID($A$2,FIND("_",$A$2),2)&amp;"'!$A$10:$K$51"),MATCH(MID($A91,FIND(":",$A91)+2,LEN($A91)-FIND(":",$A91)+2),INDIRECT("'Annex 1 LV and HV charges"&amp;MID($A$2,FIND("_",$A$2),2)&amp;"'!$A$10:$A$51"),0),MATCH(I$13,$A$13:$J$13,0))-I91),"")</f>
        <v/>
      </c>
      <c r="Q91" s="328" t="str">
        <f ca="1">IFERROR(IF(#REF!="","",INDEX(INDIRECT("'Annex 1 LV and HV charges"&amp;MID($A$2,FIND("_",$A$2),2)&amp;"'!$A$10:$K$51"),MATCH(MID($A91,FIND(":",$A91)+2,LEN($A91)-FIND(":",$A91)+2),INDIRECT("'Annex 1 LV and HV charges"&amp;MID($A$2,FIND("_",$A$2),2)&amp;"'!$A$10:$A$51"),0),MATCH(J$13,$A$13:$J$13,0))-J91),"")</f>
        <v/>
      </c>
    </row>
    <row r="92" spans="1:17" ht="27" customHeight="1" x14ac:dyDescent="0.2">
      <c r="A92" s="324" t="s">
        <v>803</v>
      </c>
      <c r="B92" s="18"/>
      <c r="C92" s="327" t="s">
        <v>846</v>
      </c>
      <c r="D92" s="92">
        <v>2.585</v>
      </c>
      <c r="E92" s="93">
        <v>0.90200000000000002</v>
      </c>
      <c r="F92" s="94">
        <v>0.19400000000000001</v>
      </c>
      <c r="G92" s="319">
        <v>2.54</v>
      </c>
      <c r="H92" s="320" t="s">
        <v>840</v>
      </c>
      <c r="I92" s="321" t="s">
        <v>840</v>
      </c>
      <c r="J92" s="27" t="s">
        <v>840</v>
      </c>
      <c r="K92" s="328" t="str">
        <f ca="1">IFERROR(IF(#REF!="","",INDEX(INDIRECT("'Annex 1 LV and HV charges"&amp;MID($A$2,FIND("_",$A$2),2)&amp;"'!$A$10:$K$51"),MATCH(MID($A92,FIND(":",$A92)+2,LEN($A92)-FIND(":",$A92)+2),INDIRECT("'Annex 1 LV and HV charges"&amp;MID($A$2,FIND("_",$A$2),2)&amp;"'!$A$10:$A$51"),0),MATCH(D$13,$A$13:$J$13,0))-D92),"")</f>
        <v/>
      </c>
      <c r="L92" s="328" t="str">
        <f ca="1">IFERROR(IF(#REF!="","",INDEX(INDIRECT("'Annex 1 LV and HV charges"&amp;MID($A$2,FIND("_",$A$2),2)&amp;"'!$A$10:$K$51"),MATCH(MID($A92,FIND(":",$A92)+2,LEN($A92)-FIND(":",$A92)+2),INDIRECT("'Annex 1 LV and HV charges"&amp;MID($A$2,FIND("_",$A$2),2)&amp;"'!$A$10:$A$51"),0),MATCH(E$13,$A$13:$J$13,0))-E92),"")</f>
        <v/>
      </c>
      <c r="M92" s="328" t="str">
        <f ca="1">IFERROR(IF(#REF!="","",INDEX(INDIRECT("'Annex 1 LV and HV charges"&amp;MID($A$2,FIND("_",$A$2),2)&amp;"'!$A$10:$K$51"),MATCH(MID($A92,FIND(":",$A92)+2,LEN($A92)-FIND(":",$A92)+2),INDIRECT("'Annex 1 LV and HV charges"&amp;MID($A$2,FIND("_",$A$2),2)&amp;"'!$A$10:$A$51"),0),MATCH(F$13,$A$13:$J$13,0))-F92),"")</f>
        <v/>
      </c>
      <c r="N92" s="328" t="str">
        <f ca="1">IFERROR(IF(#REF!="","",INDEX(INDIRECT("'Annex 1 LV and HV charges"&amp;MID($A$2,FIND("_",$A$2),2)&amp;"'!$A$10:$K$51"),MATCH(MID($A92,FIND(":",$A92)+2,LEN($A92)-FIND(":",$A92)+2),INDIRECT("'Annex 1 LV and HV charges"&amp;MID($A$2,FIND("_",$A$2),2)&amp;"'!$A$10:$A$51"),0),MATCH(G$13,$A$13:$J$13,0))-G92),"")</f>
        <v/>
      </c>
      <c r="O92" s="328" t="str">
        <f ca="1">IFERROR(IF(#REF!="","",INDEX(INDIRECT("'Annex 1 LV and HV charges"&amp;MID($A$2,FIND("_",$A$2),2)&amp;"'!$A$10:$K$51"),MATCH(MID($A92,FIND(":",$A92)+2,LEN($A92)-FIND(":",$A92)+2),INDIRECT("'Annex 1 LV and HV charges"&amp;MID($A$2,FIND("_",$A$2),2)&amp;"'!$A$10:$A$51"),0),MATCH(H$13,$A$13:$J$13,0))-H92),"")</f>
        <v/>
      </c>
      <c r="P92" s="328" t="str">
        <f ca="1">IFERROR(IF(#REF!="","",INDEX(INDIRECT("'Annex 1 LV and HV charges"&amp;MID($A$2,FIND("_",$A$2),2)&amp;"'!$A$10:$K$51"),MATCH(MID($A92,FIND(":",$A92)+2,LEN($A92)-FIND(":",$A92)+2),INDIRECT("'Annex 1 LV and HV charges"&amp;MID($A$2,FIND("_",$A$2),2)&amp;"'!$A$10:$A$51"),0),MATCH(I$13,$A$13:$J$13,0))-I92),"")</f>
        <v/>
      </c>
      <c r="Q92" s="328" t="str">
        <f ca="1">IFERROR(IF(#REF!="","",INDEX(INDIRECT("'Annex 1 LV and HV charges"&amp;MID($A$2,FIND("_",$A$2),2)&amp;"'!$A$10:$K$51"),MATCH(MID($A92,FIND(":",$A92)+2,LEN($A92)-FIND(":",$A92)+2),INDIRECT("'Annex 1 LV and HV charges"&amp;MID($A$2,FIND("_",$A$2),2)&amp;"'!$A$10:$A$51"),0),MATCH(J$13,$A$13:$J$13,0))-J92),"")</f>
        <v/>
      </c>
    </row>
    <row r="93" spans="1:17" ht="27" customHeight="1" x14ac:dyDescent="0.2">
      <c r="A93" s="324" t="s">
        <v>810</v>
      </c>
      <c r="B93" s="18"/>
      <c r="C93" s="327" t="s">
        <v>846</v>
      </c>
      <c r="D93" s="92">
        <v>2.57</v>
      </c>
      <c r="E93" s="93">
        <v>0.88700000000000001</v>
      </c>
      <c r="F93" s="94">
        <v>0.17899999999999999</v>
      </c>
      <c r="G93" s="319" t="s">
        <v>840</v>
      </c>
      <c r="H93" s="320" t="s">
        <v>840</v>
      </c>
      <c r="I93" s="321" t="s">
        <v>840</v>
      </c>
      <c r="J93" s="27" t="s">
        <v>840</v>
      </c>
      <c r="K93" s="328" t="str">
        <f ca="1">IFERROR(IF(#REF!="","",INDEX(INDIRECT("'Annex 1 LV and HV charges"&amp;MID($A$2,FIND("_",$A$2),2)&amp;"'!$A$10:$K$51"),MATCH(MID($A93,FIND(":",$A93)+2,LEN($A93)-FIND(":",$A93)+2),INDIRECT("'Annex 1 LV and HV charges"&amp;MID($A$2,FIND("_",$A$2),2)&amp;"'!$A$10:$A$51"),0),MATCH(D$13,$A$13:$J$13,0))-D93),"")</f>
        <v/>
      </c>
      <c r="L93" s="328" t="str">
        <f ca="1">IFERROR(IF(#REF!="","",INDEX(INDIRECT("'Annex 1 LV and HV charges"&amp;MID($A$2,FIND("_",$A$2),2)&amp;"'!$A$10:$K$51"),MATCH(MID($A93,FIND(":",$A93)+2,LEN($A93)-FIND(":",$A93)+2),INDIRECT("'Annex 1 LV and HV charges"&amp;MID($A$2,FIND("_",$A$2),2)&amp;"'!$A$10:$A$51"),0),MATCH(E$13,$A$13:$J$13,0))-E93),"")</f>
        <v/>
      </c>
      <c r="M93" s="328" t="str">
        <f ca="1">IFERROR(IF(#REF!="","",INDEX(INDIRECT("'Annex 1 LV and HV charges"&amp;MID($A$2,FIND("_",$A$2),2)&amp;"'!$A$10:$K$51"),MATCH(MID($A93,FIND(":",$A93)+2,LEN($A93)-FIND(":",$A93)+2),INDIRECT("'Annex 1 LV and HV charges"&amp;MID($A$2,FIND("_",$A$2),2)&amp;"'!$A$10:$A$51"),0),MATCH(F$13,$A$13:$J$13,0))-F93),"")</f>
        <v/>
      </c>
      <c r="N93" s="328" t="str">
        <f ca="1">IFERROR(IF(#REF!="","",INDEX(INDIRECT("'Annex 1 LV and HV charges"&amp;MID($A$2,FIND("_",$A$2),2)&amp;"'!$A$10:$K$51"),MATCH(MID($A93,FIND(":",$A93)+2,LEN($A93)-FIND(":",$A93)+2),INDIRECT("'Annex 1 LV and HV charges"&amp;MID($A$2,FIND("_",$A$2),2)&amp;"'!$A$10:$A$51"),0),MATCH(G$13,$A$13:$J$13,0))-G93),"")</f>
        <v/>
      </c>
      <c r="O93" s="328" t="str">
        <f ca="1">IFERROR(IF(#REF!="","",INDEX(INDIRECT("'Annex 1 LV and HV charges"&amp;MID($A$2,FIND("_",$A$2),2)&amp;"'!$A$10:$K$51"),MATCH(MID($A93,FIND(":",$A93)+2,LEN($A93)-FIND(":",$A93)+2),INDIRECT("'Annex 1 LV and HV charges"&amp;MID($A$2,FIND("_",$A$2),2)&amp;"'!$A$10:$A$51"),0),MATCH(H$13,$A$13:$J$13,0))-H93),"")</f>
        <v/>
      </c>
      <c r="P93" s="328" t="str">
        <f ca="1">IFERROR(IF(#REF!="","",INDEX(INDIRECT("'Annex 1 LV and HV charges"&amp;MID($A$2,FIND("_",$A$2),2)&amp;"'!$A$10:$K$51"),MATCH(MID($A93,FIND(":",$A93)+2,LEN($A93)-FIND(":",$A93)+2),INDIRECT("'Annex 1 LV and HV charges"&amp;MID($A$2,FIND("_",$A$2),2)&amp;"'!$A$10:$A$51"),0),MATCH(I$13,$A$13:$J$13,0))-I93),"")</f>
        <v/>
      </c>
      <c r="Q93" s="328" t="str">
        <f ca="1">IFERROR(IF(#REF!="","",INDEX(INDIRECT("'Annex 1 LV and HV charges"&amp;MID($A$2,FIND("_",$A$2),2)&amp;"'!$A$10:$K$51"),MATCH(MID($A93,FIND(":",$A93)+2,LEN($A93)-FIND(":",$A93)+2),INDIRECT("'Annex 1 LV and HV charges"&amp;MID($A$2,FIND("_",$A$2),2)&amp;"'!$A$10:$A$51"),0),MATCH(J$13,$A$13:$J$13,0))-J93),"")</f>
        <v/>
      </c>
    </row>
    <row r="94" spans="1:17" ht="27" customHeight="1" x14ac:dyDescent="0.2">
      <c r="A94" s="324" t="s">
        <v>817</v>
      </c>
      <c r="B94" s="18"/>
      <c r="C94" s="327" t="s">
        <v>846</v>
      </c>
      <c r="D94" s="92">
        <v>2.5</v>
      </c>
      <c r="E94" s="93">
        <v>0.81699999999999995</v>
      </c>
      <c r="F94" s="94">
        <v>0.109</v>
      </c>
      <c r="G94" s="319" t="s">
        <v>840</v>
      </c>
      <c r="H94" s="320" t="s">
        <v>840</v>
      </c>
      <c r="I94" s="321" t="s">
        <v>840</v>
      </c>
      <c r="J94" s="27" t="s">
        <v>840</v>
      </c>
      <c r="K94" s="328" t="str">
        <f ca="1">IFERROR(IF(#REF!="","",INDEX(INDIRECT("'Annex 1 LV and HV charges"&amp;MID($A$2,FIND("_",$A$2),2)&amp;"'!$A$10:$K$51"),MATCH(MID($A94,FIND(":",$A94)+2,LEN($A94)-FIND(":",$A94)+2),INDIRECT("'Annex 1 LV and HV charges"&amp;MID($A$2,FIND("_",$A$2),2)&amp;"'!$A$10:$A$51"),0),MATCH(D$13,$A$13:$J$13,0))-D94),"")</f>
        <v/>
      </c>
      <c r="L94" s="328" t="str">
        <f ca="1">IFERROR(IF(#REF!="","",INDEX(INDIRECT("'Annex 1 LV and HV charges"&amp;MID($A$2,FIND("_",$A$2),2)&amp;"'!$A$10:$K$51"),MATCH(MID($A94,FIND(":",$A94)+2,LEN($A94)-FIND(":",$A94)+2),INDIRECT("'Annex 1 LV and HV charges"&amp;MID($A$2,FIND("_",$A$2),2)&amp;"'!$A$10:$A$51"),0),MATCH(E$13,$A$13:$J$13,0))-E94),"")</f>
        <v/>
      </c>
      <c r="M94" s="328" t="str">
        <f ca="1">IFERROR(IF(#REF!="","",INDEX(INDIRECT("'Annex 1 LV and HV charges"&amp;MID($A$2,FIND("_",$A$2),2)&amp;"'!$A$10:$K$51"),MATCH(MID($A94,FIND(":",$A94)+2,LEN($A94)-FIND(":",$A94)+2),INDIRECT("'Annex 1 LV and HV charges"&amp;MID($A$2,FIND("_",$A$2),2)&amp;"'!$A$10:$A$51"),0),MATCH(F$13,$A$13:$J$13,0))-F94),"")</f>
        <v/>
      </c>
      <c r="N94" s="328" t="str">
        <f ca="1">IFERROR(IF(#REF!="","",INDEX(INDIRECT("'Annex 1 LV and HV charges"&amp;MID($A$2,FIND("_",$A$2),2)&amp;"'!$A$10:$K$51"),MATCH(MID($A94,FIND(":",$A94)+2,LEN($A94)-FIND(":",$A94)+2),INDIRECT("'Annex 1 LV and HV charges"&amp;MID($A$2,FIND("_",$A$2),2)&amp;"'!$A$10:$A$51"),0),MATCH(G$13,$A$13:$J$13,0))-G94),"")</f>
        <v/>
      </c>
      <c r="O94" s="328" t="str">
        <f ca="1">IFERROR(IF(#REF!="","",INDEX(INDIRECT("'Annex 1 LV and HV charges"&amp;MID($A$2,FIND("_",$A$2),2)&amp;"'!$A$10:$K$51"),MATCH(MID($A94,FIND(":",$A94)+2,LEN($A94)-FIND(":",$A94)+2),INDIRECT("'Annex 1 LV and HV charges"&amp;MID($A$2,FIND("_",$A$2),2)&amp;"'!$A$10:$A$51"),0),MATCH(H$13,$A$13:$J$13,0))-H94),"")</f>
        <v/>
      </c>
      <c r="P94" s="328" t="str">
        <f ca="1">IFERROR(IF(#REF!="","",INDEX(INDIRECT("'Annex 1 LV and HV charges"&amp;MID($A$2,FIND("_",$A$2),2)&amp;"'!$A$10:$K$51"),MATCH(MID($A94,FIND(":",$A94)+2,LEN($A94)-FIND(":",$A94)+2),INDIRECT("'Annex 1 LV and HV charges"&amp;MID($A$2,FIND("_",$A$2),2)&amp;"'!$A$10:$A$51"),0),MATCH(I$13,$A$13:$J$13,0))-I94),"")</f>
        <v/>
      </c>
      <c r="Q94" s="328" t="str">
        <f ca="1">IFERROR(IF(#REF!="","",INDEX(INDIRECT("'Annex 1 LV and HV charges"&amp;MID($A$2,FIND("_",$A$2),2)&amp;"'!$A$10:$K$51"),MATCH(MID($A94,FIND(":",$A94)+2,LEN($A94)-FIND(":",$A94)+2),INDIRECT("'Annex 1 LV and HV charges"&amp;MID($A$2,FIND("_",$A$2),2)&amp;"'!$A$10:$A$51"),0),MATCH(J$13,$A$13:$J$13,0))-J94),"")</f>
        <v/>
      </c>
    </row>
    <row r="95" spans="1:17" ht="27" customHeight="1" x14ac:dyDescent="0.2">
      <c r="A95" s="324" t="s">
        <v>586</v>
      </c>
      <c r="B95" s="25"/>
      <c r="C95" s="327">
        <v>4</v>
      </c>
      <c r="D95" s="92">
        <v>2.585</v>
      </c>
      <c r="E95" s="93">
        <v>0.90200000000000002</v>
      </c>
      <c r="F95" s="94">
        <v>0.19400000000000001</v>
      </c>
      <c r="G95" s="320" t="s">
        <v>840</v>
      </c>
      <c r="H95" s="320" t="s">
        <v>840</v>
      </c>
      <c r="I95" s="321" t="s">
        <v>840</v>
      </c>
      <c r="J95" s="27" t="s">
        <v>840</v>
      </c>
      <c r="K95" s="328" t="str">
        <f ca="1">IFERROR(IF(#REF!="","",INDEX(INDIRECT("'Annex 1 LV and HV charges"&amp;MID($A$2,FIND("_",$A$2),2)&amp;"'!$A$10:$K$51"),MATCH(MID($A95,FIND(":",$A95)+2,LEN($A95)-FIND(":",$A95)+2),INDIRECT("'Annex 1 LV and HV charges"&amp;MID($A$2,FIND("_",$A$2),2)&amp;"'!$A$10:$A$51"),0),MATCH(D$13,$A$13:$J$13,0))-D95),"")</f>
        <v/>
      </c>
      <c r="L95" s="328" t="str">
        <f ca="1">IFERROR(IF(#REF!="","",INDEX(INDIRECT("'Annex 1 LV and HV charges"&amp;MID($A$2,FIND("_",$A$2),2)&amp;"'!$A$10:$K$51"),MATCH(MID($A95,FIND(":",$A95)+2,LEN($A95)-FIND(":",$A95)+2),INDIRECT("'Annex 1 LV and HV charges"&amp;MID($A$2,FIND("_",$A$2),2)&amp;"'!$A$10:$A$51"),0),MATCH(E$13,$A$13:$J$13,0))-E95),"")</f>
        <v/>
      </c>
      <c r="M95" s="328" t="str">
        <f ca="1">IFERROR(IF(#REF!="","",INDEX(INDIRECT("'Annex 1 LV and HV charges"&amp;MID($A$2,FIND("_",$A$2),2)&amp;"'!$A$10:$K$51"),MATCH(MID($A95,FIND(":",$A95)+2,LEN($A95)-FIND(":",$A95)+2),INDIRECT("'Annex 1 LV and HV charges"&amp;MID($A$2,FIND("_",$A$2),2)&amp;"'!$A$10:$A$51"),0),MATCH(F$13,$A$13:$J$13,0))-F95),"")</f>
        <v/>
      </c>
      <c r="N95" s="328" t="str">
        <f ca="1">IFERROR(IF(#REF!="","",INDEX(INDIRECT("'Annex 1 LV and HV charges"&amp;MID($A$2,FIND("_",$A$2),2)&amp;"'!$A$10:$K$51"),MATCH(MID($A95,FIND(":",$A95)+2,LEN($A95)-FIND(":",$A95)+2),INDIRECT("'Annex 1 LV and HV charges"&amp;MID($A$2,FIND("_",$A$2),2)&amp;"'!$A$10:$A$51"),0),MATCH(G$13,$A$13:$J$13,0))-G95),"")</f>
        <v/>
      </c>
      <c r="O95" s="328" t="str">
        <f ca="1">IFERROR(IF(#REF!="","",INDEX(INDIRECT("'Annex 1 LV and HV charges"&amp;MID($A$2,FIND("_",$A$2),2)&amp;"'!$A$10:$K$51"),MATCH(MID($A95,FIND(":",$A95)+2,LEN($A95)-FIND(":",$A95)+2),INDIRECT("'Annex 1 LV and HV charges"&amp;MID($A$2,FIND("_",$A$2),2)&amp;"'!$A$10:$A$51"),0),MATCH(H$13,$A$13:$J$13,0))-H95),"")</f>
        <v/>
      </c>
      <c r="P95" s="328" t="str">
        <f ca="1">IFERROR(IF(#REF!="","",INDEX(INDIRECT("'Annex 1 LV and HV charges"&amp;MID($A$2,FIND("_",$A$2),2)&amp;"'!$A$10:$K$51"),MATCH(MID($A95,FIND(":",$A95)+2,LEN($A95)-FIND(":",$A95)+2),INDIRECT("'Annex 1 LV and HV charges"&amp;MID($A$2,FIND("_",$A$2),2)&amp;"'!$A$10:$A$51"),0),MATCH(I$13,$A$13:$J$13,0))-I95),"")</f>
        <v/>
      </c>
      <c r="Q95" s="328" t="str">
        <f ca="1">IFERROR(IF(#REF!="","",INDEX(INDIRECT("'Annex 1 LV and HV charges"&amp;MID($A$2,FIND("_",$A$2),2)&amp;"'!$A$10:$K$51"),MATCH(MID($A95,FIND(":",$A95)+2,LEN($A95)-FIND(":",$A95)+2),INDIRECT("'Annex 1 LV and HV charges"&amp;MID($A$2,FIND("_",$A$2),2)&amp;"'!$A$10:$A$51"),0),MATCH(J$13,$A$13:$J$13,0))-J95),"")</f>
        <v/>
      </c>
    </row>
    <row r="96" spans="1:17" ht="27" customHeight="1" x14ac:dyDescent="0.2">
      <c r="A96" s="324" t="s">
        <v>681</v>
      </c>
      <c r="B96" s="18"/>
      <c r="C96" s="327">
        <v>0</v>
      </c>
      <c r="D96" s="92">
        <v>1.5980000000000001</v>
      </c>
      <c r="E96" s="93">
        <v>0.52900000000000003</v>
      </c>
      <c r="F96" s="94">
        <v>0.127</v>
      </c>
      <c r="G96" s="319">
        <v>13.66</v>
      </c>
      <c r="H96" s="319">
        <v>2.58</v>
      </c>
      <c r="I96" s="322">
        <v>2.58</v>
      </c>
      <c r="J96" s="26">
        <v>8.2000000000000003E-2</v>
      </c>
      <c r="K96" s="328" t="str">
        <f ca="1">IFERROR(IF(#REF!="","",INDEX(INDIRECT("'Annex 1 LV and HV charges"&amp;MID($A$2,FIND("_",$A$2),2)&amp;"'!$A$10:$K$51"),MATCH(MID($A96,FIND(":",$A96)+2,LEN($A96)-FIND(":",$A96)+2),INDIRECT("'Annex 1 LV and HV charges"&amp;MID($A$2,FIND("_",$A$2),2)&amp;"'!$A$10:$A$51"),0),MATCH(D$13,$A$13:$J$13,0))-D96),"")</f>
        <v/>
      </c>
      <c r="L96" s="328" t="str">
        <f ca="1">IFERROR(IF(#REF!="","",INDEX(INDIRECT("'Annex 1 LV and HV charges"&amp;MID($A$2,FIND("_",$A$2),2)&amp;"'!$A$10:$K$51"),MATCH(MID($A96,FIND(":",$A96)+2,LEN($A96)-FIND(":",$A96)+2),INDIRECT("'Annex 1 LV and HV charges"&amp;MID($A$2,FIND("_",$A$2),2)&amp;"'!$A$10:$A$51"),0),MATCH(E$13,$A$13:$J$13,0))-E96),"")</f>
        <v/>
      </c>
      <c r="M96" s="328" t="str">
        <f ca="1">IFERROR(IF(#REF!="","",INDEX(INDIRECT("'Annex 1 LV and HV charges"&amp;MID($A$2,FIND("_",$A$2),2)&amp;"'!$A$10:$K$51"),MATCH(MID($A96,FIND(":",$A96)+2,LEN($A96)-FIND(":",$A96)+2),INDIRECT("'Annex 1 LV and HV charges"&amp;MID($A$2,FIND("_",$A$2),2)&amp;"'!$A$10:$A$51"),0),MATCH(F$13,$A$13:$J$13,0))-F96),"")</f>
        <v/>
      </c>
      <c r="N96" s="328" t="str">
        <f ca="1">IFERROR(IF(#REF!="","",INDEX(INDIRECT("'Annex 1 LV and HV charges"&amp;MID($A$2,FIND("_",$A$2),2)&amp;"'!$A$10:$K$51"),MATCH(MID($A96,FIND(":",$A96)+2,LEN($A96)-FIND(":",$A96)+2),INDIRECT("'Annex 1 LV and HV charges"&amp;MID($A$2,FIND("_",$A$2),2)&amp;"'!$A$10:$A$51"),0),MATCH(G$13,$A$13:$J$13,0))-G96),"")</f>
        <v/>
      </c>
      <c r="O96" s="328" t="str">
        <f ca="1">IFERROR(IF(#REF!="","",INDEX(INDIRECT("'Annex 1 LV and HV charges"&amp;MID($A$2,FIND("_",$A$2),2)&amp;"'!$A$10:$K$51"),MATCH(MID($A96,FIND(":",$A96)+2,LEN($A96)-FIND(":",$A96)+2),INDIRECT("'Annex 1 LV and HV charges"&amp;MID($A$2,FIND("_",$A$2),2)&amp;"'!$A$10:$A$51"),0),MATCH(H$13,$A$13:$J$13,0))-H96),"")</f>
        <v/>
      </c>
      <c r="P96" s="328" t="str">
        <f ca="1">IFERROR(IF(#REF!="","",INDEX(INDIRECT("'Annex 1 LV and HV charges"&amp;MID($A$2,FIND("_",$A$2),2)&amp;"'!$A$10:$K$51"),MATCH(MID($A96,FIND(":",$A96)+2,LEN($A96)-FIND(":",$A96)+2),INDIRECT("'Annex 1 LV and HV charges"&amp;MID($A$2,FIND("_",$A$2),2)&amp;"'!$A$10:$A$51"),0),MATCH(I$13,$A$13:$J$13,0))-I96),"")</f>
        <v/>
      </c>
      <c r="Q96" s="328" t="str">
        <f ca="1">IFERROR(IF(#REF!="","",INDEX(INDIRECT("'Annex 1 LV and HV charges"&amp;MID($A$2,FIND("_",$A$2),2)&amp;"'!$A$10:$K$51"),MATCH(MID($A96,FIND(":",$A96)+2,LEN($A96)-FIND(":",$A96)+2),INDIRECT("'Annex 1 LV and HV charges"&amp;MID($A$2,FIND("_",$A$2),2)&amp;"'!$A$10:$A$51"),0),MATCH(J$13,$A$13:$J$13,0))-J96),"")</f>
        <v/>
      </c>
    </row>
    <row r="97" spans="1:17" ht="27" customHeight="1" x14ac:dyDescent="0.2">
      <c r="A97" s="324" t="s">
        <v>682</v>
      </c>
      <c r="B97" s="25"/>
      <c r="C97" s="327">
        <v>0</v>
      </c>
      <c r="D97" s="92">
        <v>1.536</v>
      </c>
      <c r="E97" s="93">
        <v>0.46600000000000003</v>
      </c>
      <c r="F97" s="94">
        <v>6.5000000000000002E-2</v>
      </c>
      <c r="G97" s="319" t="s">
        <v>840</v>
      </c>
      <c r="H97" s="319">
        <v>2.58</v>
      </c>
      <c r="I97" s="322">
        <v>2.58</v>
      </c>
      <c r="J97" s="26">
        <v>8.2000000000000003E-2</v>
      </c>
      <c r="K97" s="328" t="str">
        <f ca="1">IFERROR(IF(#REF!="","",INDEX(INDIRECT("'Annex 1 LV and HV charges"&amp;MID($A$2,FIND("_",$A$2),2)&amp;"'!$A$10:$K$51"),MATCH(MID($A97,FIND(":",$A97)+2,LEN($A97)-FIND(":",$A97)+2),INDIRECT("'Annex 1 LV and HV charges"&amp;MID($A$2,FIND("_",$A$2),2)&amp;"'!$A$10:$A$51"),0),MATCH(D$13,$A$13:$J$13,0))-D97),"")</f>
        <v/>
      </c>
      <c r="L97" s="328" t="str">
        <f ca="1">IFERROR(IF(#REF!="","",INDEX(INDIRECT("'Annex 1 LV and HV charges"&amp;MID($A$2,FIND("_",$A$2),2)&amp;"'!$A$10:$K$51"),MATCH(MID($A97,FIND(":",$A97)+2,LEN($A97)-FIND(":",$A97)+2),INDIRECT("'Annex 1 LV and HV charges"&amp;MID($A$2,FIND("_",$A$2),2)&amp;"'!$A$10:$A$51"),0),MATCH(E$13,$A$13:$J$13,0))-E97),"")</f>
        <v/>
      </c>
      <c r="M97" s="328" t="str">
        <f ca="1">IFERROR(IF(#REF!="","",INDEX(INDIRECT("'Annex 1 LV and HV charges"&amp;MID($A$2,FIND("_",$A$2),2)&amp;"'!$A$10:$K$51"),MATCH(MID($A97,FIND(":",$A97)+2,LEN($A97)-FIND(":",$A97)+2),INDIRECT("'Annex 1 LV and HV charges"&amp;MID($A$2,FIND("_",$A$2),2)&amp;"'!$A$10:$A$51"),0),MATCH(F$13,$A$13:$J$13,0))-F97),"")</f>
        <v/>
      </c>
      <c r="N97" s="328" t="str">
        <f ca="1">IFERROR(IF(#REF!="","",INDEX(INDIRECT("'Annex 1 LV and HV charges"&amp;MID($A$2,FIND("_",$A$2),2)&amp;"'!$A$10:$K$51"),MATCH(MID($A97,FIND(":",$A97)+2,LEN($A97)-FIND(":",$A97)+2),INDIRECT("'Annex 1 LV and HV charges"&amp;MID($A$2,FIND("_",$A$2),2)&amp;"'!$A$10:$A$51"),0),MATCH(G$13,$A$13:$J$13,0))-G97),"")</f>
        <v/>
      </c>
      <c r="O97" s="328" t="str">
        <f ca="1">IFERROR(IF(#REF!="","",INDEX(INDIRECT("'Annex 1 LV and HV charges"&amp;MID($A$2,FIND("_",$A$2),2)&amp;"'!$A$10:$K$51"),MATCH(MID($A97,FIND(":",$A97)+2,LEN($A97)-FIND(":",$A97)+2),INDIRECT("'Annex 1 LV and HV charges"&amp;MID($A$2,FIND("_",$A$2),2)&amp;"'!$A$10:$A$51"),0),MATCH(H$13,$A$13:$J$13,0))-H97),"")</f>
        <v/>
      </c>
      <c r="P97" s="328" t="str">
        <f ca="1">IFERROR(IF(#REF!="","",INDEX(INDIRECT("'Annex 1 LV and HV charges"&amp;MID($A$2,FIND("_",$A$2),2)&amp;"'!$A$10:$K$51"),MATCH(MID($A97,FIND(":",$A97)+2,LEN($A97)-FIND(":",$A97)+2),INDIRECT("'Annex 1 LV and HV charges"&amp;MID($A$2,FIND("_",$A$2),2)&amp;"'!$A$10:$A$51"),0),MATCH(I$13,$A$13:$J$13,0))-I97),"")</f>
        <v/>
      </c>
      <c r="Q97" s="328" t="str">
        <f ca="1">IFERROR(IF(#REF!="","",INDEX(INDIRECT("'Annex 1 LV and HV charges"&amp;MID($A$2,FIND("_",$A$2),2)&amp;"'!$A$10:$K$51"),MATCH(MID($A97,FIND(":",$A97)+2,LEN($A97)-FIND(":",$A97)+2),INDIRECT("'Annex 1 LV and HV charges"&amp;MID($A$2,FIND("_",$A$2),2)&amp;"'!$A$10:$A$51"),0),MATCH(J$13,$A$13:$J$13,0))-J97),"")</f>
        <v/>
      </c>
    </row>
    <row r="98" spans="1:17" ht="27" customHeight="1" x14ac:dyDescent="0.2">
      <c r="A98" s="324" t="s">
        <v>683</v>
      </c>
      <c r="B98" s="18"/>
      <c r="C98" s="327">
        <v>0</v>
      </c>
      <c r="D98" s="92">
        <v>1.5029999999999999</v>
      </c>
      <c r="E98" s="93">
        <v>0.433</v>
      </c>
      <c r="F98" s="94">
        <v>5.6000000000000001E-2</v>
      </c>
      <c r="G98" s="319" t="s">
        <v>840</v>
      </c>
      <c r="H98" s="319">
        <v>2.58</v>
      </c>
      <c r="I98" s="322">
        <v>2.58</v>
      </c>
      <c r="J98" s="26">
        <v>8.2000000000000003E-2</v>
      </c>
      <c r="K98" s="328" t="str">
        <f ca="1">IFERROR(IF(#REF!="","",INDEX(INDIRECT("'Annex 1 LV and HV charges"&amp;MID($A$2,FIND("_",$A$2),2)&amp;"'!$A$10:$K$51"),MATCH(MID($A98,FIND(":",$A98)+2,LEN($A98)-FIND(":",$A98)+2),INDIRECT("'Annex 1 LV and HV charges"&amp;MID($A$2,FIND("_",$A$2),2)&amp;"'!$A$10:$A$51"),0),MATCH(D$13,$A$13:$J$13,0))-D98),"")</f>
        <v/>
      </c>
      <c r="L98" s="328" t="str">
        <f ca="1">IFERROR(IF(#REF!="","",INDEX(INDIRECT("'Annex 1 LV and HV charges"&amp;MID($A$2,FIND("_",$A$2),2)&amp;"'!$A$10:$K$51"),MATCH(MID($A98,FIND(":",$A98)+2,LEN($A98)-FIND(":",$A98)+2),INDIRECT("'Annex 1 LV and HV charges"&amp;MID($A$2,FIND("_",$A$2),2)&amp;"'!$A$10:$A$51"),0),MATCH(E$13,$A$13:$J$13,0))-E98),"")</f>
        <v/>
      </c>
      <c r="M98" s="328" t="str">
        <f ca="1">IFERROR(IF(#REF!="","",INDEX(INDIRECT("'Annex 1 LV and HV charges"&amp;MID($A$2,FIND("_",$A$2),2)&amp;"'!$A$10:$K$51"),MATCH(MID($A98,FIND(":",$A98)+2,LEN($A98)-FIND(":",$A98)+2),INDIRECT("'Annex 1 LV and HV charges"&amp;MID($A$2,FIND("_",$A$2),2)&amp;"'!$A$10:$A$51"),0),MATCH(F$13,$A$13:$J$13,0))-F98),"")</f>
        <v/>
      </c>
      <c r="N98" s="328" t="str">
        <f ca="1">IFERROR(IF(#REF!="","",INDEX(INDIRECT("'Annex 1 LV and HV charges"&amp;MID($A$2,FIND("_",$A$2),2)&amp;"'!$A$10:$K$51"),MATCH(MID($A98,FIND(":",$A98)+2,LEN($A98)-FIND(":",$A98)+2),INDIRECT("'Annex 1 LV and HV charges"&amp;MID($A$2,FIND("_",$A$2),2)&amp;"'!$A$10:$A$51"),0),MATCH(G$13,$A$13:$J$13,0))-G98),"")</f>
        <v/>
      </c>
      <c r="O98" s="328" t="str">
        <f ca="1">IFERROR(IF(#REF!="","",INDEX(INDIRECT("'Annex 1 LV and HV charges"&amp;MID($A$2,FIND("_",$A$2),2)&amp;"'!$A$10:$K$51"),MATCH(MID($A98,FIND(":",$A98)+2,LEN($A98)-FIND(":",$A98)+2),INDIRECT("'Annex 1 LV and HV charges"&amp;MID($A$2,FIND("_",$A$2),2)&amp;"'!$A$10:$A$51"),0),MATCH(H$13,$A$13:$J$13,0))-H98),"")</f>
        <v/>
      </c>
      <c r="P98" s="328" t="str">
        <f ca="1">IFERROR(IF(#REF!="","",INDEX(INDIRECT("'Annex 1 LV and HV charges"&amp;MID($A$2,FIND("_",$A$2),2)&amp;"'!$A$10:$K$51"),MATCH(MID($A98,FIND(":",$A98)+2,LEN($A98)-FIND(":",$A98)+2),INDIRECT("'Annex 1 LV and HV charges"&amp;MID($A$2,FIND("_",$A$2),2)&amp;"'!$A$10:$A$51"),0),MATCH(I$13,$A$13:$J$13,0))-I98),"")</f>
        <v/>
      </c>
      <c r="Q98" s="328" t="str">
        <f ca="1">IFERROR(IF(#REF!="","",INDEX(INDIRECT("'Annex 1 LV and HV charges"&amp;MID($A$2,FIND("_",$A$2),2)&amp;"'!$A$10:$K$51"),MATCH(MID($A98,FIND(":",$A98)+2,LEN($A98)-FIND(":",$A98)+2),INDIRECT("'Annex 1 LV and HV charges"&amp;MID($A$2,FIND("_",$A$2),2)&amp;"'!$A$10:$A$51"),0),MATCH(J$13,$A$13:$J$13,0))-J98),"")</f>
        <v/>
      </c>
    </row>
    <row r="99" spans="1:17" ht="27" customHeight="1" x14ac:dyDescent="0.2">
      <c r="A99" s="324" t="s">
        <v>684</v>
      </c>
      <c r="B99" s="18"/>
      <c r="C99" s="327">
        <v>0</v>
      </c>
      <c r="D99" s="92">
        <v>1.484</v>
      </c>
      <c r="E99" s="93">
        <v>0.41499999999999998</v>
      </c>
      <c r="F99" s="94">
        <v>5.6000000000000001E-2</v>
      </c>
      <c r="G99" s="319" t="s">
        <v>840</v>
      </c>
      <c r="H99" s="319">
        <v>2.58</v>
      </c>
      <c r="I99" s="322">
        <v>2.58</v>
      </c>
      <c r="J99" s="26">
        <v>8.2000000000000003E-2</v>
      </c>
      <c r="K99" s="328" t="str">
        <f ca="1">IFERROR(IF(#REF!="","",INDEX(INDIRECT("'Annex 1 LV and HV charges"&amp;MID($A$2,FIND("_",$A$2),2)&amp;"'!$A$10:$K$51"),MATCH(MID($A99,FIND(":",$A99)+2,LEN($A99)-FIND(":",$A99)+2),INDIRECT("'Annex 1 LV and HV charges"&amp;MID($A$2,FIND("_",$A$2),2)&amp;"'!$A$10:$A$51"),0),MATCH(D$13,$A$13:$J$13,0))-D99),"")</f>
        <v/>
      </c>
      <c r="L99" s="328" t="str">
        <f ca="1">IFERROR(IF(#REF!="","",INDEX(INDIRECT("'Annex 1 LV and HV charges"&amp;MID($A$2,FIND("_",$A$2),2)&amp;"'!$A$10:$K$51"),MATCH(MID($A99,FIND(":",$A99)+2,LEN($A99)-FIND(":",$A99)+2),INDIRECT("'Annex 1 LV and HV charges"&amp;MID($A$2,FIND("_",$A$2),2)&amp;"'!$A$10:$A$51"),0),MATCH(E$13,$A$13:$J$13,0))-E99),"")</f>
        <v/>
      </c>
      <c r="M99" s="328" t="str">
        <f ca="1">IFERROR(IF(#REF!="","",INDEX(INDIRECT("'Annex 1 LV and HV charges"&amp;MID($A$2,FIND("_",$A$2),2)&amp;"'!$A$10:$K$51"),MATCH(MID($A99,FIND(":",$A99)+2,LEN($A99)-FIND(":",$A99)+2),INDIRECT("'Annex 1 LV and HV charges"&amp;MID($A$2,FIND("_",$A$2),2)&amp;"'!$A$10:$A$51"),0),MATCH(F$13,$A$13:$J$13,0))-F99),"")</f>
        <v/>
      </c>
      <c r="N99" s="328" t="str">
        <f ca="1">IFERROR(IF(#REF!="","",INDEX(INDIRECT("'Annex 1 LV and HV charges"&amp;MID($A$2,FIND("_",$A$2),2)&amp;"'!$A$10:$K$51"),MATCH(MID($A99,FIND(":",$A99)+2,LEN($A99)-FIND(":",$A99)+2),INDIRECT("'Annex 1 LV and HV charges"&amp;MID($A$2,FIND("_",$A$2),2)&amp;"'!$A$10:$A$51"),0),MATCH(G$13,$A$13:$J$13,0))-G99),"")</f>
        <v/>
      </c>
      <c r="O99" s="328" t="str">
        <f ca="1">IFERROR(IF(#REF!="","",INDEX(INDIRECT("'Annex 1 LV and HV charges"&amp;MID($A$2,FIND("_",$A$2),2)&amp;"'!$A$10:$K$51"),MATCH(MID($A99,FIND(":",$A99)+2,LEN($A99)-FIND(":",$A99)+2),INDIRECT("'Annex 1 LV and HV charges"&amp;MID($A$2,FIND("_",$A$2),2)&amp;"'!$A$10:$A$51"),0),MATCH(H$13,$A$13:$J$13,0))-H99),"")</f>
        <v/>
      </c>
      <c r="P99" s="328" t="str">
        <f ca="1">IFERROR(IF(#REF!="","",INDEX(INDIRECT("'Annex 1 LV and HV charges"&amp;MID($A$2,FIND("_",$A$2),2)&amp;"'!$A$10:$K$51"),MATCH(MID($A99,FIND(":",$A99)+2,LEN($A99)-FIND(":",$A99)+2),INDIRECT("'Annex 1 LV and HV charges"&amp;MID($A$2,FIND("_",$A$2),2)&amp;"'!$A$10:$A$51"),0),MATCH(I$13,$A$13:$J$13,0))-I99),"")</f>
        <v/>
      </c>
      <c r="Q99" s="328" t="str">
        <f ca="1">IFERROR(IF(#REF!="","",INDEX(INDIRECT("'Annex 1 LV and HV charges"&amp;MID($A$2,FIND("_",$A$2),2)&amp;"'!$A$10:$K$51"),MATCH(MID($A99,FIND(":",$A99)+2,LEN($A99)-FIND(":",$A99)+2),INDIRECT("'Annex 1 LV and HV charges"&amp;MID($A$2,FIND("_",$A$2),2)&amp;"'!$A$10:$A$51"),0),MATCH(J$13,$A$13:$J$13,0))-J99),"")</f>
        <v/>
      </c>
    </row>
    <row r="100" spans="1:17" ht="27" customHeight="1" x14ac:dyDescent="0.2">
      <c r="A100" s="324" t="s">
        <v>685</v>
      </c>
      <c r="B100" s="18"/>
      <c r="C100" s="327">
        <v>0</v>
      </c>
      <c r="D100" s="92">
        <v>1.466</v>
      </c>
      <c r="E100" s="93">
        <v>0.39600000000000002</v>
      </c>
      <c r="F100" s="94">
        <v>5.6000000000000001E-2</v>
      </c>
      <c r="G100" s="319" t="s">
        <v>840</v>
      </c>
      <c r="H100" s="319">
        <v>2.58</v>
      </c>
      <c r="I100" s="322">
        <v>2.58</v>
      </c>
      <c r="J100" s="26">
        <v>8.2000000000000003E-2</v>
      </c>
      <c r="K100" s="328" t="str">
        <f ca="1">IFERROR(IF(#REF!="","",INDEX(INDIRECT("'Annex 1 LV and HV charges"&amp;MID($A$2,FIND("_",$A$2),2)&amp;"'!$A$10:$K$51"),MATCH(MID($A100,FIND(":",$A100)+2,LEN($A100)-FIND(":",$A100)+2),INDIRECT("'Annex 1 LV and HV charges"&amp;MID($A$2,FIND("_",$A$2),2)&amp;"'!$A$10:$A$51"),0),MATCH(D$13,$A$13:$J$13,0))-D100),"")</f>
        <v/>
      </c>
      <c r="L100" s="328" t="str">
        <f ca="1">IFERROR(IF(#REF!="","",INDEX(INDIRECT("'Annex 1 LV and HV charges"&amp;MID($A$2,FIND("_",$A$2),2)&amp;"'!$A$10:$K$51"),MATCH(MID($A100,FIND(":",$A100)+2,LEN($A100)-FIND(":",$A100)+2),INDIRECT("'Annex 1 LV and HV charges"&amp;MID($A$2,FIND("_",$A$2),2)&amp;"'!$A$10:$A$51"),0),MATCH(E$13,$A$13:$J$13,0))-E100),"")</f>
        <v/>
      </c>
      <c r="M100" s="328" t="str">
        <f ca="1">IFERROR(IF(#REF!="","",INDEX(INDIRECT("'Annex 1 LV and HV charges"&amp;MID($A$2,FIND("_",$A$2),2)&amp;"'!$A$10:$K$51"),MATCH(MID($A100,FIND(":",$A100)+2,LEN($A100)-FIND(":",$A100)+2),INDIRECT("'Annex 1 LV and HV charges"&amp;MID($A$2,FIND("_",$A$2),2)&amp;"'!$A$10:$A$51"),0),MATCH(F$13,$A$13:$J$13,0))-F100),"")</f>
        <v/>
      </c>
      <c r="N100" s="328" t="str">
        <f ca="1">IFERROR(IF(#REF!="","",INDEX(INDIRECT("'Annex 1 LV and HV charges"&amp;MID($A$2,FIND("_",$A$2),2)&amp;"'!$A$10:$K$51"),MATCH(MID($A100,FIND(":",$A100)+2,LEN($A100)-FIND(":",$A100)+2),INDIRECT("'Annex 1 LV and HV charges"&amp;MID($A$2,FIND("_",$A$2),2)&amp;"'!$A$10:$A$51"),0),MATCH(G$13,$A$13:$J$13,0))-G100),"")</f>
        <v/>
      </c>
      <c r="O100" s="328" t="str">
        <f ca="1">IFERROR(IF(#REF!="","",INDEX(INDIRECT("'Annex 1 LV and HV charges"&amp;MID($A$2,FIND("_",$A$2),2)&amp;"'!$A$10:$K$51"),MATCH(MID($A100,FIND(":",$A100)+2,LEN($A100)-FIND(":",$A100)+2),INDIRECT("'Annex 1 LV and HV charges"&amp;MID($A$2,FIND("_",$A$2),2)&amp;"'!$A$10:$A$51"),0),MATCH(H$13,$A$13:$J$13,0))-H100),"")</f>
        <v/>
      </c>
      <c r="P100" s="328" t="str">
        <f ca="1">IFERROR(IF(#REF!="","",INDEX(INDIRECT("'Annex 1 LV and HV charges"&amp;MID($A$2,FIND("_",$A$2),2)&amp;"'!$A$10:$K$51"),MATCH(MID($A100,FIND(":",$A100)+2,LEN($A100)-FIND(":",$A100)+2),INDIRECT("'Annex 1 LV and HV charges"&amp;MID($A$2,FIND("_",$A$2),2)&amp;"'!$A$10:$A$51"),0),MATCH(I$13,$A$13:$J$13,0))-I100),"")</f>
        <v/>
      </c>
      <c r="Q100" s="328" t="str">
        <f ca="1">IFERROR(IF(#REF!="","",INDEX(INDIRECT("'Annex 1 LV and HV charges"&amp;MID($A$2,FIND("_",$A$2),2)&amp;"'!$A$10:$K$51"),MATCH(MID($A100,FIND(":",$A100)+2,LEN($A100)-FIND(":",$A100)+2),INDIRECT("'Annex 1 LV and HV charges"&amp;MID($A$2,FIND("_",$A$2),2)&amp;"'!$A$10:$A$51"),0),MATCH(J$13,$A$13:$J$13,0))-J100),"")</f>
        <v/>
      </c>
    </row>
    <row r="101" spans="1:17" ht="27" customHeight="1" x14ac:dyDescent="0.2">
      <c r="A101" s="324" t="s">
        <v>686</v>
      </c>
      <c r="B101" s="18"/>
      <c r="C101" s="327">
        <v>0</v>
      </c>
      <c r="D101" s="92">
        <v>1.0049999999999999</v>
      </c>
      <c r="E101" s="93">
        <v>0.255</v>
      </c>
      <c r="F101" s="94">
        <v>0.10100000000000001</v>
      </c>
      <c r="G101" s="319">
        <v>48.81</v>
      </c>
      <c r="H101" s="319">
        <v>4.7300000000000004</v>
      </c>
      <c r="I101" s="322">
        <v>4.7300000000000004</v>
      </c>
      <c r="J101" s="26">
        <v>4.5999999999999999E-2</v>
      </c>
      <c r="K101" s="328" t="str">
        <f ca="1">IFERROR(IF(#REF!="","",INDEX(INDIRECT("'Annex 1 LV and HV charges"&amp;MID($A$2,FIND("_",$A$2),2)&amp;"'!$A$10:$K$51"),MATCH(MID($A101,FIND(":",$A101)+2,LEN($A101)-FIND(":",$A101)+2),INDIRECT("'Annex 1 LV and HV charges"&amp;MID($A$2,FIND("_",$A$2),2)&amp;"'!$A$10:$A$51"),0),MATCH(D$13,$A$13:$J$13,0))-D101),"")</f>
        <v/>
      </c>
      <c r="L101" s="328" t="str">
        <f ca="1">IFERROR(IF(#REF!="","",INDEX(INDIRECT("'Annex 1 LV and HV charges"&amp;MID($A$2,FIND("_",$A$2),2)&amp;"'!$A$10:$K$51"),MATCH(MID($A101,FIND(":",$A101)+2,LEN($A101)-FIND(":",$A101)+2),INDIRECT("'Annex 1 LV and HV charges"&amp;MID($A$2,FIND("_",$A$2),2)&amp;"'!$A$10:$A$51"),0),MATCH(E$13,$A$13:$J$13,0))-E101),"")</f>
        <v/>
      </c>
      <c r="M101" s="328" t="str">
        <f ca="1">IFERROR(IF(#REF!="","",INDEX(INDIRECT("'Annex 1 LV and HV charges"&amp;MID($A$2,FIND("_",$A$2),2)&amp;"'!$A$10:$K$51"),MATCH(MID($A101,FIND(":",$A101)+2,LEN($A101)-FIND(":",$A101)+2),INDIRECT("'Annex 1 LV and HV charges"&amp;MID($A$2,FIND("_",$A$2),2)&amp;"'!$A$10:$A$51"),0),MATCH(F$13,$A$13:$J$13,0))-F101),"")</f>
        <v/>
      </c>
      <c r="N101" s="328" t="str">
        <f ca="1">IFERROR(IF(#REF!="","",INDEX(INDIRECT("'Annex 1 LV and HV charges"&amp;MID($A$2,FIND("_",$A$2),2)&amp;"'!$A$10:$K$51"),MATCH(MID($A101,FIND(":",$A101)+2,LEN($A101)-FIND(":",$A101)+2),INDIRECT("'Annex 1 LV and HV charges"&amp;MID($A$2,FIND("_",$A$2),2)&amp;"'!$A$10:$A$51"),0),MATCH(G$13,$A$13:$J$13,0))-G101),"")</f>
        <v/>
      </c>
      <c r="O101" s="328" t="str">
        <f ca="1">IFERROR(IF(#REF!="","",INDEX(INDIRECT("'Annex 1 LV and HV charges"&amp;MID($A$2,FIND("_",$A$2),2)&amp;"'!$A$10:$K$51"),MATCH(MID($A101,FIND(":",$A101)+2,LEN($A101)-FIND(":",$A101)+2),INDIRECT("'Annex 1 LV and HV charges"&amp;MID($A$2,FIND("_",$A$2),2)&amp;"'!$A$10:$A$51"),0),MATCH(H$13,$A$13:$J$13,0))-H101),"")</f>
        <v/>
      </c>
      <c r="P101" s="328" t="str">
        <f ca="1">IFERROR(IF(#REF!="","",INDEX(INDIRECT("'Annex 1 LV and HV charges"&amp;MID($A$2,FIND("_",$A$2),2)&amp;"'!$A$10:$K$51"),MATCH(MID($A101,FIND(":",$A101)+2,LEN($A101)-FIND(":",$A101)+2),INDIRECT("'Annex 1 LV and HV charges"&amp;MID($A$2,FIND("_",$A$2),2)&amp;"'!$A$10:$A$51"),0),MATCH(I$13,$A$13:$J$13,0))-I101),"")</f>
        <v/>
      </c>
      <c r="Q101" s="328" t="str">
        <f ca="1">IFERROR(IF(#REF!="","",INDEX(INDIRECT("'Annex 1 LV and HV charges"&amp;MID($A$2,FIND("_",$A$2),2)&amp;"'!$A$10:$K$51"),MATCH(MID($A101,FIND(":",$A101)+2,LEN($A101)-FIND(":",$A101)+2),INDIRECT("'Annex 1 LV and HV charges"&amp;MID($A$2,FIND("_",$A$2),2)&amp;"'!$A$10:$A$51"),0),MATCH(J$13,$A$13:$J$13,0))-J101),"")</f>
        <v/>
      </c>
    </row>
    <row r="102" spans="1:17" ht="27" customHeight="1" x14ac:dyDescent="0.2">
      <c r="A102" s="324" t="s">
        <v>687</v>
      </c>
      <c r="B102" s="25"/>
      <c r="C102" s="327">
        <v>0</v>
      </c>
      <c r="D102" s="92">
        <v>0.91600000000000004</v>
      </c>
      <c r="E102" s="93">
        <v>0.16700000000000001</v>
      </c>
      <c r="F102" s="94">
        <v>1.2E-2</v>
      </c>
      <c r="G102" s="319">
        <v>29.55</v>
      </c>
      <c r="H102" s="319">
        <v>4.7300000000000004</v>
      </c>
      <c r="I102" s="322">
        <v>4.7300000000000004</v>
      </c>
      <c r="J102" s="26">
        <v>4.5999999999999999E-2</v>
      </c>
      <c r="K102" s="328" t="str">
        <f ca="1">IFERROR(IF(#REF!="","",INDEX(INDIRECT("'Annex 1 LV and HV charges"&amp;MID($A$2,FIND("_",$A$2),2)&amp;"'!$A$10:$K$51"),MATCH(MID($A102,FIND(":",$A102)+2,LEN($A102)-FIND(":",$A102)+2),INDIRECT("'Annex 1 LV and HV charges"&amp;MID($A$2,FIND("_",$A$2),2)&amp;"'!$A$10:$A$51"),0),MATCH(D$13,$A$13:$J$13,0))-D102),"")</f>
        <v/>
      </c>
      <c r="L102" s="328" t="str">
        <f ca="1">IFERROR(IF(#REF!="","",INDEX(INDIRECT("'Annex 1 LV and HV charges"&amp;MID($A$2,FIND("_",$A$2),2)&amp;"'!$A$10:$K$51"),MATCH(MID($A102,FIND(":",$A102)+2,LEN($A102)-FIND(":",$A102)+2),INDIRECT("'Annex 1 LV and HV charges"&amp;MID($A$2,FIND("_",$A$2),2)&amp;"'!$A$10:$A$51"),0),MATCH(E$13,$A$13:$J$13,0))-E102),"")</f>
        <v/>
      </c>
      <c r="M102" s="328" t="str">
        <f ca="1">IFERROR(IF(#REF!="","",INDEX(INDIRECT("'Annex 1 LV and HV charges"&amp;MID($A$2,FIND("_",$A$2),2)&amp;"'!$A$10:$K$51"),MATCH(MID($A102,FIND(":",$A102)+2,LEN($A102)-FIND(":",$A102)+2),INDIRECT("'Annex 1 LV and HV charges"&amp;MID($A$2,FIND("_",$A$2),2)&amp;"'!$A$10:$A$51"),0),MATCH(F$13,$A$13:$J$13,0))-F102),"")</f>
        <v/>
      </c>
      <c r="N102" s="328" t="str">
        <f ca="1">IFERROR(IF(#REF!="","",INDEX(INDIRECT("'Annex 1 LV and HV charges"&amp;MID($A$2,FIND("_",$A$2),2)&amp;"'!$A$10:$K$51"),MATCH(MID($A102,FIND(":",$A102)+2,LEN($A102)-FIND(":",$A102)+2),INDIRECT("'Annex 1 LV and HV charges"&amp;MID($A$2,FIND("_",$A$2),2)&amp;"'!$A$10:$A$51"),0),MATCH(G$13,$A$13:$J$13,0))-G102),"")</f>
        <v/>
      </c>
      <c r="O102" s="328" t="str">
        <f ca="1">IFERROR(IF(#REF!="","",INDEX(INDIRECT("'Annex 1 LV and HV charges"&amp;MID($A$2,FIND("_",$A$2),2)&amp;"'!$A$10:$K$51"),MATCH(MID($A102,FIND(":",$A102)+2,LEN($A102)-FIND(":",$A102)+2),INDIRECT("'Annex 1 LV and HV charges"&amp;MID($A$2,FIND("_",$A$2),2)&amp;"'!$A$10:$A$51"),0),MATCH(H$13,$A$13:$J$13,0))-H102),"")</f>
        <v/>
      </c>
      <c r="P102" s="328" t="str">
        <f ca="1">IFERROR(IF(#REF!="","",INDEX(INDIRECT("'Annex 1 LV and HV charges"&amp;MID($A$2,FIND("_",$A$2),2)&amp;"'!$A$10:$K$51"),MATCH(MID($A102,FIND(":",$A102)+2,LEN($A102)-FIND(":",$A102)+2),INDIRECT("'Annex 1 LV and HV charges"&amp;MID($A$2,FIND("_",$A$2),2)&amp;"'!$A$10:$A$51"),0),MATCH(I$13,$A$13:$J$13,0))-I102),"")</f>
        <v/>
      </c>
      <c r="Q102" s="328" t="str">
        <f ca="1">IFERROR(IF(#REF!="","",INDEX(INDIRECT("'Annex 1 LV and HV charges"&amp;MID($A$2,FIND("_",$A$2),2)&amp;"'!$A$10:$K$51"),MATCH(MID($A102,FIND(":",$A102)+2,LEN($A102)-FIND(":",$A102)+2),INDIRECT("'Annex 1 LV and HV charges"&amp;MID($A$2,FIND("_",$A$2),2)&amp;"'!$A$10:$A$51"),0),MATCH(J$13,$A$13:$J$13,0))-J102),"")</f>
        <v/>
      </c>
    </row>
    <row r="103" spans="1:17" ht="27" customHeight="1" x14ac:dyDescent="0.2">
      <c r="A103" s="324" t="s">
        <v>688</v>
      </c>
      <c r="B103" s="18"/>
      <c r="C103" s="327">
        <v>0</v>
      </c>
      <c r="D103" s="92">
        <v>0.871</v>
      </c>
      <c r="E103" s="93">
        <v>0.121</v>
      </c>
      <c r="F103" s="94" t="s">
        <v>840</v>
      </c>
      <c r="G103" s="319">
        <v>29.55</v>
      </c>
      <c r="H103" s="319">
        <v>4.7300000000000004</v>
      </c>
      <c r="I103" s="322">
        <v>4.7300000000000004</v>
      </c>
      <c r="J103" s="26">
        <v>4.5999999999999999E-2</v>
      </c>
      <c r="K103" s="328" t="str">
        <f ca="1">IFERROR(IF(#REF!="","",INDEX(INDIRECT("'Annex 1 LV and HV charges"&amp;MID($A$2,FIND("_",$A$2),2)&amp;"'!$A$10:$K$51"),MATCH(MID($A103,FIND(":",$A103)+2,LEN($A103)-FIND(":",$A103)+2),INDIRECT("'Annex 1 LV and HV charges"&amp;MID($A$2,FIND("_",$A$2),2)&amp;"'!$A$10:$A$51"),0),MATCH(D$13,$A$13:$J$13,0))-D103),"")</f>
        <v/>
      </c>
      <c r="L103" s="328" t="str">
        <f ca="1">IFERROR(IF(#REF!="","",INDEX(INDIRECT("'Annex 1 LV and HV charges"&amp;MID($A$2,FIND("_",$A$2),2)&amp;"'!$A$10:$K$51"),MATCH(MID($A103,FIND(":",$A103)+2,LEN($A103)-FIND(":",$A103)+2),INDIRECT("'Annex 1 LV and HV charges"&amp;MID($A$2,FIND("_",$A$2),2)&amp;"'!$A$10:$A$51"),0),MATCH(E$13,$A$13:$J$13,0))-E103),"")</f>
        <v/>
      </c>
      <c r="M103" s="328" t="str">
        <f ca="1">IFERROR(IF(#REF!="","",INDEX(INDIRECT("'Annex 1 LV and HV charges"&amp;MID($A$2,FIND("_",$A$2),2)&amp;"'!$A$10:$K$51"),MATCH(MID($A103,FIND(":",$A103)+2,LEN($A103)-FIND(":",$A103)+2),INDIRECT("'Annex 1 LV and HV charges"&amp;MID($A$2,FIND("_",$A$2),2)&amp;"'!$A$10:$A$51"),0),MATCH(F$13,$A$13:$J$13,0))-F103),"")</f>
        <v/>
      </c>
      <c r="N103" s="328" t="str">
        <f ca="1">IFERROR(IF(#REF!="","",INDEX(INDIRECT("'Annex 1 LV and HV charges"&amp;MID($A$2,FIND("_",$A$2),2)&amp;"'!$A$10:$K$51"),MATCH(MID($A103,FIND(":",$A103)+2,LEN($A103)-FIND(":",$A103)+2),INDIRECT("'Annex 1 LV and HV charges"&amp;MID($A$2,FIND("_",$A$2),2)&amp;"'!$A$10:$A$51"),0),MATCH(G$13,$A$13:$J$13,0))-G103),"")</f>
        <v/>
      </c>
      <c r="O103" s="328" t="str">
        <f ca="1">IFERROR(IF(#REF!="","",INDEX(INDIRECT("'Annex 1 LV and HV charges"&amp;MID($A$2,FIND("_",$A$2),2)&amp;"'!$A$10:$K$51"),MATCH(MID($A103,FIND(":",$A103)+2,LEN($A103)-FIND(":",$A103)+2),INDIRECT("'Annex 1 LV and HV charges"&amp;MID($A$2,FIND("_",$A$2),2)&amp;"'!$A$10:$A$51"),0),MATCH(H$13,$A$13:$J$13,0))-H103),"")</f>
        <v/>
      </c>
      <c r="P103" s="328" t="str">
        <f ca="1">IFERROR(IF(#REF!="","",INDEX(INDIRECT("'Annex 1 LV and HV charges"&amp;MID($A$2,FIND("_",$A$2),2)&amp;"'!$A$10:$K$51"),MATCH(MID($A103,FIND(":",$A103)+2,LEN($A103)-FIND(":",$A103)+2),INDIRECT("'Annex 1 LV and HV charges"&amp;MID($A$2,FIND("_",$A$2),2)&amp;"'!$A$10:$A$51"),0),MATCH(I$13,$A$13:$J$13,0))-I103),"")</f>
        <v/>
      </c>
      <c r="Q103" s="328" t="str">
        <f ca="1">IFERROR(IF(#REF!="","",INDEX(INDIRECT("'Annex 1 LV and HV charges"&amp;MID($A$2,FIND("_",$A$2),2)&amp;"'!$A$10:$K$51"),MATCH(MID($A103,FIND(":",$A103)+2,LEN($A103)-FIND(":",$A103)+2),INDIRECT("'Annex 1 LV and HV charges"&amp;MID($A$2,FIND("_",$A$2),2)&amp;"'!$A$10:$A$51"),0),MATCH(J$13,$A$13:$J$13,0))-J103),"")</f>
        <v/>
      </c>
    </row>
    <row r="104" spans="1:17" ht="27" customHeight="1" x14ac:dyDescent="0.2">
      <c r="A104" s="324" t="s">
        <v>689</v>
      </c>
      <c r="B104" s="18"/>
      <c r="C104" s="327">
        <v>0</v>
      </c>
      <c r="D104" s="92">
        <v>0.84399999999999997</v>
      </c>
      <c r="E104" s="93">
        <v>9.4E-2</v>
      </c>
      <c r="F104" s="94" t="s">
        <v>840</v>
      </c>
      <c r="G104" s="319">
        <v>29.55</v>
      </c>
      <c r="H104" s="319">
        <v>4.7300000000000004</v>
      </c>
      <c r="I104" s="322">
        <v>4.7300000000000004</v>
      </c>
      <c r="J104" s="26">
        <v>4.5999999999999999E-2</v>
      </c>
      <c r="K104" s="328" t="str">
        <f ca="1">IFERROR(IF(#REF!="","",INDEX(INDIRECT("'Annex 1 LV and HV charges"&amp;MID($A$2,FIND("_",$A$2),2)&amp;"'!$A$10:$K$51"),MATCH(MID($A104,FIND(":",$A104)+2,LEN($A104)-FIND(":",$A104)+2),INDIRECT("'Annex 1 LV and HV charges"&amp;MID($A$2,FIND("_",$A$2),2)&amp;"'!$A$10:$A$51"),0),MATCH(D$13,$A$13:$J$13,0))-D104),"")</f>
        <v/>
      </c>
      <c r="L104" s="328" t="str">
        <f ca="1">IFERROR(IF(#REF!="","",INDEX(INDIRECT("'Annex 1 LV and HV charges"&amp;MID($A$2,FIND("_",$A$2),2)&amp;"'!$A$10:$K$51"),MATCH(MID($A104,FIND(":",$A104)+2,LEN($A104)-FIND(":",$A104)+2),INDIRECT("'Annex 1 LV and HV charges"&amp;MID($A$2,FIND("_",$A$2),2)&amp;"'!$A$10:$A$51"),0),MATCH(E$13,$A$13:$J$13,0))-E104),"")</f>
        <v/>
      </c>
      <c r="M104" s="328" t="str">
        <f ca="1">IFERROR(IF(#REF!="","",INDEX(INDIRECT("'Annex 1 LV and HV charges"&amp;MID($A$2,FIND("_",$A$2),2)&amp;"'!$A$10:$K$51"),MATCH(MID($A104,FIND(":",$A104)+2,LEN($A104)-FIND(":",$A104)+2),INDIRECT("'Annex 1 LV and HV charges"&amp;MID($A$2,FIND("_",$A$2),2)&amp;"'!$A$10:$A$51"),0),MATCH(F$13,$A$13:$J$13,0))-F104),"")</f>
        <v/>
      </c>
      <c r="N104" s="328" t="str">
        <f ca="1">IFERROR(IF(#REF!="","",INDEX(INDIRECT("'Annex 1 LV and HV charges"&amp;MID($A$2,FIND("_",$A$2),2)&amp;"'!$A$10:$K$51"),MATCH(MID($A104,FIND(":",$A104)+2,LEN($A104)-FIND(":",$A104)+2),INDIRECT("'Annex 1 LV and HV charges"&amp;MID($A$2,FIND("_",$A$2),2)&amp;"'!$A$10:$A$51"),0),MATCH(G$13,$A$13:$J$13,0))-G104),"")</f>
        <v/>
      </c>
      <c r="O104" s="328" t="str">
        <f ca="1">IFERROR(IF(#REF!="","",INDEX(INDIRECT("'Annex 1 LV and HV charges"&amp;MID($A$2,FIND("_",$A$2),2)&amp;"'!$A$10:$K$51"),MATCH(MID($A104,FIND(":",$A104)+2,LEN($A104)-FIND(":",$A104)+2),INDIRECT("'Annex 1 LV and HV charges"&amp;MID($A$2,FIND("_",$A$2),2)&amp;"'!$A$10:$A$51"),0),MATCH(H$13,$A$13:$J$13,0))-H104),"")</f>
        <v/>
      </c>
      <c r="P104" s="328" t="str">
        <f ca="1">IFERROR(IF(#REF!="","",INDEX(INDIRECT("'Annex 1 LV and HV charges"&amp;MID($A$2,FIND("_",$A$2),2)&amp;"'!$A$10:$K$51"),MATCH(MID($A104,FIND(":",$A104)+2,LEN($A104)-FIND(":",$A104)+2),INDIRECT("'Annex 1 LV and HV charges"&amp;MID($A$2,FIND("_",$A$2),2)&amp;"'!$A$10:$A$51"),0),MATCH(I$13,$A$13:$J$13,0))-I104),"")</f>
        <v/>
      </c>
      <c r="Q104" s="328" t="str">
        <f ca="1">IFERROR(IF(#REF!="","",INDEX(INDIRECT("'Annex 1 LV and HV charges"&amp;MID($A$2,FIND("_",$A$2),2)&amp;"'!$A$10:$K$51"),MATCH(MID($A104,FIND(":",$A104)+2,LEN($A104)-FIND(":",$A104)+2),INDIRECT("'Annex 1 LV and HV charges"&amp;MID($A$2,FIND("_",$A$2),2)&amp;"'!$A$10:$A$51"),0),MATCH(J$13,$A$13:$J$13,0))-J104),"")</f>
        <v/>
      </c>
    </row>
    <row r="105" spans="1:17" ht="27" customHeight="1" x14ac:dyDescent="0.2">
      <c r="A105" s="324" t="s">
        <v>690</v>
      </c>
      <c r="B105" s="18"/>
      <c r="C105" s="327">
        <v>0</v>
      </c>
      <c r="D105" s="92">
        <v>0.81799999999999995</v>
      </c>
      <c r="E105" s="93">
        <v>6.8000000000000005E-2</v>
      </c>
      <c r="F105" s="94" t="s">
        <v>840</v>
      </c>
      <c r="G105" s="319">
        <v>29.55</v>
      </c>
      <c r="H105" s="319">
        <v>4.7300000000000004</v>
      </c>
      <c r="I105" s="322">
        <v>4.7300000000000004</v>
      </c>
      <c r="J105" s="26">
        <v>4.5999999999999999E-2</v>
      </c>
      <c r="K105" s="328" t="str">
        <f ca="1">IFERROR(IF(#REF!="","",INDEX(INDIRECT("'Annex 1 LV and HV charges"&amp;MID($A$2,FIND("_",$A$2),2)&amp;"'!$A$10:$K$51"),MATCH(MID($A105,FIND(":",$A105)+2,LEN($A105)-FIND(":",$A105)+2),INDIRECT("'Annex 1 LV and HV charges"&amp;MID($A$2,FIND("_",$A$2),2)&amp;"'!$A$10:$A$51"),0),MATCH(D$13,$A$13:$J$13,0))-D105),"")</f>
        <v/>
      </c>
      <c r="L105" s="328" t="str">
        <f ca="1">IFERROR(IF(#REF!="","",INDEX(INDIRECT("'Annex 1 LV and HV charges"&amp;MID($A$2,FIND("_",$A$2),2)&amp;"'!$A$10:$K$51"),MATCH(MID($A105,FIND(":",$A105)+2,LEN($A105)-FIND(":",$A105)+2),INDIRECT("'Annex 1 LV and HV charges"&amp;MID($A$2,FIND("_",$A$2),2)&amp;"'!$A$10:$A$51"),0),MATCH(E$13,$A$13:$J$13,0))-E105),"")</f>
        <v/>
      </c>
      <c r="M105" s="328" t="str">
        <f ca="1">IFERROR(IF(#REF!="","",INDEX(INDIRECT("'Annex 1 LV and HV charges"&amp;MID($A$2,FIND("_",$A$2),2)&amp;"'!$A$10:$K$51"),MATCH(MID($A105,FIND(":",$A105)+2,LEN($A105)-FIND(":",$A105)+2),INDIRECT("'Annex 1 LV and HV charges"&amp;MID($A$2,FIND("_",$A$2),2)&amp;"'!$A$10:$A$51"),0),MATCH(F$13,$A$13:$J$13,0))-F105),"")</f>
        <v/>
      </c>
      <c r="N105" s="328" t="str">
        <f ca="1">IFERROR(IF(#REF!="","",INDEX(INDIRECT("'Annex 1 LV and HV charges"&amp;MID($A$2,FIND("_",$A$2),2)&amp;"'!$A$10:$K$51"),MATCH(MID($A105,FIND(":",$A105)+2,LEN($A105)-FIND(":",$A105)+2),INDIRECT("'Annex 1 LV and HV charges"&amp;MID($A$2,FIND("_",$A$2),2)&amp;"'!$A$10:$A$51"),0),MATCH(G$13,$A$13:$J$13,0))-G105),"")</f>
        <v/>
      </c>
      <c r="O105" s="328" t="str">
        <f ca="1">IFERROR(IF(#REF!="","",INDEX(INDIRECT("'Annex 1 LV and HV charges"&amp;MID($A$2,FIND("_",$A$2),2)&amp;"'!$A$10:$K$51"),MATCH(MID($A105,FIND(":",$A105)+2,LEN($A105)-FIND(":",$A105)+2),INDIRECT("'Annex 1 LV and HV charges"&amp;MID($A$2,FIND("_",$A$2),2)&amp;"'!$A$10:$A$51"),0),MATCH(H$13,$A$13:$J$13,0))-H105),"")</f>
        <v/>
      </c>
      <c r="P105" s="328" t="str">
        <f ca="1">IFERROR(IF(#REF!="","",INDEX(INDIRECT("'Annex 1 LV and HV charges"&amp;MID($A$2,FIND("_",$A$2),2)&amp;"'!$A$10:$K$51"),MATCH(MID($A105,FIND(":",$A105)+2,LEN($A105)-FIND(":",$A105)+2),INDIRECT("'Annex 1 LV and HV charges"&amp;MID($A$2,FIND("_",$A$2),2)&amp;"'!$A$10:$A$51"),0),MATCH(I$13,$A$13:$J$13,0))-I105),"")</f>
        <v/>
      </c>
      <c r="Q105" s="328" t="str">
        <f ca="1">IFERROR(IF(#REF!="","",INDEX(INDIRECT("'Annex 1 LV and HV charges"&amp;MID($A$2,FIND("_",$A$2),2)&amp;"'!$A$10:$K$51"),MATCH(MID($A105,FIND(":",$A105)+2,LEN($A105)-FIND(":",$A105)+2),INDIRECT("'Annex 1 LV and HV charges"&amp;MID($A$2,FIND("_",$A$2),2)&amp;"'!$A$10:$A$51"),0),MATCH(J$13,$A$13:$J$13,0))-J105),"")</f>
        <v/>
      </c>
    </row>
    <row r="106" spans="1:17" ht="27" customHeight="1" x14ac:dyDescent="0.2">
      <c r="A106" s="324" t="s">
        <v>691</v>
      </c>
      <c r="B106" s="18"/>
      <c r="C106" s="327">
        <v>0</v>
      </c>
      <c r="D106" s="92">
        <v>0.56200000000000006</v>
      </c>
      <c r="E106" s="93">
        <v>0.15</v>
      </c>
      <c r="F106" s="94">
        <v>9.1999999999999998E-2</v>
      </c>
      <c r="G106" s="319">
        <v>234.4</v>
      </c>
      <c r="H106" s="319">
        <v>5.73</v>
      </c>
      <c r="I106" s="322">
        <v>5.73</v>
      </c>
      <c r="J106" s="26">
        <v>2.9000000000000001E-2</v>
      </c>
      <c r="K106" s="328" t="str">
        <f ca="1">IFERROR(IF(#REF!="","",INDEX(INDIRECT("'Annex 1 LV and HV charges"&amp;MID($A$2,FIND("_",$A$2),2)&amp;"'!$A$10:$K$51"),MATCH(MID($A106,FIND(":",$A106)+2,LEN($A106)-FIND(":",$A106)+2),INDIRECT("'Annex 1 LV and HV charges"&amp;MID($A$2,FIND("_",$A$2),2)&amp;"'!$A$10:$A$51"),0),MATCH(D$13,$A$13:$J$13,0))-D106),"")</f>
        <v/>
      </c>
      <c r="L106" s="328" t="str">
        <f ca="1">IFERROR(IF(#REF!="","",INDEX(INDIRECT("'Annex 1 LV and HV charges"&amp;MID($A$2,FIND("_",$A$2),2)&amp;"'!$A$10:$K$51"),MATCH(MID($A106,FIND(":",$A106)+2,LEN($A106)-FIND(":",$A106)+2),INDIRECT("'Annex 1 LV and HV charges"&amp;MID($A$2,FIND("_",$A$2),2)&amp;"'!$A$10:$A$51"),0),MATCH(E$13,$A$13:$J$13,0))-E106),"")</f>
        <v/>
      </c>
      <c r="M106" s="328" t="str">
        <f ca="1">IFERROR(IF(#REF!="","",INDEX(INDIRECT("'Annex 1 LV and HV charges"&amp;MID($A$2,FIND("_",$A$2),2)&amp;"'!$A$10:$K$51"),MATCH(MID($A106,FIND(":",$A106)+2,LEN($A106)-FIND(":",$A106)+2),INDIRECT("'Annex 1 LV and HV charges"&amp;MID($A$2,FIND("_",$A$2),2)&amp;"'!$A$10:$A$51"),0),MATCH(F$13,$A$13:$J$13,0))-F106),"")</f>
        <v/>
      </c>
      <c r="N106" s="328" t="str">
        <f ca="1">IFERROR(IF(#REF!="","",INDEX(INDIRECT("'Annex 1 LV and HV charges"&amp;MID($A$2,FIND("_",$A$2),2)&amp;"'!$A$10:$K$51"),MATCH(MID($A106,FIND(":",$A106)+2,LEN($A106)-FIND(":",$A106)+2),INDIRECT("'Annex 1 LV and HV charges"&amp;MID($A$2,FIND("_",$A$2),2)&amp;"'!$A$10:$A$51"),0),MATCH(G$13,$A$13:$J$13,0))-G106),"")</f>
        <v/>
      </c>
      <c r="O106" s="328" t="str">
        <f ca="1">IFERROR(IF(#REF!="","",INDEX(INDIRECT("'Annex 1 LV and HV charges"&amp;MID($A$2,FIND("_",$A$2),2)&amp;"'!$A$10:$K$51"),MATCH(MID($A106,FIND(":",$A106)+2,LEN($A106)-FIND(":",$A106)+2),INDIRECT("'Annex 1 LV and HV charges"&amp;MID($A$2,FIND("_",$A$2),2)&amp;"'!$A$10:$A$51"),0),MATCH(H$13,$A$13:$J$13,0))-H106),"")</f>
        <v/>
      </c>
      <c r="P106" s="328" t="str">
        <f ca="1">IFERROR(IF(#REF!="","",INDEX(INDIRECT("'Annex 1 LV and HV charges"&amp;MID($A$2,FIND("_",$A$2),2)&amp;"'!$A$10:$K$51"),MATCH(MID($A106,FIND(":",$A106)+2,LEN($A106)-FIND(":",$A106)+2),INDIRECT("'Annex 1 LV and HV charges"&amp;MID($A$2,FIND("_",$A$2),2)&amp;"'!$A$10:$A$51"),0),MATCH(I$13,$A$13:$J$13,0))-I106),"")</f>
        <v/>
      </c>
      <c r="Q106" s="328" t="str">
        <f ca="1">IFERROR(IF(#REF!="","",INDEX(INDIRECT("'Annex 1 LV and HV charges"&amp;MID($A$2,FIND("_",$A$2),2)&amp;"'!$A$10:$K$51"),MATCH(MID($A106,FIND(":",$A106)+2,LEN($A106)-FIND(":",$A106)+2),INDIRECT("'Annex 1 LV and HV charges"&amp;MID($A$2,FIND("_",$A$2),2)&amp;"'!$A$10:$A$51"),0),MATCH(J$13,$A$13:$J$13,0))-J106),"")</f>
        <v/>
      </c>
    </row>
    <row r="107" spans="1:17" ht="27" customHeight="1" x14ac:dyDescent="0.2">
      <c r="A107" s="324" t="s">
        <v>692</v>
      </c>
      <c r="B107" s="25"/>
      <c r="C107" s="327">
        <v>0</v>
      </c>
      <c r="D107" s="92">
        <v>0.56200000000000006</v>
      </c>
      <c r="E107" s="93">
        <v>0.15</v>
      </c>
      <c r="F107" s="94">
        <v>9.1999999999999998E-2</v>
      </c>
      <c r="G107" s="319">
        <v>31.82</v>
      </c>
      <c r="H107" s="319">
        <v>5.73</v>
      </c>
      <c r="I107" s="322">
        <v>5.73</v>
      </c>
      <c r="J107" s="26">
        <v>2.9000000000000001E-2</v>
      </c>
      <c r="K107" s="328" t="str">
        <f ca="1">IFERROR(IF(#REF!="","",INDEX(INDIRECT("'Annex 1 LV and HV charges"&amp;MID($A$2,FIND("_",$A$2),2)&amp;"'!$A$10:$K$51"),MATCH(MID($A107,FIND(":",$A107)+2,LEN($A107)-FIND(":",$A107)+2),INDIRECT("'Annex 1 LV and HV charges"&amp;MID($A$2,FIND("_",$A$2),2)&amp;"'!$A$10:$A$51"),0),MATCH(D$13,$A$13:$J$13,0))-D107),"")</f>
        <v/>
      </c>
      <c r="L107" s="328" t="str">
        <f ca="1">IFERROR(IF(#REF!="","",INDEX(INDIRECT("'Annex 1 LV and HV charges"&amp;MID($A$2,FIND("_",$A$2),2)&amp;"'!$A$10:$K$51"),MATCH(MID($A107,FIND(":",$A107)+2,LEN($A107)-FIND(":",$A107)+2),INDIRECT("'Annex 1 LV and HV charges"&amp;MID($A$2,FIND("_",$A$2),2)&amp;"'!$A$10:$A$51"),0),MATCH(E$13,$A$13:$J$13,0))-E107),"")</f>
        <v/>
      </c>
      <c r="M107" s="328" t="str">
        <f ca="1">IFERROR(IF(#REF!="","",INDEX(INDIRECT("'Annex 1 LV and HV charges"&amp;MID($A$2,FIND("_",$A$2),2)&amp;"'!$A$10:$K$51"),MATCH(MID($A107,FIND(":",$A107)+2,LEN($A107)-FIND(":",$A107)+2),INDIRECT("'Annex 1 LV and HV charges"&amp;MID($A$2,FIND("_",$A$2),2)&amp;"'!$A$10:$A$51"),0),MATCH(F$13,$A$13:$J$13,0))-F107),"")</f>
        <v/>
      </c>
      <c r="N107" s="328" t="str">
        <f ca="1">IFERROR(IF(#REF!="","",INDEX(INDIRECT("'Annex 1 LV and HV charges"&amp;MID($A$2,FIND("_",$A$2),2)&amp;"'!$A$10:$K$51"),MATCH(MID($A107,FIND(":",$A107)+2,LEN($A107)-FIND(":",$A107)+2),INDIRECT("'Annex 1 LV and HV charges"&amp;MID($A$2,FIND("_",$A$2),2)&amp;"'!$A$10:$A$51"),0),MATCH(G$13,$A$13:$J$13,0))-G107),"")</f>
        <v/>
      </c>
      <c r="O107" s="328" t="str">
        <f ca="1">IFERROR(IF(#REF!="","",INDEX(INDIRECT("'Annex 1 LV and HV charges"&amp;MID($A$2,FIND("_",$A$2),2)&amp;"'!$A$10:$K$51"),MATCH(MID($A107,FIND(":",$A107)+2,LEN($A107)-FIND(":",$A107)+2),INDIRECT("'Annex 1 LV and HV charges"&amp;MID($A$2,FIND("_",$A$2),2)&amp;"'!$A$10:$A$51"),0),MATCH(H$13,$A$13:$J$13,0))-H107),"")</f>
        <v/>
      </c>
      <c r="P107" s="328" t="str">
        <f ca="1">IFERROR(IF(#REF!="","",INDEX(INDIRECT("'Annex 1 LV and HV charges"&amp;MID($A$2,FIND("_",$A$2),2)&amp;"'!$A$10:$K$51"),MATCH(MID($A107,FIND(":",$A107)+2,LEN($A107)-FIND(":",$A107)+2),INDIRECT("'Annex 1 LV and HV charges"&amp;MID($A$2,FIND("_",$A$2),2)&amp;"'!$A$10:$A$51"),0),MATCH(I$13,$A$13:$J$13,0))-I107),"")</f>
        <v/>
      </c>
      <c r="Q107" s="328" t="str">
        <f ca="1">IFERROR(IF(#REF!="","",INDEX(INDIRECT("'Annex 1 LV and HV charges"&amp;MID($A$2,FIND("_",$A$2),2)&amp;"'!$A$10:$K$51"),MATCH(MID($A107,FIND(":",$A107)+2,LEN($A107)-FIND(":",$A107)+2),INDIRECT("'Annex 1 LV and HV charges"&amp;MID($A$2,FIND("_",$A$2),2)&amp;"'!$A$10:$A$51"),0),MATCH(J$13,$A$13:$J$13,0))-J107),"")</f>
        <v/>
      </c>
    </row>
    <row r="108" spans="1:17" ht="27" customHeight="1" x14ac:dyDescent="0.2">
      <c r="A108" s="324" t="s">
        <v>693</v>
      </c>
      <c r="B108" s="18"/>
      <c r="C108" s="327">
        <v>0</v>
      </c>
      <c r="D108" s="92">
        <v>0.41699999999999998</v>
      </c>
      <c r="E108" s="93">
        <v>5.0000000000000001E-3</v>
      </c>
      <c r="F108" s="94" t="s">
        <v>840</v>
      </c>
      <c r="G108" s="319" t="s">
        <v>840</v>
      </c>
      <c r="H108" s="319">
        <v>5.73</v>
      </c>
      <c r="I108" s="322">
        <v>5.73</v>
      </c>
      <c r="J108" s="26">
        <v>2.9000000000000001E-2</v>
      </c>
      <c r="K108" s="328" t="str">
        <f ca="1">IFERROR(IF(#REF!="","",INDEX(INDIRECT("'Annex 1 LV and HV charges"&amp;MID($A$2,FIND("_",$A$2),2)&amp;"'!$A$10:$K$51"),MATCH(MID($A108,FIND(":",$A108)+2,LEN($A108)-FIND(":",$A108)+2),INDIRECT("'Annex 1 LV and HV charges"&amp;MID($A$2,FIND("_",$A$2),2)&amp;"'!$A$10:$A$51"),0),MATCH(D$13,$A$13:$J$13,0))-D108),"")</f>
        <v/>
      </c>
      <c r="L108" s="328" t="str">
        <f ca="1">IFERROR(IF(#REF!="","",INDEX(INDIRECT("'Annex 1 LV and HV charges"&amp;MID($A$2,FIND("_",$A$2),2)&amp;"'!$A$10:$K$51"),MATCH(MID($A108,FIND(":",$A108)+2,LEN($A108)-FIND(":",$A108)+2),INDIRECT("'Annex 1 LV and HV charges"&amp;MID($A$2,FIND("_",$A$2),2)&amp;"'!$A$10:$A$51"),0),MATCH(E$13,$A$13:$J$13,0))-E108),"")</f>
        <v/>
      </c>
      <c r="M108" s="328" t="str">
        <f ca="1">IFERROR(IF(#REF!="","",INDEX(INDIRECT("'Annex 1 LV and HV charges"&amp;MID($A$2,FIND("_",$A$2),2)&amp;"'!$A$10:$K$51"),MATCH(MID($A108,FIND(":",$A108)+2,LEN($A108)-FIND(":",$A108)+2),INDIRECT("'Annex 1 LV and HV charges"&amp;MID($A$2,FIND("_",$A$2),2)&amp;"'!$A$10:$A$51"),0),MATCH(F$13,$A$13:$J$13,0))-F108),"")</f>
        <v/>
      </c>
      <c r="N108" s="328" t="str">
        <f ca="1">IFERROR(IF(#REF!="","",INDEX(INDIRECT("'Annex 1 LV and HV charges"&amp;MID($A$2,FIND("_",$A$2),2)&amp;"'!$A$10:$K$51"),MATCH(MID($A108,FIND(":",$A108)+2,LEN($A108)-FIND(":",$A108)+2),INDIRECT("'Annex 1 LV and HV charges"&amp;MID($A$2,FIND("_",$A$2),2)&amp;"'!$A$10:$A$51"),0),MATCH(G$13,$A$13:$J$13,0))-G108),"")</f>
        <v/>
      </c>
      <c r="O108" s="328" t="str">
        <f ca="1">IFERROR(IF(#REF!="","",INDEX(INDIRECT("'Annex 1 LV and HV charges"&amp;MID($A$2,FIND("_",$A$2),2)&amp;"'!$A$10:$K$51"),MATCH(MID($A108,FIND(":",$A108)+2,LEN($A108)-FIND(":",$A108)+2),INDIRECT("'Annex 1 LV and HV charges"&amp;MID($A$2,FIND("_",$A$2),2)&amp;"'!$A$10:$A$51"),0),MATCH(H$13,$A$13:$J$13,0))-H108),"")</f>
        <v/>
      </c>
      <c r="P108" s="328" t="str">
        <f ca="1">IFERROR(IF(#REF!="","",INDEX(INDIRECT("'Annex 1 LV and HV charges"&amp;MID($A$2,FIND("_",$A$2),2)&amp;"'!$A$10:$K$51"),MATCH(MID($A108,FIND(":",$A108)+2,LEN($A108)-FIND(":",$A108)+2),INDIRECT("'Annex 1 LV and HV charges"&amp;MID($A$2,FIND("_",$A$2),2)&amp;"'!$A$10:$A$51"),0),MATCH(I$13,$A$13:$J$13,0))-I108),"")</f>
        <v/>
      </c>
      <c r="Q108" s="328" t="str">
        <f ca="1">IFERROR(IF(#REF!="","",INDEX(INDIRECT("'Annex 1 LV and HV charges"&amp;MID($A$2,FIND("_",$A$2),2)&amp;"'!$A$10:$K$51"),MATCH(MID($A108,FIND(":",$A108)+2,LEN($A108)-FIND(":",$A108)+2),INDIRECT("'Annex 1 LV and HV charges"&amp;MID($A$2,FIND("_",$A$2),2)&amp;"'!$A$10:$A$51"),0),MATCH(J$13,$A$13:$J$13,0))-J108),"")</f>
        <v/>
      </c>
    </row>
    <row r="109" spans="1:17" ht="27" customHeight="1" x14ac:dyDescent="0.2">
      <c r="A109" s="324" t="s">
        <v>694</v>
      </c>
      <c r="B109" s="18"/>
      <c r="C109" s="327">
        <v>0</v>
      </c>
      <c r="D109" s="92">
        <v>0.187</v>
      </c>
      <c r="E109" s="93" t="s">
        <v>840</v>
      </c>
      <c r="F109" s="94" t="s">
        <v>840</v>
      </c>
      <c r="G109" s="319" t="s">
        <v>840</v>
      </c>
      <c r="H109" s="319">
        <v>5.73</v>
      </c>
      <c r="I109" s="322">
        <v>5.73</v>
      </c>
      <c r="J109" s="26">
        <v>2.9000000000000001E-2</v>
      </c>
      <c r="K109" s="328" t="str">
        <f ca="1">IFERROR(IF(#REF!="","",INDEX(INDIRECT("'Annex 1 LV and HV charges"&amp;MID($A$2,FIND("_",$A$2),2)&amp;"'!$A$10:$K$51"),MATCH(MID($A109,FIND(":",$A109)+2,LEN($A109)-FIND(":",$A109)+2),INDIRECT("'Annex 1 LV and HV charges"&amp;MID($A$2,FIND("_",$A$2),2)&amp;"'!$A$10:$A$51"),0),MATCH(D$13,$A$13:$J$13,0))-D109),"")</f>
        <v/>
      </c>
      <c r="L109" s="328" t="str">
        <f ca="1">IFERROR(IF(#REF!="","",INDEX(INDIRECT("'Annex 1 LV and HV charges"&amp;MID($A$2,FIND("_",$A$2),2)&amp;"'!$A$10:$K$51"),MATCH(MID($A109,FIND(":",$A109)+2,LEN($A109)-FIND(":",$A109)+2),INDIRECT("'Annex 1 LV and HV charges"&amp;MID($A$2,FIND("_",$A$2),2)&amp;"'!$A$10:$A$51"),0),MATCH(E$13,$A$13:$J$13,0))-E109),"")</f>
        <v/>
      </c>
      <c r="M109" s="328" t="str">
        <f ca="1">IFERROR(IF(#REF!="","",INDEX(INDIRECT("'Annex 1 LV and HV charges"&amp;MID($A$2,FIND("_",$A$2),2)&amp;"'!$A$10:$K$51"),MATCH(MID($A109,FIND(":",$A109)+2,LEN($A109)-FIND(":",$A109)+2),INDIRECT("'Annex 1 LV and HV charges"&amp;MID($A$2,FIND("_",$A$2),2)&amp;"'!$A$10:$A$51"),0),MATCH(F$13,$A$13:$J$13,0))-F109),"")</f>
        <v/>
      </c>
      <c r="N109" s="328" t="str">
        <f ca="1">IFERROR(IF(#REF!="","",INDEX(INDIRECT("'Annex 1 LV and HV charges"&amp;MID($A$2,FIND("_",$A$2),2)&amp;"'!$A$10:$K$51"),MATCH(MID($A109,FIND(":",$A109)+2,LEN($A109)-FIND(":",$A109)+2),INDIRECT("'Annex 1 LV and HV charges"&amp;MID($A$2,FIND("_",$A$2),2)&amp;"'!$A$10:$A$51"),0),MATCH(G$13,$A$13:$J$13,0))-G109),"")</f>
        <v/>
      </c>
      <c r="O109" s="328" t="str">
        <f ca="1">IFERROR(IF(#REF!="","",INDEX(INDIRECT("'Annex 1 LV and HV charges"&amp;MID($A$2,FIND("_",$A$2),2)&amp;"'!$A$10:$K$51"),MATCH(MID($A109,FIND(":",$A109)+2,LEN($A109)-FIND(":",$A109)+2),INDIRECT("'Annex 1 LV and HV charges"&amp;MID($A$2,FIND("_",$A$2),2)&amp;"'!$A$10:$A$51"),0),MATCH(H$13,$A$13:$J$13,0))-H109),"")</f>
        <v/>
      </c>
      <c r="P109" s="328" t="str">
        <f ca="1">IFERROR(IF(#REF!="","",INDEX(INDIRECT("'Annex 1 LV and HV charges"&amp;MID($A$2,FIND("_",$A$2),2)&amp;"'!$A$10:$K$51"),MATCH(MID($A109,FIND(":",$A109)+2,LEN($A109)-FIND(":",$A109)+2),INDIRECT("'Annex 1 LV and HV charges"&amp;MID($A$2,FIND("_",$A$2),2)&amp;"'!$A$10:$A$51"),0),MATCH(I$13,$A$13:$J$13,0))-I109),"")</f>
        <v/>
      </c>
      <c r="Q109" s="328" t="str">
        <f ca="1">IFERROR(IF(#REF!="","",INDEX(INDIRECT("'Annex 1 LV and HV charges"&amp;MID($A$2,FIND("_",$A$2),2)&amp;"'!$A$10:$K$51"),MATCH(MID($A109,FIND(":",$A109)+2,LEN($A109)-FIND(":",$A109)+2),INDIRECT("'Annex 1 LV and HV charges"&amp;MID($A$2,FIND("_",$A$2),2)&amp;"'!$A$10:$A$51"),0),MATCH(J$13,$A$13:$J$13,0))-J109),"")</f>
        <v/>
      </c>
    </row>
    <row r="110" spans="1:17" ht="27" customHeight="1" x14ac:dyDescent="0.2">
      <c r="A110" s="324" t="s">
        <v>695</v>
      </c>
      <c r="B110" s="18"/>
      <c r="C110" s="327">
        <v>0</v>
      </c>
      <c r="D110" s="92" t="s">
        <v>840</v>
      </c>
      <c r="E110" s="93" t="s">
        <v>840</v>
      </c>
      <c r="F110" s="94" t="s">
        <v>840</v>
      </c>
      <c r="G110" s="319" t="s">
        <v>840</v>
      </c>
      <c r="H110" s="319">
        <v>5.73</v>
      </c>
      <c r="I110" s="322">
        <v>5.73</v>
      </c>
      <c r="J110" s="26">
        <v>2.9000000000000001E-2</v>
      </c>
      <c r="K110" s="328" t="str">
        <f ca="1">IFERROR(IF(#REF!="","",INDEX(INDIRECT("'Annex 1 LV and HV charges"&amp;MID($A$2,FIND("_",$A$2),2)&amp;"'!$A$10:$K$51"),MATCH(MID($A110,FIND(":",$A110)+2,LEN($A110)-FIND(":",$A110)+2),INDIRECT("'Annex 1 LV and HV charges"&amp;MID($A$2,FIND("_",$A$2),2)&amp;"'!$A$10:$A$51"),0),MATCH(D$13,$A$13:$J$13,0))-D110),"")</f>
        <v/>
      </c>
      <c r="L110" s="328" t="str">
        <f ca="1">IFERROR(IF(#REF!="","",INDEX(INDIRECT("'Annex 1 LV and HV charges"&amp;MID($A$2,FIND("_",$A$2),2)&amp;"'!$A$10:$K$51"),MATCH(MID($A110,FIND(":",$A110)+2,LEN($A110)-FIND(":",$A110)+2),INDIRECT("'Annex 1 LV and HV charges"&amp;MID($A$2,FIND("_",$A$2),2)&amp;"'!$A$10:$A$51"),0),MATCH(E$13,$A$13:$J$13,0))-E110),"")</f>
        <v/>
      </c>
      <c r="M110" s="328" t="str">
        <f ca="1">IFERROR(IF(#REF!="","",INDEX(INDIRECT("'Annex 1 LV and HV charges"&amp;MID($A$2,FIND("_",$A$2),2)&amp;"'!$A$10:$K$51"),MATCH(MID($A110,FIND(":",$A110)+2,LEN($A110)-FIND(":",$A110)+2),INDIRECT("'Annex 1 LV and HV charges"&amp;MID($A$2,FIND("_",$A$2),2)&amp;"'!$A$10:$A$51"),0),MATCH(F$13,$A$13:$J$13,0))-F110),"")</f>
        <v/>
      </c>
      <c r="N110" s="328" t="str">
        <f ca="1">IFERROR(IF(#REF!="","",INDEX(INDIRECT("'Annex 1 LV and HV charges"&amp;MID($A$2,FIND("_",$A$2),2)&amp;"'!$A$10:$K$51"),MATCH(MID($A110,FIND(":",$A110)+2,LEN($A110)-FIND(":",$A110)+2),INDIRECT("'Annex 1 LV and HV charges"&amp;MID($A$2,FIND("_",$A$2),2)&amp;"'!$A$10:$A$51"),0),MATCH(G$13,$A$13:$J$13,0))-G110),"")</f>
        <v/>
      </c>
      <c r="O110" s="328" t="str">
        <f ca="1">IFERROR(IF(#REF!="","",INDEX(INDIRECT("'Annex 1 LV and HV charges"&amp;MID($A$2,FIND("_",$A$2),2)&amp;"'!$A$10:$K$51"),MATCH(MID($A110,FIND(":",$A110)+2,LEN($A110)-FIND(":",$A110)+2),INDIRECT("'Annex 1 LV and HV charges"&amp;MID($A$2,FIND("_",$A$2),2)&amp;"'!$A$10:$A$51"),0),MATCH(H$13,$A$13:$J$13,0))-H110),"")</f>
        <v/>
      </c>
      <c r="P110" s="328" t="str">
        <f ca="1">IFERROR(IF(#REF!="","",INDEX(INDIRECT("'Annex 1 LV and HV charges"&amp;MID($A$2,FIND("_",$A$2),2)&amp;"'!$A$10:$K$51"),MATCH(MID($A110,FIND(":",$A110)+2,LEN($A110)-FIND(":",$A110)+2),INDIRECT("'Annex 1 LV and HV charges"&amp;MID($A$2,FIND("_",$A$2),2)&amp;"'!$A$10:$A$51"),0),MATCH(I$13,$A$13:$J$13,0))-I110),"")</f>
        <v/>
      </c>
      <c r="Q110" s="328" t="str">
        <f ca="1">IFERROR(IF(#REF!="","",INDEX(INDIRECT("'Annex 1 LV and HV charges"&amp;MID($A$2,FIND("_",$A$2),2)&amp;"'!$A$10:$K$51"),MATCH(MID($A110,FIND(":",$A110)+2,LEN($A110)-FIND(":",$A110)+2),INDIRECT("'Annex 1 LV and HV charges"&amp;MID($A$2,FIND("_",$A$2),2)&amp;"'!$A$10:$A$51"),0),MATCH(J$13,$A$13:$J$13,0))-J110),"")</f>
        <v/>
      </c>
    </row>
    <row r="111" spans="1:17" ht="27" customHeight="1" x14ac:dyDescent="0.2">
      <c r="A111" s="324" t="s">
        <v>587</v>
      </c>
      <c r="B111" s="25"/>
      <c r="C111" s="327" t="s">
        <v>847</v>
      </c>
      <c r="D111" s="95">
        <v>5.1660000000000004</v>
      </c>
      <c r="E111" s="96">
        <v>1.675</v>
      </c>
      <c r="F111" s="94">
        <v>1.278</v>
      </c>
      <c r="G111" s="320" t="s">
        <v>840</v>
      </c>
      <c r="H111" s="320" t="s">
        <v>840</v>
      </c>
      <c r="I111" s="321" t="s">
        <v>840</v>
      </c>
      <c r="J111" s="27" t="s">
        <v>840</v>
      </c>
      <c r="K111" s="328" t="str">
        <f ca="1">IFERROR(IF(#REF!="","",INDEX(INDIRECT("'Annex 1 LV and HV charges"&amp;MID($A$2,FIND("_",$A$2),2)&amp;"'!$A$10:$K$51"),MATCH(MID($A111,FIND(":",$A111)+2,LEN($A111)-FIND(":",$A111)+2),INDIRECT("'Annex 1 LV and HV charges"&amp;MID($A$2,FIND("_",$A$2),2)&amp;"'!$A$10:$A$51"),0),MATCH(D$13,$A$13:$J$13,0))-D111),"")</f>
        <v/>
      </c>
      <c r="L111" s="328" t="str">
        <f ca="1">IFERROR(IF(#REF!="","",INDEX(INDIRECT("'Annex 1 LV and HV charges"&amp;MID($A$2,FIND("_",$A$2),2)&amp;"'!$A$10:$K$51"),MATCH(MID($A111,FIND(":",$A111)+2,LEN($A111)-FIND(":",$A111)+2),INDIRECT("'Annex 1 LV and HV charges"&amp;MID($A$2,FIND("_",$A$2),2)&amp;"'!$A$10:$A$51"),0),MATCH(E$13,$A$13:$J$13,0))-E111),"")</f>
        <v/>
      </c>
      <c r="M111" s="328" t="str">
        <f ca="1">IFERROR(IF(#REF!="","",INDEX(INDIRECT("'Annex 1 LV and HV charges"&amp;MID($A$2,FIND("_",$A$2),2)&amp;"'!$A$10:$K$51"),MATCH(MID($A111,FIND(":",$A111)+2,LEN($A111)-FIND(":",$A111)+2),INDIRECT("'Annex 1 LV and HV charges"&amp;MID($A$2,FIND("_",$A$2),2)&amp;"'!$A$10:$A$51"),0),MATCH(F$13,$A$13:$J$13,0))-F111),"")</f>
        <v/>
      </c>
      <c r="N111" s="328" t="str">
        <f ca="1">IFERROR(IF(#REF!="","",INDEX(INDIRECT("'Annex 1 LV and HV charges"&amp;MID($A$2,FIND("_",$A$2),2)&amp;"'!$A$10:$K$51"),MATCH(MID($A111,FIND(":",$A111)+2,LEN($A111)-FIND(":",$A111)+2),INDIRECT("'Annex 1 LV and HV charges"&amp;MID($A$2,FIND("_",$A$2),2)&amp;"'!$A$10:$A$51"),0),MATCH(G$13,$A$13:$J$13,0))-G111),"")</f>
        <v/>
      </c>
      <c r="O111" s="328" t="str">
        <f ca="1">IFERROR(IF(#REF!="","",INDEX(INDIRECT("'Annex 1 LV and HV charges"&amp;MID($A$2,FIND("_",$A$2),2)&amp;"'!$A$10:$K$51"),MATCH(MID($A111,FIND(":",$A111)+2,LEN($A111)-FIND(":",$A111)+2),INDIRECT("'Annex 1 LV and HV charges"&amp;MID($A$2,FIND("_",$A$2),2)&amp;"'!$A$10:$A$51"),0),MATCH(H$13,$A$13:$J$13,0))-H111),"")</f>
        <v/>
      </c>
      <c r="P111" s="328" t="str">
        <f ca="1">IFERROR(IF(#REF!="","",INDEX(INDIRECT("'Annex 1 LV and HV charges"&amp;MID($A$2,FIND("_",$A$2),2)&amp;"'!$A$10:$K$51"),MATCH(MID($A111,FIND(":",$A111)+2,LEN($A111)-FIND(":",$A111)+2),INDIRECT("'Annex 1 LV and HV charges"&amp;MID($A$2,FIND("_",$A$2),2)&amp;"'!$A$10:$A$51"),0),MATCH(I$13,$A$13:$J$13,0))-I111),"")</f>
        <v/>
      </c>
      <c r="Q111" s="328" t="str">
        <f ca="1">IFERROR(IF(#REF!="","",INDEX(INDIRECT("'Annex 1 LV and HV charges"&amp;MID($A$2,FIND("_",$A$2),2)&amp;"'!$A$10:$K$51"),MATCH(MID($A111,FIND(":",$A111)+2,LEN($A111)-FIND(":",$A111)+2),INDIRECT("'Annex 1 LV and HV charges"&amp;MID($A$2,FIND("_",$A$2),2)&amp;"'!$A$10:$A$51"),0),MATCH(J$13,$A$13:$J$13,0))-J111),"")</f>
        <v/>
      </c>
    </row>
    <row r="112" spans="1:17" ht="27" customHeight="1" x14ac:dyDescent="0.2">
      <c r="A112" s="324" t="s">
        <v>622</v>
      </c>
      <c r="B112" s="25"/>
      <c r="C112" s="327" t="s">
        <v>2118</v>
      </c>
      <c r="D112" s="92">
        <v>-2.21</v>
      </c>
      <c r="E112" s="93">
        <v>-0.77100000000000002</v>
      </c>
      <c r="F112" s="94">
        <v>-0.16500000000000001</v>
      </c>
      <c r="G112" s="319" t="s">
        <v>840</v>
      </c>
      <c r="H112" s="320" t="s">
        <v>840</v>
      </c>
      <c r="I112" s="321" t="s">
        <v>840</v>
      </c>
      <c r="J112" s="27" t="s">
        <v>840</v>
      </c>
      <c r="K112" s="328" t="str">
        <f ca="1">IFERROR(IF(#REF!="","",INDEX(INDIRECT("'Annex 1 LV and HV charges"&amp;MID($A$2,FIND("_",$A$2),2)&amp;"'!$A$10:$K$51"),MATCH(MID($A112,FIND(":",$A112)+2,LEN($A112)-FIND(":",$A112)+2),INDIRECT("'Annex 1 LV and HV charges"&amp;MID($A$2,FIND("_",$A$2),2)&amp;"'!$A$10:$A$51"),0),MATCH(D$13,$A$13:$J$13,0))-D112),"")</f>
        <v/>
      </c>
      <c r="L112" s="328" t="str">
        <f ca="1">IFERROR(IF(#REF!="","",INDEX(INDIRECT("'Annex 1 LV and HV charges"&amp;MID($A$2,FIND("_",$A$2),2)&amp;"'!$A$10:$K$51"),MATCH(MID($A112,FIND(":",$A112)+2,LEN($A112)-FIND(":",$A112)+2),INDIRECT("'Annex 1 LV and HV charges"&amp;MID($A$2,FIND("_",$A$2),2)&amp;"'!$A$10:$A$51"),0),MATCH(E$13,$A$13:$J$13,0))-E112),"")</f>
        <v/>
      </c>
      <c r="M112" s="328" t="str">
        <f ca="1">IFERROR(IF(#REF!="","",INDEX(INDIRECT("'Annex 1 LV and HV charges"&amp;MID($A$2,FIND("_",$A$2),2)&amp;"'!$A$10:$K$51"),MATCH(MID($A112,FIND(":",$A112)+2,LEN($A112)-FIND(":",$A112)+2),INDIRECT("'Annex 1 LV and HV charges"&amp;MID($A$2,FIND("_",$A$2),2)&amp;"'!$A$10:$A$51"),0),MATCH(F$13,$A$13:$J$13,0))-F112),"")</f>
        <v/>
      </c>
      <c r="N112" s="328" t="str">
        <f ca="1">IFERROR(IF(#REF!="","",INDEX(INDIRECT("'Annex 1 LV and HV charges"&amp;MID($A$2,FIND("_",$A$2),2)&amp;"'!$A$10:$K$51"),MATCH(MID($A112,FIND(":",$A112)+2,LEN($A112)-FIND(":",$A112)+2),INDIRECT("'Annex 1 LV and HV charges"&amp;MID($A$2,FIND("_",$A$2),2)&amp;"'!$A$10:$A$51"),0),MATCH(G$13,$A$13:$J$13,0))-G112),"")</f>
        <v/>
      </c>
      <c r="O112" s="328" t="str">
        <f ca="1">IFERROR(IF(#REF!="","",INDEX(INDIRECT("'Annex 1 LV and HV charges"&amp;MID($A$2,FIND("_",$A$2),2)&amp;"'!$A$10:$K$51"),MATCH(MID($A112,FIND(":",$A112)+2,LEN($A112)-FIND(":",$A112)+2),INDIRECT("'Annex 1 LV and HV charges"&amp;MID($A$2,FIND("_",$A$2),2)&amp;"'!$A$10:$A$51"),0),MATCH(H$13,$A$13:$J$13,0))-H112),"")</f>
        <v/>
      </c>
      <c r="P112" s="328" t="str">
        <f ca="1">IFERROR(IF(#REF!="","",INDEX(INDIRECT("'Annex 1 LV and HV charges"&amp;MID($A$2,FIND("_",$A$2),2)&amp;"'!$A$10:$K$51"),MATCH(MID($A112,FIND(":",$A112)+2,LEN($A112)-FIND(":",$A112)+2),INDIRECT("'Annex 1 LV and HV charges"&amp;MID($A$2,FIND("_",$A$2),2)&amp;"'!$A$10:$A$51"),0),MATCH(I$13,$A$13:$J$13,0))-I112),"")</f>
        <v/>
      </c>
      <c r="Q112" s="328" t="str">
        <f ca="1">IFERROR(IF(#REF!="","",INDEX(INDIRECT("'Annex 1 LV and HV charges"&amp;MID($A$2,FIND("_",$A$2),2)&amp;"'!$A$10:$K$51"),MATCH(MID($A112,FIND(":",$A112)+2,LEN($A112)-FIND(":",$A112)+2),INDIRECT("'Annex 1 LV and HV charges"&amp;MID($A$2,FIND("_",$A$2),2)&amp;"'!$A$10:$A$51"),0),MATCH(J$13,$A$13:$J$13,0))-J112),"")</f>
        <v/>
      </c>
    </row>
    <row r="113" spans="1:17" ht="27" customHeight="1" x14ac:dyDescent="0.2">
      <c r="A113" s="324" t="s">
        <v>623</v>
      </c>
      <c r="B113" s="25"/>
      <c r="C113" s="327" t="s">
        <v>2118</v>
      </c>
      <c r="D113" s="92">
        <v>-2.073</v>
      </c>
      <c r="E113" s="93">
        <v>-0.70499999999999996</v>
      </c>
      <c r="F113" s="94">
        <v>-0.16</v>
      </c>
      <c r="G113" s="319" t="s">
        <v>840</v>
      </c>
      <c r="H113" s="320" t="s">
        <v>840</v>
      </c>
      <c r="I113" s="321" t="s">
        <v>840</v>
      </c>
      <c r="J113" s="27" t="s">
        <v>840</v>
      </c>
      <c r="K113" s="328" t="str">
        <f ca="1">IFERROR(IF(#REF!="","",INDEX(INDIRECT("'Annex 1 LV and HV charges"&amp;MID($A$2,FIND("_",$A$2),2)&amp;"'!$A$10:$K$51"),MATCH(MID($A113,FIND(":",$A113)+2,LEN($A113)-FIND(":",$A113)+2),INDIRECT("'Annex 1 LV and HV charges"&amp;MID($A$2,FIND("_",$A$2),2)&amp;"'!$A$10:$A$51"),0),MATCH(D$13,$A$13:$J$13,0))-D113),"")</f>
        <v/>
      </c>
      <c r="L113" s="328" t="str">
        <f ca="1">IFERROR(IF(#REF!="","",INDEX(INDIRECT("'Annex 1 LV and HV charges"&amp;MID($A$2,FIND("_",$A$2),2)&amp;"'!$A$10:$K$51"),MATCH(MID($A113,FIND(":",$A113)+2,LEN($A113)-FIND(":",$A113)+2),INDIRECT("'Annex 1 LV and HV charges"&amp;MID($A$2,FIND("_",$A$2),2)&amp;"'!$A$10:$A$51"),0),MATCH(E$13,$A$13:$J$13,0))-E113),"")</f>
        <v/>
      </c>
      <c r="M113" s="328" t="str">
        <f ca="1">IFERROR(IF(#REF!="","",INDEX(INDIRECT("'Annex 1 LV and HV charges"&amp;MID($A$2,FIND("_",$A$2),2)&amp;"'!$A$10:$K$51"),MATCH(MID($A113,FIND(":",$A113)+2,LEN($A113)-FIND(":",$A113)+2),INDIRECT("'Annex 1 LV and HV charges"&amp;MID($A$2,FIND("_",$A$2),2)&amp;"'!$A$10:$A$51"),0),MATCH(F$13,$A$13:$J$13,0))-F113),"")</f>
        <v/>
      </c>
      <c r="N113" s="328" t="str">
        <f ca="1">IFERROR(IF(#REF!="","",INDEX(INDIRECT("'Annex 1 LV and HV charges"&amp;MID($A$2,FIND("_",$A$2),2)&amp;"'!$A$10:$K$51"),MATCH(MID($A113,FIND(":",$A113)+2,LEN($A113)-FIND(":",$A113)+2),INDIRECT("'Annex 1 LV and HV charges"&amp;MID($A$2,FIND("_",$A$2),2)&amp;"'!$A$10:$A$51"),0),MATCH(G$13,$A$13:$J$13,0))-G113),"")</f>
        <v/>
      </c>
      <c r="O113" s="328" t="str">
        <f ca="1">IFERROR(IF(#REF!="","",INDEX(INDIRECT("'Annex 1 LV and HV charges"&amp;MID($A$2,FIND("_",$A$2),2)&amp;"'!$A$10:$K$51"),MATCH(MID($A113,FIND(":",$A113)+2,LEN($A113)-FIND(":",$A113)+2),INDIRECT("'Annex 1 LV and HV charges"&amp;MID($A$2,FIND("_",$A$2),2)&amp;"'!$A$10:$A$51"),0),MATCH(H$13,$A$13:$J$13,0))-H113),"")</f>
        <v/>
      </c>
      <c r="P113" s="328" t="str">
        <f ca="1">IFERROR(IF(#REF!="","",INDEX(INDIRECT("'Annex 1 LV and HV charges"&amp;MID($A$2,FIND("_",$A$2),2)&amp;"'!$A$10:$K$51"),MATCH(MID($A113,FIND(":",$A113)+2,LEN($A113)-FIND(":",$A113)+2),INDIRECT("'Annex 1 LV and HV charges"&amp;MID($A$2,FIND("_",$A$2),2)&amp;"'!$A$10:$A$51"),0),MATCH(I$13,$A$13:$J$13,0))-I113),"")</f>
        <v/>
      </c>
      <c r="Q113" s="328" t="str">
        <f ca="1">IFERROR(IF(#REF!="","",INDEX(INDIRECT("'Annex 1 LV and HV charges"&amp;MID($A$2,FIND("_",$A$2),2)&amp;"'!$A$10:$K$51"),MATCH(MID($A113,FIND(":",$A113)+2,LEN($A113)-FIND(":",$A113)+2),INDIRECT("'Annex 1 LV and HV charges"&amp;MID($A$2,FIND("_",$A$2),2)&amp;"'!$A$10:$A$51"),0),MATCH(J$13,$A$13:$J$13,0))-J113),"")</f>
        <v/>
      </c>
    </row>
    <row r="114" spans="1:17" ht="27" customHeight="1" x14ac:dyDescent="0.2">
      <c r="A114" s="324" t="s">
        <v>624</v>
      </c>
      <c r="B114" s="25"/>
      <c r="C114" s="327">
        <v>0</v>
      </c>
      <c r="D114" s="92">
        <v>-2.21</v>
      </c>
      <c r="E114" s="93">
        <v>-0.77100000000000002</v>
      </c>
      <c r="F114" s="94">
        <v>-0.16500000000000001</v>
      </c>
      <c r="G114" s="319" t="s">
        <v>840</v>
      </c>
      <c r="H114" s="320" t="s">
        <v>840</v>
      </c>
      <c r="I114" s="321" t="s">
        <v>840</v>
      </c>
      <c r="J114" s="26">
        <v>0.13200000000000001</v>
      </c>
      <c r="K114" s="328" t="str">
        <f ca="1">IFERROR(IF(#REF!="","",INDEX(INDIRECT("'Annex 1 LV and HV charges"&amp;MID($A$2,FIND("_",$A$2),2)&amp;"'!$A$10:$K$51"),MATCH(MID($A114,FIND(":",$A114)+2,LEN($A114)-FIND(":",$A114)+2),INDIRECT("'Annex 1 LV and HV charges"&amp;MID($A$2,FIND("_",$A$2),2)&amp;"'!$A$10:$A$51"),0),MATCH(D$13,$A$13:$J$13,0))-D114),"")</f>
        <v/>
      </c>
      <c r="L114" s="328" t="str">
        <f ca="1">IFERROR(IF(#REF!="","",INDEX(INDIRECT("'Annex 1 LV and HV charges"&amp;MID($A$2,FIND("_",$A$2),2)&amp;"'!$A$10:$K$51"),MATCH(MID($A114,FIND(":",$A114)+2,LEN($A114)-FIND(":",$A114)+2),INDIRECT("'Annex 1 LV and HV charges"&amp;MID($A$2,FIND("_",$A$2),2)&amp;"'!$A$10:$A$51"),0),MATCH(E$13,$A$13:$J$13,0))-E114),"")</f>
        <v/>
      </c>
      <c r="M114" s="328" t="str">
        <f ca="1">IFERROR(IF(#REF!="","",INDEX(INDIRECT("'Annex 1 LV and HV charges"&amp;MID($A$2,FIND("_",$A$2),2)&amp;"'!$A$10:$K$51"),MATCH(MID($A114,FIND(":",$A114)+2,LEN($A114)-FIND(":",$A114)+2),INDIRECT("'Annex 1 LV and HV charges"&amp;MID($A$2,FIND("_",$A$2),2)&amp;"'!$A$10:$A$51"),0),MATCH(F$13,$A$13:$J$13,0))-F114),"")</f>
        <v/>
      </c>
      <c r="N114" s="328" t="str">
        <f ca="1">IFERROR(IF(#REF!="","",INDEX(INDIRECT("'Annex 1 LV and HV charges"&amp;MID($A$2,FIND("_",$A$2),2)&amp;"'!$A$10:$K$51"),MATCH(MID($A114,FIND(":",$A114)+2,LEN($A114)-FIND(":",$A114)+2),INDIRECT("'Annex 1 LV and HV charges"&amp;MID($A$2,FIND("_",$A$2),2)&amp;"'!$A$10:$A$51"),0),MATCH(G$13,$A$13:$J$13,0))-G114),"")</f>
        <v/>
      </c>
      <c r="O114" s="328" t="str">
        <f ca="1">IFERROR(IF(#REF!="","",INDEX(INDIRECT("'Annex 1 LV and HV charges"&amp;MID($A$2,FIND("_",$A$2),2)&amp;"'!$A$10:$K$51"),MATCH(MID($A114,FIND(":",$A114)+2,LEN($A114)-FIND(":",$A114)+2),INDIRECT("'Annex 1 LV and HV charges"&amp;MID($A$2,FIND("_",$A$2),2)&amp;"'!$A$10:$A$51"),0),MATCH(H$13,$A$13:$J$13,0))-H114),"")</f>
        <v/>
      </c>
      <c r="P114" s="328" t="str">
        <f ca="1">IFERROR(IF(#REF!="","",INDEX(INDIRECT("'Annex 1 LV and HV charges"&amp;MID($A$2,FIND("_",$A$2),2)&amp;"'!$A$10:$K$51"),MATCH(MID($A114,FIND(":",$A114)+2,LEN($A114)-FIND(":",$A114)+2),INDIRECT("'Annex 1 LV and HV charges"&amp;MID($A$2,FIND("_",$A$2),2)&amp;"'!$A$10:$A$51"),0),MATCH(I$13,$A$13:$J$13,0))-I114),"")</f>
        <v/>
      </c>
      <c r="Q114" s="328" t="str">
        <f ca="1">IFERROR(IF(#REF!="","",INDEX(INDIRECT("'Annex 1 LV and HV charges"&amp;MID($A$2,FIND("_",$A$2),2)&amp;"'!$A$10:$K$51"),MATCH(MID($A114,FIND(":",$A114)+2,LEN($A114)-FIND(":",$A114)+2),INDIRECT("'Annex 1 LV and HV charges"&amp;MID($A$2,FIND("_",$A$2),2)&amp;"'!$A$10:$A$51"),0),MATCH(J$13,$A$13:$J$13,0))-J114),"")</f>
        <v/>
      </c>
    </row>
    <row r="115" spans="1:17" ht="27" customHeight="1" x14ac:dyDescent="0.2">
      <c r="A115" s="324" t="s">
        <v>625</v>
      </c>
      <c r="B115" s="25"/>
      <c r="C115" s="327">
        <v>0</v>
      </c>
      <c r="D115" s="92">
        <v>-2.073</v>
      </c>
      <c r="E115" s="93">
        <v>-0.70499999999999996</v>
      </c>
      <c r="F115" s="94">
        <v>-0.16</v>
      </c>
      <c r="G115" s="319" t="s">
        <v>840</v>
      </c>
      <c r="H115" s="320" t="s">
        <v>840</v>
      </c>
      <c r="I115" s="321" t="s">
        <v>840</v>
      </c>
      <c r="J115" s="26">
        <v>0.11</v>
      </c>
      <c r="K115" s="328" t="str">
        <f ca="1">IFERROR(IF(#REF!="","",INDEX(INDIRECT("'Annex 1 LV and HV charges"&amp;MID($A$2,FIND("_",$A$2),2)&amp;"'!$A$10:$K$51"),MATCH(MID($A115,FIND(":",$A115)+2,LEN($A115)-FIND(":",$A115)+2),INDIRECT("'Annex 1 LV and HV charges"&amp;MID($A$2,FIND("_",$A$2),2)&amp;"'!$A$10:$A$51"),0),MATCH(D$13,$A$13:$J$13,0))-D115),"")</f>
        <v/>
      </c>
      <c r="L115" s="328" t="str">
        <f ca="1">IFERROR(IF(#REF!="","",INDEX(INDIRECT("'Annex 1 LV and HV charges"&amp;MID($A$2,FIND("_",$A$2),2)&amp;"'!$A$10:$K$51"),MATCH(MID($A115,FIND(":",$A115)+2,LEN($A115)-FIND(":",$A115)+2),INDIRECT("'Annex 1 LV and HV charges"&amp;MID($A$2,FIND("_",$A$2),2)&amp;"'!$A$10:$A$51"),0),MATCH(E$13,$A$13:$J$13,0))-E115),"")</f>
        <v/>
      </c>
      <c r="M115" s="328" t="str">
        <f ca="1">IFERROR(IF(#REF!="","",INDEX(INDIRECT("'Annex 1 LV and HV charges"&amp;MID($A$2,FIND("_",$A$2),2)&amp;"'!$A$10:$K$51"),MATCH(MID($A115,FIND(":",$A115)+2,LEN($A115)-FIND(":",$A115)+2),INDIRECT("'Annex 1 LV and HV charges"&amp;MID($A$2,FIND("_",$A$2),2)&amp;"'!$A$10:$A$51"),0),MATCH(F$13,$A$13:$J$13,0))-F115),"")</f>
        <v/>
      </c>
      <c r="N115" s="328" t="str">
        <f ca="1">IFERROR(IF(#REF!="","",INDEX(INDIRECT("'Annex 1 LV and HV charges"&amp;MID($A$2,FIND("_",$A$2),2)&amp;"'!$A$10:$K$51"),MATCH(MID($A115,FIND(":",$A115)+2,LEN($A115)-FIND(":",$A115)+2),INDIRECT("'Annex 1 LV and HV charges"&amp;MID($A$2,FIND("_",$A$2),2)&amp;"'!$A$10:$A$51"),0),MATCH(G$13,$A$13:$J$13,0))-G115),"")</f>
        <v/>
      </c>
      <c r="O115" s="328" t="str">
        <f ca="1">IFERROR(IF(#REF!="","",INDEX(INDIRECT("'Annex 1 LV and HV charges"&amp;MID($A$2,FIND("_",$A$2),2)&amp;"'!$A$10:$K$51"),MATCH(MID($A115,FIND(":",$A115)+2,LEN($A115)-FIND(":",$A115)+2),INDIRECT("'Annex 1 LV and HV charges"&amp;MID($A$2,FIND("_",$A$2),2)&amp;"'!$A$10:$A$51"),0),MATCH(H$13,$A$13:$J$13,0))-H115),"")</f>
        <v/>
      </c>
      <c r="P115" s="328" t="str">
        <f ca="1">IFERROR(IF(#REF!="","",INDEX(INDIRECT("'Annex 1 LV and HV charges"&amp;MID($A$2,FIND("_",$A$2),2)&amp;"'!$A$10:$K$51"),MATCH(MID($A115,FIND(":",$A115)+2,LEN($A115)-FIND(":",$A115)+2),INDIRECT("'Annex 1 LV and HV charges"&amp;MID($A$2,FIND("_",$A$2),2)&amp;"'!$A$10:$A$51"),0),MATCH(I$13,$A$13:$J$13,0))-I115),"")</f>
        <v/>
      </c>
      <c r="Q115" s="328" t="str">
        <f ca="1">IFERROR(IF(#REF!="","",INDEX(INDIRECT("'Annex 1 LV and HV charges"&amp;MID($A$2,FIND("_",$A$2),2)&amp;"'!$A$10:$K$51"),MATCH(MID($A115,FIND(":",$A115)+2,LEN($A115)-FIND(":",$A115)+2),INDIRECT("'Annex 1 LV and HV charges"&amp;MID($A$2,FIND("_",$A$2),2)&amp;"'!$A$10:$A$51"),0),MATCH(J$13,$A$13:$J$13,0))-J115),"")</f>
        <v/>
      </c>
    </row>
    <row r="116" spans="1:17" ht="27" customHeight="1" x14ac:dyDescent="0.2">
      <c r="A116" s="324" t="s">
        <v>626</v>
      </c>
      <c r="B116" s="25"/>
      <c r="C116" s="327">
        <v>0</v>
      </c>
      <c r="D116" s="92">
        <v>-2.089</v>
      </c>
      <c r="E116" s="93">
        <v>-0.53100000000000003</v>
      </c>
      <c r="F116" s="94">
        <v>-0.21</v>
      </c>
      <c r="G116" s="319">
        <v>664.82</v>
      </c>
      <c r="H116" s="320" t="s">
        <v>840</v>
      </c>
      <c r="I116" s="321" t="s">
        <v>840</v>
      </c>
      <c r="J116" s="26">
        <v>0.20399999999999999</v>
      </c>
      <c r="K116" s="328" t="str">
        <f ca="1">IFERROR(IF(#REF!="","",INDEX(INDIRECT("'Annex 1 LV and HV charges"&amp;MID($A$2,FIND("_",$A$2),2)&amp;"'!$A$10:$K$51"),MATCH(MID($A116,FIND(":",$A116)+2,LEN($A116)-FIND(":",$A116)+2),INDIRECT("'Annex 1 LV and HV charges"&amp;MID($A$2,FIND("_",$A$2),2)&amp;"'!$A$10:$A$51"),0),MATCH(D$13,$A$13:$J$13,0))-D116),"")</f>
        <v/>
      </c>
      <c r="L116" s="328" t="str">
        <f ca="1">IFERROR(IF(#REF!="","",INDEX(INDIRECT("'Annex 1 LV and HV charges"&amp;MID($A$2,FIND("_",$A$2),2)&amp;"'!$A$10:$K$51"),MATCH(MID($A116,FIND(":",$A116)+2,LEN($A116)-FIND(":",$A116)+2),INDIRECT("'Annex 1 LV and HV charges"&amp;MID($A$2,FIND("_",$A$2),2)&amp;"'!$A$10:$A$51"),0),MATCH(E$13,$A$13:$J$13,0))-E116),"")</f>
        <v/>
      </c>
      <c r="M116" s="328" t="str">
        <f ca="1">IFERROR(IF(#REF!="","",INDEX(INDIRECT("'Annex 1 LV and HV charges"&amp;MID($A$2,FIND("_",$A$2),2)&amp;"'!$A$10:$K$51"),MATCH(MID($A116,FIND(":",$A116)+2,LEN($A116)-FIND(":",$A116)+2),INDIRECT("'Annex 1 LV and HV charges"&amp;MID($A$2,FIND("_",$A$2),2)&amp;"'!$A$10:$A$51"),0),MATCH(F$13,$A$13:$J$13,0))-F116),"")</f>
        <v/>
      </c>
      <c r="N116" s="328" t="str">
        <f ca="1">IFERROR(IF(#REF!="","",INDEX(INDIRECT("'Annex 1 LV and HV charges"&amp;MID($A$2,FIND("_",$A$2),2)&amp;"'!$A$10:$K$51"),MATCH(MID($A116,FIND(":",$A116)+2,LEN($A116)-FIND(":",$A116)+2),INDIRECT("'Annex 1 LV and HV charges"&amp;MID($A$2,FIND("_",$A$2),2)&amp;"'!$A$10:$A$51"),0),MATCH(G$13,$A$13:$J$13,0))-G116),"")</f>
        <v/>
      </c>
      <c r="O116" s="328" t="str">
        <f ca="1">IFERROR(IF(#REF!="","",INDEX(INDIRECT("'Annex 1 LV and HV charges"&amp;MID($A$2,FIND("_",$A$2),2)&amp;"'!$A$10:$K$51"),MATCH(MID($A116,FIND(":",$A116)+2,LEN($A116)-FIND(":",$A116)+2),INDIRECT("'Annex 1 LV and HV charges"&amp;MID($A$2,FIND("_",$A$2),2)&amp;"'!$A$10:$A$51"),0),MATCH(H$13,$A$13:$J$13,0))-H116),"")</f>
        <v/>
      </c>
      <c r="P116" s="328" t="str">
        <f ca="1">IFERROR(IF(#REF!="","",INDEX(INDIRECT("'Annex 1 LV and HV charges"&amp;MID($A$2,FIND("_",$A$2),2)&amp;"'!$A$10:$K$51"),MATCH(MID($A116,FIND(":",$A116)+2,LEN($A116)-FIND(":",$A116)+2),INDIRECT("'Annex 1 LV and HV charges"&amp;MID($A$2,FIND("_",$A$2),2)&amp;"'!$A$10:$A$51"),0),MATCH(I$13,$A$13:$J$13,0))-I116),"")</f>
        <v/>
      </c>
      <c r="Q116" s="328" t="str">
        <f ca="1">IFERROR(IF(#REF!="","",INDEX(INDIRECT("'Annex 1 LV and HV charges"&amp;MID($A$2,FIND("_",$A$2),2)&amp;"'!$A$10:$K$51"),MATCH(MID($A116,FIND(":",$A116)+2,LEN($A116)-FIND(":",$A116)+2),INDIRECT("'Annex 1 LV and HV charges"&amp;MID($A$2,FIND("_",$A$2),2)&amp;"'!$A$10:$A$51"),0),MATCH(J$13,$A$13:$J$13,0))-J116),"")</f>
        <v/>
      </c>
    </row>
    <row r="117" spans="1:17" ht="27" customHeight="1" x14ac:dyDescent="0.2">
      <c r="A117" s="324" t="s">
        <v>783</v>
      </c>
      <c r="B117" s="25"/>
      <c r="C117" s="327" t="s">
        <v>845</v>
      </c>
      <c r="D117" s="92">
        <v>0.81</v>
      </c>
      <c r="E117" s="93">
        <v>0.28299999999999997</v>
      </c>
      <c r="F117" s="94">
        <v>6.0999999999999999E-2</v>
      </c>
      <c r="G117" s="319">
        <v>0.83</v>
      </c>
      <c r="H117" s="320" t="s">
        <v>840</v>
      </c>
      <c r="I117" s="321" t="s">
        <v>840</v>
      </c>
      <c r="J117" s="27" t="s">
        <v>840</v>
      </c>
      <c r="K117" s="328" t="str">
        <f ca="1">IFERROR(IF(#REF!="","",INDEX(INDIRECT("'Annex 1 LV and HV charges"&amp;MID($A$2,FIND("_",$A$2),2)&amp;"'!$A$10:$K$51"),MATCH(MID($A117,FIND(":",$A117)+2,LEN($A117)-FIND(":",$A117)+2),INDIRECT("'Annex 1 LV and HV charges"&amp;MID($A$2,FIND("_",$A$2),2)&amp;"'!$A$10:$A$51"),0),MATCH(D$13,$A$13:$J$13,0))-D117),"")</f>
        <v/>
      </c>
      <c r="L117" s="328" t="str">
        <f ca="1">IFERROR(IF(#REF!="","",INDEX(INDIRECT("'Annex 1 LV and HV charges"&amp;MID($A$2,FIND("_",$A$2),2)&amp;"'!$A$10:$K$51"),MATCH(MID($A117,FIND(":",$A117)+2,LEN($A117)-FIND(":",$A117)+2),INDIRECT("'Annex 1 LV and HV charges"&amp;MID($A$2,FIND("_",$A$2),2)&amp;"'!$A$10:$A$51"),0),MATCH(E$13,$A$13:$J$13,0))-E117),"")</f>
        <v/>
      </c>
      <c r="M117" s="328" t="str">
        <f ca="1">IFERROR(IF(#REF!="","",INDEX(INDIRECT("'Annex 1 LV and HV charges"&amp;MID($A$2,FIND("_",$A$2),2)&amp;"'!$A$10:$K$51"),MATCH(MID($A117,FIND(":",$A117)+2,LEN($A117)-FIND(":",$A117)+2),INDIRECT("'Annex 1 LV and HV charges"&amp;MID($A$2,FIND("_",$A$2),2)&amp;"'!$A$10:$A$51"),0),MATCH(F$13,$A$13:$J$13,0))-F117),"")</f>
        <v/>
      </c>
      <c r="N117" s="328" t="str">
        <f ca="1">IFERROR(IF(#REF!="","",INDEX(INDIRECT("'Annex 1 LV and HV charges"&amp;MID($A$2,FIND("_",$A$2),2)&amp;"'!$A$10:$K$51"),MATCH(MID($A117,FIND(":",$A117)+2,LEN($A117)-FIND(":",$A117)+2),INDIRECT("'Annex 1 LV and HV charges"&amp;MID($A$2,FIND("_",$A$2),2)&amp;"'!$A$10:$A$51"),0),MATCH(G$13,$A$13:$J$13,0))-G117),"")</f>
        <v/>
      </c>
      <c r="O117" s="328" t="str">
        <f ca="1">IFERROR(IF(#REF!="","",INDEX(INDIRECT("'Annex 1 LV and HV charges"&amp;MID($A$2,FIND("_",$A$2),2)&amp;"'!$A$10:$K$51"),MATCH(MID($A117,FIND(":",$A117)+2,LEN($A117)-FIND(":",$A117)+2),INDIRECT("'Annex 1 LV and HV charges"&amp;MID($A$2,FIND("_",$A$2),2)&amp;"'!$A$10:$A$51"),0),MATCH(H$13,$A$13:$J$13,0))-H117),"")</f>
        <v/>
      </c>
      <c r="P117" s="328" t="str">
        <f ca="1">IFERROR(IF(#REF!="","",INDEX(INDIRECT("'Annex 1 LV and HV charges"&amp;MID($A$2,FIND("_",$A$2),2)&amp;"'!$A$10:$K$51"),MATCH(MID($A117,FIND(":",$A117)+2,LEN($A117)-FIND(":",$A117)+2),INDIRECT("'Annex 1 LV and HV charges"&amp;MID($A$2,FIND("_",$A$2),2)&amp;"'!$A$10:$A$51"),0),MATCH(I$13,$A$13:$J$13,0))-I117),"")</f>
        <v/>
      </c>
      <c r="Q117" s="328" t="str">
        <f ca="1">IFERROR(IF(#REF!="","",INDEX(INDIRECT("'Annex 1 LV and HV charges"&amp;MID($A$2,FIND("_",$A$2),2)&amp;"'!$A$10:$K$51"),MATCH(MID($A117,FIND(":",$A117)+2,LEN($A117)-FIND(":",$A117)+2),INDIRECT("'Annex 1 LV and HV charges"&amp;MID($A$2,FIND("_",$A$2),2)&amp;"'!$A$10:$A$51"),0),MATCH(J$13,$A$13:$J$13,0))-J117),"")</f>
        <v/>
      </c>
    </row>
    <row r="118" spans="1:17" ht="27" customHeight="1" x14ac:dyDescent="0.2">
      <c r="A118" s="324" t="s">
        <v>696</v>
      </c>
      <c r="B118" s="25"/>
      <c r="C118" s="327">
        <v>2</v>
      </c>
      <c r="D118" s="92">
        <v>0.81</v>
      </c>
      <c r="E118" s="93">
        <v>0.28299999999999997</v>
      </c>
      <c r="F118" s="94">
        <v>6.0999999999999999E-2</v>
      </c>
      <c r="G118" s="320" t="s">
        <v>840</v>
      </c>
      <c r="H118" s="320" t="s">
        <v>840</v>
      </c>
      <c r="I118" s="321" t="s">
        <v>840</v>
      </c>
      <c r="J118" s="27" t="s">
        <v>840</v>
      </c>
      <c r="K118" s="328" t="str">
        <f ca="1">IFERROR(IF(#REF!="","",INDEX(INDIRECT("'Annex 1 LV and HV charges"&amp;MID($A$2,FIND("_",$A$2),2)&amp;"'!$A$10:$K$51"),MATCH(MID($A118,FIND(":",$A118)+2,LEN($A118)-FIND(":",$A118)+2),INDIRECT("'Annex 1 LV and HV charges"&amp;MID($A$2,FIND("_",$A$2),2)&amp;"'!$A$10:$A$51"),0),MATCH(D$13,$A$13:$J$13,0))-D118),"")</f>
        <v/>
      </c>
      <c r="L118" s="328" t="str">
        <f ca="1">IFERROR(IF(#REF!="","",INDEX(INDIRECT("'Annex 1 LV and HV charges"&amp;MID($A$2,FIND("_",$A$2),2)&amp;"'!$A$10:$K$51"),MATCH(MID($A118,FIND(":",$A118)+2,LEN($A118)-FIND(":",$A118)+2),INDIRECT("'Annex 1 LV and HV charges"&amp;MID($A$2,FIND("_",$A$2),2)&amp;"'!$A$10:$A$51"),0),MATCH(E$13,$A$13:$J$13,0))-E118),"")</f>
        <v/>
      </c>
      <c r="M118" s="328" t="str">
        <f ca="1">IFERROR(IF(#REF!="","",INDEX(INDIRECT("'Annex 1 LV and HV charges"&amp;MID($A$2,FIND("_",$A$2),2)&amp;"'!$A$10:$K$51"),MATCH(MID($A118,FIND(":",$A118)+2,LEN($A118)-FIND(":",$A118)+2),INDIRECT("'Annex 1 LV and HV charges"&amp;MID($A$2,FIND("_",$A$2),2)&amp;"'!$A$10:$A$51"),0),MATCH(F$13,$A$13:$J$13,0))-F118),"")</f>
        <v/>
      </c>
      <c r="N118" s="328" t="str">
        <f ca="1">IFERROR(IF(#REF!="","",INDEX(INDIRECT("'Annex 1 LV and HV charges"&amp;MID($A$2,FIND("_",$A$2),2)&amp;"'!$A$10:$K$51"),MATCH(MID($A118,FIND(":",$A118)+2,LEN($A118)-FIND(":",$A118)+2),INDIRECT("'Annex 1 LV and HV charges"&amp;MID($A$2,FIND("_",$A$2),2)&amp;"'!$A$10:$A$51"),0),MATCH(G$13,$A$13:$J$13,0))-G118),"")</f>
        <v/>
      </c>
      <c r="O118" s="328" t="str">
        <f ca="1">IFERROR(IF(#REF!="","",INDEX(INDIRECT("'Annex 1 LV and HV charges"&amp;MID($A$2,FIND("_",$A$2),2)&amp;"'!$A$10:$K$51"),MATCH(MID($A118,FIND(":",$A118)+2,LEN($A118)-FIND(":",$A118)+2),INDIRECT("'Annex 1 LV and HV charges"&amp;MID($A$2,FIND("_",$A$2),2)&amp;"'!$A$10:$A$51"),0),MATCH(H$13,$A$13:$J$13,0))-H118),"")</f>
        <v/>
      </c>
      <c r="P118" s="328" t="str">
        <f ca="1">IFERROR(IF(#REF!="","",INDEX(INDIRECT("'Annex 1 LV and HV charges"&amp;MID($A$2,FIND("_",$A$2),2)&amp;"'!$A$10:$K$51"),MATCH(MID($A118,FIND(":",$A118)+2,LEN($A118)-FIND(":",$A118)+2),INDIRECT("'Annex 1 LV and HV charges"&amp;MID($A$2,FIND("_",$A$2),2)&amp;"'!$A$10:$A$51"),0),MATCH(I$13,$A$13:$J$13,0))-I118),"")</f>
        <v/>
      </c>
      <c r="Q118" s="328" t="str">
        <f ca="1">IFERROR(IF(#REF!="","",INDEX(INDIRECT("'Annex 1 LV and HV charges"&amp;MID($A$2,FIND("_",$A$2),2)&amp;"'!$A$10:$K$51"),MATCH(MID($A118,FIND(":",$A118)+2,LEN($A118)-FIND(":",$A118)+2),INDIRECT("'Annex 1 LV and HV charges"&amp;MID($A$2,FIND("_",$A$2),2)&amp;"'!$A$10:$A$51"),0),MATCH(J$13,$A$13:$J$13,0))-J118),"")</f>
        <v/>
      </c>
    </row>
    <row r="119" spans="1:17" ht="27" customHeight="1" x14ac:dyDescent="0.2">
      <c r="A119" s="324" t="s">
        <v>790</v>
      </c>
      <c r="B119" s="18"/>
      <c r="C119" s="327" t="s">
        <v>846</v>
      </c>
      <c r="D119" s="92">
        <v>0.98</v>
      </c>
      <c r="E119" s="93">
        <v>0.34200000000000003</v>
      </c>
      <c r="F119" s="94">
        <v>7.2999999999999995E-2</v>
      </c>
      <c r="G119" s="319">
        <v>1.96</v>
      </c>
      <c r="H119" s="320" t="s">
        <v>840</v>
      </c>
      <c r="I119" s="321" t="s">
        <v>840</v>
      </c>
      <c r="J119" s="27" t="s">
        <v>840</v>
      </c>
      <c r="K119" s="328" t="str">
        <f ca="1">IFERROR(IF(#REF!="","",INDEX(INDIRECT("'Annex 1 LV and HV charges"&amp;MID($A$2,FIND("_",$A$2),2)&amp;"'!$A$10:$K$51"),MATCH(MID($A119,FIND(":",$A119)+2,LEN($A119)-FIND(":",$A119)+2),INDIRECT("'Annex 1 LV and HV charges"&amp;MID($A$2,FIND("_",$A$2),2)&amp;"'!$A$10:$A$51"),0),MATCH(D$13,$A$13:$J$13,0))-D119),"")</f>
        <v/>
      </c>
      <c r="L119" s="328" t="str">
        <f ca="1">IFERROR(IF(#REF!="","",INDEX(INDIRECT("'Annex 1 LV and HV charges"&amp;MID($A$2,FIND("_",$A$2),2)&amp;"'!$A$10:$K$51"),MATCH(MID($A119,FIND(":",$A119)+2,LEN($A119)-FIND(":",$A119)+2),INDIRECT("'Annex 1 LV and HV charges"&amp;MID($A$2,FIND("_",$A$2),2)&amp;"'!$A$10:$A$51"),0),MATCH(E$13,$A$13:$J$13,0))-E119),"")</f>
        <v/>
      </c>
      <c r="M119" s="328" t="str">
        <f ca="1">IFERROR(IF(#REF!="","",INDEX(INDIRECT("'Annex 1 LV and HV charges"&amp;MID($A$2,FIND("_",$A$2),2)&amp;"'!$A$10:$K$51"),MATCH(MID($A119,FIND(":",$A119)+2,LEN($A119)-FIND(":",$A119)+2),INDIRECT("'Annex 1 LV and HV charges"&amp;MID($A$2,FIND("_",$A$2),2)&amp;"'!$A$10:$A$51"),0),MATCH(F$13,$A$13:$J$13,0))-F119),"")</f>
        <v/>
      </c>
      <c r="N119" s="328" t="str">
        <f ca="1">IFERROR(IF(#REF!="","",INDEX(INDIRECT("'Annex 1 LV and HV charges"&amp;MID($A$2,FIND("_",$A$2),2)&amp;"'!$A$10:$K$51"),MATCH(MID($A119,FIND(":",$A119)+2,LEN($A119)-FIND(":",$A119)+2),INDIRECT("'Annex 1 LV and HV charges"&amp;MID($A$2,FIND("_",$A$2),2)&amp;"'!$A$10:$A$51"),0),MATCH(G$13,$A$13:$J$13,0))-G119),"")</f>
        <v/>
      </c>
      <c r="O119" s="328" t="str">
        <f ca="1">IFERROR(IF(#REF!="","",INDEX(INDIRECT("'Annex 1 LV and HV charges"&amp;MID($A$2,FIND("_",$A$2),2)&amp;"'!$A$10:$K$51"),MATCH(MID($A119,FIND(":",$A119)+2,LEN($A119)-FIND(":",$A119)+2),INDIRECT("'Annex 1 LV and HV charges"&amp;MID($A$2,FIND("_",$A$2),2)&amp;"'!$A$10:$A$51"),0),MATCH(H$13,$A$13:$J$13,0))-H119),"")</f>
        <v/>
      </c>
      <c r="P119" s="328" t="str">
        <f ca="1">IFERROR(IF(#REF!="","",INDEX(INDIRECT("'Annex 1 LV and HV charges"&amp;MID($A$2,FIND("_",$A$2),2)&amp;"'!$A$10:$K$51"),MATCH(MID($A119,FIND(":",$A119)+2,LEN($A119)-FIND(":",$A119)+2),INDIRECT("'Annex 1 LV and HV charges"&amp;MID($A$2,FIND("_",$A$2),2)&amp;"'!$A$10:$A$51"),0),MATCH(I$13,$A$13:$J$13,0))-I119),"")</f>
        <v/>
      </c>
      <c r="Q119" s="328" t="str">
        <f ca="1">IFERROR(IF(#REF!="","",INDEX(INDIRECT("'Annex 1 LV and HV charges"&amp;MID($A$2,FIND("_",$A$2),2)&amp;"'!$A$10:$K$51"),MATCH(MID($A119,FIND(":",$A119)+2,LEN($A119)-FIND(":",$A119)+2),INDIRECT("'Annex 1 LV and HV charges"&amp;MID($A$2,FIND("_",$A$2),2)&amp;"'!$A$10:$A$51"),0),MATCH(J$13,$A$13:$J$13,0))-J119),"")</f>
        <v/>
      </c>
    </row>
    <row r="120" spans="1:17" ht="27" customHeight="1" x14ac:dyDescent="0.2">
      <c r="A120" s="324" t="s">
        <v>797</v>
      </c>
      <c r="B120" s="25"/>
      <c r="C120" s="327" t="s">
        <v>846</v>
      </c>
      <c r="D120" s="92">
        <v>0.98</v>
      </c>
      <c r="E120" s="93">
        <v>0.34200000000000003</v>
      </c>
      <c r="F120" s="94">
        <v>7.2999999999999995E-2</v>
      </c>
      <c r="G120" s="319">
        <v>1.79</v>
      </c>
      <c r="H120" s="320" t="s">
        <v>840</v>
      </c>
      <c r="I120" s="321" t="s">
        <v>840</v>
      </c>
      <c r="J120" s="27" t="s">
        <v>840</v>
      </c>
      <c r="K120" s="328" t="str">
        <f ca="1">IFERROR(IF(#REF!="","",INDEX(INDIRECT("'Annex 1 LV and HV charges"&amp;MID($A$2,FIND("_",$A$2),2)&amp;"'!$A$10:$K$51"),MATCH(MID($A120,FIND(":",$A120)+2,LEN($A120)-FIND(":",$A120)+2),INDIRECT("'Annex 1 LV and HV charges"&amp;MID($A$2,FIND("_",$A$2),2)&amp;"'!$A$10:$A$51"),0),MATCH(D$13,$A$13:$J$13,0))-D120),"")</f>
        <v/>
      </c>
      <c r="L120" s="328" t="str">
        <f ca="1">IFERROR(IF(#REF!="","",INDEX(INDIRECT("'Annex 1 LV and HV charges"&amp;MID($A$2,FIND("_",$A$2),2)&amp;"'!$A$10:$K$51"),MATCH(MID($A120,FIND(":",$A120)+2,LEN($A120)-FIND(":",$A120)+2),INDIRECT("'Annex 1 LV and HV charges"&amp;MID($A$2,FIND("_",$A$2),2)&amp;"'!$A$10:$A$51"),0),MATCH(E$13,$A$13:$J$13,0))-E120),"")</f>
        <v/>
      </c>
      <c r="M120" s="328" t="str">
        <f ca="1">IFERROR(IF(#REF!="","",INDEX(INDIRECT("'Annex 1 LV and HV charges"&amp;MID($A$2,FIND("_",$A$2),2)&amp;"'!$A$10:$K$51"),MATCH(MID($A120,FIND(":",$A120)+2,LEN($A120)-FIND(":",$A120)+2),INDIRECT("'Annex 1 LV and HV charges"&amp;MID($A$2,FIND("_",$A$2),2)&amp;"'!$A$10:$A$51"),0),MATCH(F$13,$A$13:$J$13,0))-F120),"")</f>
        <v/>
      </c>
      <c r="N120" s="328" t="str">
        <f ca="1">IFERROR(IF(#REF!="","",INDEX(INDIRECT("'Annex 1 LV and HV charges"&amp;MID($A$2,FIND("_",$A$2),2)&amp;"'!$A$10:$K$51"),MATCH(MID($A120,FIND(":",$A120)+2,LEN($A120)-FIND(":",$A120)+2),INDIRECT("'Annex 1 LV and HV charges"&amp;MID($A$2,FIND("_",$A$2),2)&amp;"'!$A$10:$A$51"),0),MATCH(G$13,$A$13:$J$13,0))-G120),"")</f>
        <v/>
      </c>
      <c r="O120" s="328" t="str">
        <f ca="1">IFERROR(IF(#REF!="","",INDEX(INDIRECT("'Annex 1 LV and HV charges"&amp;MID($A$2,FIND("_",$A$2),2)&amp;"'!$A$10:$K$51"),MATCH(MID($A120,FIND(":",$A120)+2,LEN($A120)-FIND(":",$A120)+2),INDIRECT("'Annex 1 LV and HV charges"&amp;MID($A$2,FIND("_",$A$2),2)&amp;"'!$A$10:$A$51"),0),MATCH(H$13,$A$13:$J$13,0))-H120),"")</f>
        <v/>
      </c>
      <c r="P120" s="328" t="str">
        <f ca="1">IFERROR(IF(#REF!="","",INDEX(INDIRECT("'Annex 1 LV and HV charges"&amp;MID($A$2,FIND("_",$A$2),2)&amp;"'!$A$10:$K$51"),MATCH(MID($A120,FIND(":",$A120)+2,LEN($A120)-FIND(":",$A120)+2),INDIRECT("'Annex 1 LV and HV charges"&amp;MID($A$2,FIND("_",$A$2),2)&amp;"'!$A$10:$A$51"),0),MATCH(I$13,$A$13:$J$13,0))-I120),"")</f>
        <v/>
      </c>
      <c r="Q120" s="328" t="str">
        <f ca="1">IFERROR(IF(#REF!="","",INDEX(INDIRECT("'Annex 1 LV and HV charges"&amp;MID($A$2,FIND("_",$A$2),2)&amp;"'!$A$10:$K$51"),MATCH(MID($A120,FIND(":",$A120)+2,LEN($A120)-FIND(":",$A120)+2),INDIRECT("'Annex 1 LV and HV charges"&amp;MID($A$2,FIND("_",$A$2),2)&amp;"'!$A$10:$A$51"),0),MATCH(J$13,$A$13:$J$13,0))-J120),"")</f>
        <v/>
      </c>
    </row>
    <row r="121" spans="1:17" ht="27" customHeight="1" x14ac:dyDescent="0.2">
      <c r="A121" s="324" t="s">
        <v>804</v>
      </c>
      <c r="B121" s="18"/>
      <c r="C121" s="327" t="s">
        <v>846</v>
      </c>
      <c r="D121" s="92">
        <v>0.98</v>
      </c>
      <c r="E121" s="93">
        <v>0.34200000000000003</v>
      </c>
      <c r="F121" s="94">
        <v>7.2999999999999995E-2</v>
      </c>
      <c r="G121" s="319">
        <v>0.96</v>
      </c>
      <c r="H121" s="320" t="s">
        <v>840</v>
      </c>
      <c r="I121" s="321" t="s">
        <v>840</v>
      </c>
      <c r="J121" s="27" t="s">
        <v>840</v>
      </c>
      <c r="K121" s="328" t="str">
        <f ca="1">IFERROR(IF(#REF!="","",INDEX(INDIRECT("'Annex 1 LV and HV charges"&amp;MID($A$2,FIND("_",$A$2),2)&amp;"'!$A$10:$K$51"),MATCH(MID($A121,FIND(":",$A121)+2,LEN($A121)-FIND(":",$A121)+2),INDIRECT("'Annex 1 LV and HV charges"&amp;MID($A$2,FIND("_",$A$2),2)&amp;"'!$A$10:$A$51"),0),MATCH(D$13,$A$13:$J$13,0))-D121),"")</f>
        <v/>
      </c>
      <c r="L121" s="328" t="str">
        <f ca="1">IFERROR(IF(#REF!="","",INDEX(INDIRECT("'Annex 1 LV and HV charges"&amp;MID($A$2,FIND("_",$A$2),2)&amp;"'!$A$10:$K$51"),MATCH(MID($A121,FIND(":",$A121)+2,LEN($A121)-FIND(":",$A121)+2),INDIRECT("'Annex 1 LV and HV charges"&amp;MID($A$2,FIND("_",$A$2),2)&amp;"'!$A$10:$A$51"),0),MATCH(E$13,$A$13:$J$13,0))-E121),"")</f>
        <v/>
      </c>
      <c r="M121" s="328" t="str">
        <f ca="1">IFERROR(IF(#REF!="","",INDEX(INDIRECT("'Annex 1 LV and HV charges"&amp;MID($A$2,FIND("_",$A$2),2)&amp;"'!$A$10:$K$51"),MATCH(MID($A121,FIND(":",$A121)+2,LEN($A121)-FIND(":",$A121)+2),INDIRECT("'Annex 1 LV and HV charges"&amp;MID($A$2,FIND("_",$A$2),2)&amp;"'!$A$10:$A$51"),0),MATCH(F$13,$A$13:$J$13,0))-F121),"")</f>
        <v/>
      </c>
      <c r="N121" s="328" t="str">
        <f ca="1">IFERROR(IF(#REF!="","",INDEX(INDIRECT("'Annex 1 LV and HV charges"&amp;MID($A$2,FIND("_",$A$2),2)&amp;"'!$A$10:$K$51"),MATCH(MID($A121,FIND(":",$A121)+2,LEN($A121)-FIND(":",$A121)+2),INDIRECT("'Annex 1 LV and HV charges"&amp;MID($A$2,FIND("_",$A$2),2)&amp;"'!$A$10:$A$51"),0),MATCH(G$13,$A$13:$J$13,0))-G121),"")</f>
        <v/>
      </c>
      <c r="O121" s="328" t="str">
        <f ca="1">IFERROR(IF(#REF!="","",INDEX(INDIRECT("'Annex 1 LV and HV charges"&amp;MID($A$2,FIND("_",$A$2),2)&amp;"'!$A$10:$K$51"),MATCH(MID($A121,FIND(":",$A121)+2,LEN($A121)-FIND(":",$A121)+2),INDIRECT("'Annex 1 LV and HV charges"&amp;MID($A$2,FIND("_",$A$2),2)&amp;"'!$A$10:$A$51"),0),MATCH(H$13,$A$13:$J$13,0))-H121),"")</f>
        <v/>
      </c>
      <c r="P121" s="328" t="str">
        <f ca="1">IFERROR(IF(#REF!="","",INDEX(INDIRECT("'Annex 1 LV and HV charges"&amp;MID($A$2,FIND("_",$A$2),2)&amp;"'!$A$10:$K$51"),MATCH(MID($A121,FIND(":",$A121)+2,LEN($A121)-FIND(":",$A121)+2),INDIRECT("'Annex 1 LV and HV charges"&amp;MID($A$2,FIND("_",$A$2),2)&amp;"'!$A$10:$A$51"),0),MATCH(I$13,$A$13:$J$13,0))-I121),"")</f>
        <v/>
      </c>
      <c r="Q121" s="328" t="str">
        <f ca="1">IFERROR(IF(#REF!="","",INDEX(INDIRECT("'Annex 1 LV and HV charges"&amp;MID($A$2,FIND("_",$A$2),2)&amp;"'!$A$10:$K$51"),MATCH(MID($A121,FIND(":",$A121)+2,LEN($A121)-FIND(":",$A121)+2),INDIRECT("'Annex 1 LV and HV charges"&amp;MID($A$2,FIND("_",$A$2),2)&amp;"'!$A$10:$A$51"),0),MATCH(J$13,$A$13:$J$13,0))-J121),"")</f>
        <v/>
      </c>
    </row>
    <row r="122" spans="1:17" ht="27" customHeight="1" x14ac:dyDescent="0.2">
      <c r="A122" s="324" t="s">
        <v>811</v>
      </c>
      <c r="B122" s="18"/>
      <c r="C122" s="327" t="s">
        <v>846</v>
      </c>
      <c r="D122" s="92">
        <v>0.97399999999999998</v>
      </c>
      <c r="E122" s="93">
        <v>0.33600000000000002</v>
      </c>
      <c r="F122" s="94">
        <v>6.8000000000000005E-2</v>
      </c>
      <c r="G122" s="319" t="s">
        <v>840</v>
      </c>
      <c r="H122" s="320" t="s">
        <v>840</v>
      </c>
      <c r="I122" s="321" t="s">
        <v>840</v>
      </c>
      <c r="J122" s="27" t="s">
        <v>840</v>
      </c>
      <c r="K122" s="328" t="str">
        <f ca="1">IFERROR(IF(#REF!="","",INDEX(INDIRECT("'Annex 1 LV and HV charges"&amp;MID($A$2,FIND("_",$A$2),2)&amp;"'!$A$10:$K$51"),MATCH(MID($A122,FIND(":",$A122)+2,LEN($A122)-FIND(":",$A122)+2),INDIRECT("'Annex 1 LV and HV charges"&amp;MID($A$2,FIND("_",$A$2),2)&amp;"'!$A$10:$A$51"),0),MATCH(D$13,$A$13:$J$13,0))-D122),"")</f>
        <v/>
      </c>
      <c r="L122" s="328" t="str">
        <f ca="1">IFERROR(IF(#REF!="","",INDEX(INDIRECT("'Annex 1 LV and HV charges"&amp;MID($A$2,FIND("_",$A$2),2)&amp;"'!$A$10:$K$51"),MATCH(MID($A122,FIND(":",$A122)+2,LEN($A122)-FIND(":",$A122)+2),INDIRECT("'Annex 1 LV and HV charges"&amp;MID($A$2,FIND("_",$A$2),2)&amp;"'!$A$10:$A$51"),0),MATCH(E$13,$A$13:$J$13,0))-E122),"")</f>
        <v/>
      </c>
      <c r="M122" s="328" t="str">
        <f ca="1">IFERROR(IF(#REF!="","",INDEX(INDIRECT("'Annex 1 LV and HV charges"&amp;MID($A$2,FIND("_",$A$2),2)&amp;"'!$A$10:$K$51"),MATCH(MID($A122,FIND(":",$A122)+2,LEN($A122)-FIND(":",$A122)+2),INDIRECT("'Annex 1 LV and HV charges"&amp;MID($A$2,FIND("_",$A$2),2)&amp;"'!$A$10:$A$51"),0),MATCH(F$13,$A$13:$J$13,0))-F122),"")</f>
        <v/>
      </c>
      <c r="N122" s="328" t="str">
        <f ca="1">IFERROR(IF(#REF!="","",INDEX(INDIRECT("'Annex 1 LV and HV charges"&amp;MID($A$2,FIND("_",$A$2),2)&amp;"'!$A$10:$K$51"),MATCH(MID($A122,FIND(":",$A122)+2,LEN($A122)-FIND(":",$A122)+2),INDIRECT("'Annex 1 LV and HV charges"&amp;MID($A$2,FIND("_",$A$2),2)&amp;"'!$A$10:$A$51"),0),MATCH(G$13,$A$13:$J$13,0))-G122),"")</f>
        <v/>
      </c>
      <c r="O122" s="328" t="str">
        <f ca="1">IFERROR(IF(#REF!="","",INDEX(INDIRECT("'Annex 1 LV and HV charges"&amp;MID($A$2,FIND("_",$A$2),2)&amp;"'!$A$10:$K$51"),MATCH(MID($A122,FIND(":",$A122)+2,LEN($A122)-FIND(":",$A122)+2),INDIRECT("'Annex 1 LV and HV charges"&amp;MID($A$2,FIND("_",$A$2),2)&amp;"'!$A$10:$A$51"),0),MATCH(H$13,$A$13:$J$13,0))-H122),"")</f>
        <v/>
      </c>
      <c r="P122" s="328" t="str">
        <f ca="1">IFERROR(IF(#REF!="","",INDEX(INDIRECT("'Annex 1 LV and HV charges"&amp;MID($A$2,FIND("_",$A$2),2)&amp;"'!$A$10:$K$51"),MATCH(MID($A122,FIND(":",$A122)+2,LEN($A122)-FIND(":",$A122)+2),INDIRECT("'Annex 1 LV and HV charges"&amp;MID($A$2,FIND("_",$A$2),2)&amp;"'!$A$10:$A$51"),0),MATCH(I$13,$A$13:$J$13,0))-I122),"")</f>
        <v/>
      </c>
      <c r="Q122" s="328" t="str">
        <f ca="1">IFERROR(IF(#REF!="","",INDEX(INDIRECT("'Annex 1 LV and HV charges"&amp;MID($A$2,FIND("_",$A$2),2)&amp;"'!$A$10:$K$51"),MATCH(MID($A122,FIND(":",$A122)+2,LEN($A122)-FIND(":",$A122)+2),INDIRECT("'Annex 1 LV and HV charges"&amp;MID($A$2,FIND("_",$A$2),2)&amp;"'!$A$10:$A$51"),0),MATCH(J$13,$A$13:$J$13,0))-J122),"")</f>
        <v/>
      </c>
    </row>
    <row r="123" spans="1:17" ht="27" customHeight="1" x14ac:dyDescent="0.2">
      <c r="A123" s="324" t="s">
        <v>818</v>
      </c>
      <c r="B123" s="18"/>
      <c r="C123" s="327" t="s">
        <v>846</v>
      </c>
      <c r="D123" s="92">
        <v>0.94799999999999995</v>
      </c>
      <c r="E123" s="93">
        <v>0.31</v>
      </c>
      <c r="F123" s="94">
        <v>4.1000000000000002E-2</v>
      </c>
      <c r="G123" s="319" t="s">
        <v>840</v>
      </c>
      <c r="H123" s="320" t="s">
        <v>840</v>
      </c>
      <c r="I123" s="321" t="s">
        <v>840</v>
      </c>
      <c r="J123" s="27" t="s">
        <v>840</v>
      </c>
      <c r="K123" s="328" t="str">
        <f ca="1">IFERROR(IF(#REF!="","",INDEX(INDIRECT("'Annex 1 LV and HV charges"&amp;MID($A$2,FIND("_",$A$2),2)&amp;"'!$A$10:$K$51"),MATCH(MID($A123,FIND(":",$A123)+2,LEN($A123)-FIND(":",$A123)+2),INDIRECT("'Annex 1 LV and HV charges"&amp;MID($A$2,FIND("_",$A$2),2)&amp;"'!$A$10:$A$51"),0),MATCH(D$13,$A$13:$J$13,0))-D123),"")</f>
        <v/>
      </c>
      <c r="L123" s="328" t="str">
        <f ca="1">IFERROR(IF(#REF!="","",INDEX(INDIRECT("'Annex 1 LV and HV charges"&amp;MID($A$2,FIND("_",$A$2),2)&amp;"'!$A$10:$K$51"),MATCH(MID($A123,FIND(":",$A123)+2,LEN($A123)-FIND(":",$A123)+2),INDIRECT("'Annex 1 LV and HV charges"&amp;MID($A$2,FIND("_",$A$2),2)&amp;"'!$A$10:$A$51"),0),MATCH(E$13,$A$13:$J$13,0))-E123),"")</f>
        <v/>
      </c>
      <c r="M123" s="328" t="str">
        <f ca="1">IFERROR(IF(#REF!="","",INDEX(INDIRECT("'Annex 1 LV and HV charges"&amp;MID($A$2,FIND("_",$A$2),2)&amp;"'!$A$10:$K$51"),MATCH(MID($A123,FIND(":",$A123)+2,LEN($A123)-FIND(":",$A123)+2),INDIRECT("'Annex 1 LV and HV charges"&amp;MID($A$2,FIND("_",$A$2),2)&amp;"'!$A$10:$A$51"),0),MATCH(F$13,$A$13:$J$13,0))-F123),"")</f>
        <v/>
      </c>
      <c r="N123" s="328" t="str">
        <f ca="1">IFERROR(IF(#REF!="","",INDEX(INDIRECT("'Annex 1 LV and HV charges"&amp;MID($A$2,FIND("_",$A$2),2)&amp;"'!$A$10:$K$51"),MATCH(MID($A123,FIND(":",$A123)+2,LEN($A123)-FIND(":",$A123)+2),INDIRECT("'Annex 1 LV and HV charges"&amp;MID($A$2,FIND("_",$A$2),2)&amp;"'!$A$10:$A$51"),0),MATCH(G$13,$A$13:$J$13,0))-G123),"")</f>
        <v/>
      </c>
      <c r="O123" s="328" t="str">
        <f ca="1">IFERROR(IF(#REF!="","",INDEX(INDIRECT("'Annex 1 LV and HV charges"&amp;MID($A$2,FIND("_",$A$2),2)&amp;"'!$A$10:$K$51"),MATCH(MID($A123,FIND(":",$A123)+2,LEN($A123)-FIND(":",$A123)+2),INDIRECT("'Annex 1 LV and HV charges"&amp;MID($A$2,FIND("_",$A$2),2)&amp;"'!$A$10:$A$51"),0),MATCH(H$13,$A$13:$J$13,0))-H123),"")</f>
        <v/>
      </c>
      <c r="P123" s="328" t="str">
        <f ca="1">IFERROR(IF(#REF!="","",INDEX(INDIRECT("'Annex 1 LV and HV charges"&amp;MID($A$2,FIND("_",$A$2),2)&amp;"'!$A$10:$K$51"),MATCH(MID($A123,FIND(":",$A123)+2,LEN($A123)-FIND(":",$A123)+2),INDIRECT("'Annex 1 LV and HV charges"&amp;MID($A$2,FIND("_",$A$2),2)&amp;"'!$A$10:$A$51"),0),MATCH(I$13,$A$13:$J$13,0))-I123),"")</f>
        <v/>
      </c>
      <c r="Q123" s="328" t="str">
        <f ca="1">IFERROR(IF(#REF!="","",INDEX(INDIRECT("'Annex 1 LV and HV charges"&amp;MID($A$2,FIND("_",$A$2),2)&amp;"'!$A$10:$K$51"),MATCH(MID($A123,FIND(":",$A123)+2,LEN($A123)-FIND(":",$A123)+2),INDIRECT("'Annex 1 LV and HV charges"&amp;MID($A$2,FIND("_",$A$2),2)&amp;"'!$A$10:$A$51"),0),MATCH(J$13,$A$13:$J$13,0))-J123),"")</f>
        <v/>
      </c>
    </row>
    <row r="124" spans="1:17" ht="27" customHeight="1" x14ac:dyDescent="0.2">
      <c r="A124" s="324" t="s">
        <v>588</v>
      </c>
      <c r="B124" s="25"/>
      <c r="C124" s="327">
        <v>4</v>
      </c>
      <c r="D124" s="92">
        <v>0.98</v>
      </c>
      <c r="E124" s="93">
        <v>0.34200000000000003</v>
      </c>
      <c r="F124" s="94">
        <v>7.2999999999999995E-2</v>
      </c>
      <c r="G124" s="320" t="s">
        <v>840</v>
      </c>
      <c r="H124" s="320" t="s">
        <v>840</v>
      </c>
      <c r="I124" s="321" t="s">
        <v>840</v>
      </c>
      <c r="J124" s="27" t="s">
        <v>840</v>
      </c>
      <c r="K124" s="328" t="str">
        <f ca="1">IFERROR(IF(#REF!="","",INDEX(INDIRECT("'Annex 1 LV and HV charges"&amp;MID($A$2,FIND("_",$A$2),2)&amp;"'!$A$10:$K$51"),MATCH(MID($A124,FIND(":",$A124)+2,LEN($A124)-FIND(":",$A124)+2),INDIRECT("'Annex 1 LV and HV charges"&amp;MID($A$2,FIND("_",$A$2),2)&amp;"'!$A$10:$A$51"),0),MATCH(D$13,$A$13:$J$13,0))-D124),"")</f>
        <v/>
      </c>
      <c r="L124" s="328" t="str">
        <f ca="1">IFERROR(IF(#REF!="","",INDEX(INDIRECT("'Annex 1 LV and HV charges"&amp;MID($A$2,FIND("_",$A$2),2)&amp;"'!$A$10:$K$51"),MATCH(MID($A124,FIND(":",$A124)+2,LEN($A124)-FIND(":",$A124)+2),INDIRECT("'Annex 1 LV and HV charges"&amp;MID($A$2,FIND("_",$A$2),2)&amp;"'!$A$10:$A$51"),0),MATCH(E$13,$A$13:$J$13,0))-E124),"")</f>
        <v/>
      </c>
      <c r="M124" s="328" t="str">
        <f ca="1">IFERROR(IF(#REF!="","",INDEX(INDIRECT("'Annex 1 LV and HV charges"&amp;MID($A$2,FIND("_",$A$2),2)&amp;"'!$A$10:$K$51"),MATCH(MID($A124,FIND(":",$A124)+2,LEN($A124)-FIND(":",$A124)+2),INDIRECT("'Annex 1 LV and HV charges"&amp;MID($A$2,FIND("_",$A$2),2)&amp;"'!$A$10:$A$51"),0),MATCH(F$13,$A$13:$J$13,0))-F124),"")</f>
        <v/>
      </c>
      <c r="N124" s="328" t="str">
        <f ca="1">IFERROR(IF(#REF!="","",INDEX(INDIRECT("'Annex 1 LV and HV charges"&amp;MID($A$2,FIND("_",$A$2),2)&amp;"'!$A$10:$K$51"),MATCH(MID($A124,FIND(":",$A124)+2,LEN($A124)-FIND(":",$A124)+2),INDIRECT("'Annex 1 LV and HV charges"&amp;MID($A$2,FIND("_",$A$2),2)&amp;"'!$A$10:$A$51"),0),MATCH(G$13,$A$13:$J$13,0))-G124),"")</f>
        <v/>
      </c>
      <c r="O124" s="328" t="str">
        <f ca="1">IFERROR(IF(#REF!="","",INDEX(INDIRECT("'Annex 1 LV and HV charges"&amp;MID($A$2,FIND("_",$A$2),2)&amp;"'!$A$10:$K$51"),MATCH(MID($A124,FIND(":",$A124)+2,LEN($A124)-FIND(":",$A124)+2),INDIRECT("'Annex 1 LV and HV charges"&amp;MID($A$2,FIND("_",$A$2),2)&amp;"'!$A$10:$A$51"),0),MATCH(H$13,$A$13:$J$13,0))-H124),"")</f>
        <v/>
      </c>
      <c r="P124" s="328" t="str">
        <f ca="1">IFERROR(IF(#REF!="","",INDEX(INDIRECT("'Annex 1 LV and HV charges"&amp;MID($A$2,FIND("_",$A$2),2)&amp;"'!$A$10:$K$51"),MATCH(MID($A124,FIND(":",$A124)+2,LEN($A124)-FIND(":",$A124)+2),INDIRECT("'Annex 1 LV and HV charges"&amp;MID($A$2,FIND("_",$A$2),2)&amp;"'!$A$10:$A$51"),0),MATCH(I$13,$A$13:$J$13,0))-I124),"")</f>
        <v/>
      </c>
      <c r="Q124" s="328" t="str">
        <f ca="1">IFERROR(IF(#REF!="","",INDEX(INDIRECT("'Annex 1 LV and HV charges"&amp;MID($A$2,FIND("_",$A$2),2)&amp;"'!$A$10:$K$51"),MATCH(MID($A124,FIND(":",$A124)+2,LEN($A124)-FIND(":",$A124)+2),INDIRECT("'Annex 1 LV and HV charges"&amp;MID($A$2,FIND("_",$A$2),2)&amp;"'!$A$10:$A$51"),0),MATCH(J$13,$A$13:$J$13,0))-J124),"")</f>
        <v/>
      </c>
    </row>
    <row r="125" spans="1:17" ht="27" customHeight="1" x14ac:dyDescent="0.2">
      <c r="A125" s="324" t="s">
        <v>697</v>
      </c>
      <c r="B125" s="18"/>
      <c r="C125" s="327">
        <v>0</v>
      </c>
      <c r="D125" s="92">
        <v>0.60599999999999998</v>
      </c>
      <c r="E125" s="93">
        <v>0.2</v>
      </c>
      <c r="F125" s="94">
        <v>4.8000000000000001E-2</v>
      </c>
      <c r="G125" s="319">
        <v>5.18</v>
      </c>
      <c r="H125" s="319">
        <v>0.98</v>
      </c>
      <c r="I125" s="322">
        <v>0.98</v>
      </c>
      <c r="J125" s="26">
        <v>3.1E-2</v>
      </c>
      <c r="K125" s="328" t="str">
        <f ca="1">IFERROR(IF(#REF!="","",INDEX(INDIRECT("'Annex 1 LV and HV charges"&amp;MID($A$2,FIND("_",$A$2),2)&amp;"'!$A$10:$K$51"),MATCH(MID($A125,FIND(":",$A125)+2,LEN($A125)-FIND(":",$A125)+2),INDIRECT("'Annex 1 LV and HV charges"&amp;MID($A$2,FIND("_",$A$2),2)&amp;"'!$A$10:$A$51"),0),MATCH(D$13,$A$13:$J$13,0))-D125),"")</f>
        <v/>
      </c>
      <c r="L125" s="328" t="str">
        <f ca="1">IFERROR(IF(#REF!="","",INDEX(INDIRECT("'Annex 1 LV and HV charges"&amp;MID($A$2,FIND("_",$A$2),2)&amp;"'!$A$10:$K$51"),MATCH(MID($A125,FIND(":",$A125)+2,LEN($A125)-FIND(":",$A125)+2),INDIRECT("'Annex 1 LV and HV charges"&amp;MID($A$2,FIND("_",$A$2),2)&amp;"'!$A$10:$A$51"),0),MATCH(E$13,$A$13:$J$13,0))-E125),"")</f>
        <v/>
      </c>
      <c r="M125" s="328" t="str">
        <f ca="1">IFERROR(IF(#REF!="","",INDEX(INDIRECT("'Annex 1 LV and HV charges"&amp;MID($A$2,FIND("_",$A$2),2)&amp;"'!$A$10:$K$51"),MATCH(MID($A125,FIND(":",$A125)+2,LEN($A125)-FIND(":",$A125)+2),INDIRECT("'Annex 1 LV and HV charges"&amp;MID($A$2,FIND("_",$A$2),2)&amp;"'!$A$10:$A$51"),0),MATCH(F$13,$A$13:$J$13,0))-F125),"")</f>
        <v/>
      </c>
      <c r="N125" s="328" t="str">
        <f ca="1">IFERROR(IF(#REF!="","",INDEX(INDIRECT("'Annex 1 LV and HV charges"&amp;MID($A$2,FIND("_",$A$2),2)&amp;"'!$A$10:$K$51"),MATCH(MID($A125,FIND(":",$A125)+2,LEN($A125)-FIND(":",$A125)+2),INDIRECT("'Annex 1 LV and HV charges"&amp;MID($A$2,FIND("_",$A$2),2)&amp;"'!$A$10:$A$51"),0),MATCH(G$13,$A$13:$J$13,0))-G125),"")</f>
        <v/>
      </c>
      <c r="O125" s="328" t="str">
        <f ca="1">IFERROR(IF(#REF!="","",INDEX(INDIRECT("'Annex 1 LV and HV charges"&amp;MID($A$2,FIND("_",$A$2),2)&amp;"'!$A$10:$K$51"),MATCH(MID($A125,FIND(":",$A125)+2,LEN($A125)-FIND(":",$A125)+2),INDIRECT("'Annex 1 LV and HV charges"&amp;MID($A$2,FIND("_",$A$2),2)&amp;"'!$A$10:$A$51"),0),MATCH(H$13,$A$13:$J$13,0))-H125),"")</f>
        <v/>
      </c>
      <c r="P125" s="328" t="str">
        <f ca="1">IFERROR(IF(#REF!="","",INDEX(INDIRECT("'Annex 1 LV and HV charges"&amp;MID($A$2,FIND("_",$A$2),2)&amp;"'!$A$10:$K$51"),MATCH(MID($A125,FIND(":",$A125)+2,LEN($A125)-FIND(":",$A125)+2),INDIRECT("'Annex 1 LV and HV charges"&amp;MID($A$2,FIND("_",$A$2),2)&amp;"'!$A$10:$A$51"),0),MATCH(I$13,$A$13:$J$13,0))-I125),"")</f>
        <v/>
      </c>
      <c r="Q125" s="328" t="str">
        <f ca="1">IFERROR(IF(#REF!="","",INDEX(INDIRECT("'Annex 1 LV and HV charges"&amp;MID($A$2,FIND("_",$A$2),2)&amp;"'!$A$10:$K$51"),MATCH(MID($A125,FIND(":",$A125)+2,LEN($A125)-FIND(":",$A125)+2),INDIRECT("'Annex 1 LV and HV charges"&amp;MID($A$2,FIND("_",$A$2),2)&amp;"'!$A$10:$A$51"),0),MATCH(J$13,$A$13:$J$13,0))-J125),"")</f>
        <v/>
      </c>
    </row>
    <row r="126" spans="1:17" ht="27" customHeight="1" x14ac:dyDescent="0.2">
      <c r="A126" s="324" t="s">
        <v>698</v>
      </c>
      <c r="B126" s="25"/>
      <c r="C126" s="327">
        <v>0</v>
      </c>
      <c r="D126" s="92">
        <v>0.58199999999999996</v>
      </c>
      <c r="E126" s="93">
        <v>0.17699999999999999</v>
      </c>
      <c r="F126" s="94">
        <v>2.4E-2</v>
      </c>
      <c r="G126" s="319" t="s">
        <v>840</v>
      </c>
      <c r="H126" s="319">
        <v>0.98</v>
      </c>
      <c r="I126" s="322">
        <v>0.98</v>
      </c>
      <c r="J126" s="26">
        <v>3.1E-2</v>
      </c>
      <c r="K126" s="328" t="str">
        <f ca="1">IFERROR(IF(#REF!="","",INDEX(INDIRECT("'Annex 1 LV and HV charges"&amp;MID($A$2,FIND("_",$A$2),2)&amp;"'!$A$10:$K$51"),MATCH(MID($A126,FIND(":",$A126)+2,LEN($A126)-FIND(":",$A126)+2),INDIRECT("'Annex 1 LV and HV charges"&amp;MID($A$2,FIND("_",$A$2),2)&amp;"'!$A$10:$A$51"),0),MATCH(D$13,$A$13:$J$13,0))-D126),"")</f>
        <v/>
      </c>
      <c r="L126" s="328" t="str">
        <f ca="1">IFERROR(IF(#REF!="","",INDEX(INDIRECT("'Annex 1 LV and HV charges"&amp;MID($A$2,FIND("_",$A$2),2)&amp;"'!$A$10:$K$51"),MATCH(MID($A126,FIND(":",$A126)+2,LEN($A126)-FIND(":",$A126)+2),INDIRECT("'Annex 1 LV and HV charges"&amp;MID($A$2,FIND("_",$A$2),2)&amp;"'!$A$10:$A$51"),0),MATCH(E$13,$A$13:$J$13,0))-E126),"")</f>
        <v/>
      </c>
      <c r="M126" s="328" t="str">
        <f ca="1">IFERROR(IF(#REF!="","",INDEX(INDIRECT("'Annex 1 LV and HV charges"&amp;MID($A$2,FIND("_",$A$2),2)&amp;"'!$A$10:$K$51"),MATCH(MID($A126,FIND(":",$A126)+2,LEN($A126)-FIND(":",$A126)+2),INDIRECT("'Annex 1 LV and HV charges"&amp;MID($A$2,FIND("_",$A$2),2)&amp;"'!$A$10:$A$51"),0),MATCH(F$13,$A$13:$J$13,0))-F126),"")</f>
        <v/>
      </c>
      <c r="N126" s="328" t="str">
        <f ca="1">IFERROR(IF(#REF!="","",INDEX(INDIRECT("'Annex 1 LV and HV charges"&amp;MID($A$2,FIND("_",$A$2),2)&amp;"'!$A$10:$K$51"),MATCH(MID($A126,FIND(":",$A126)+2,LEN($A126)-FIND(":",$A126)+2),INDIRECT("'Annex 1 LV and HV charges"&amp;MID($A$2,FIND("_",$A$2),2)&amp;"'!$A$10:$A$51"),0),MATCH(G$13,$A$13:$J$13,0))-G126),"")</f>
        <v/>
      </c>
      <c r="O126" s="328" t="str">
        <f ca="1">IFERROR(IF(#REF!="","",INDEX(INDIRECT("'Annex 1 LV and HV charges"&amp;MID($A$2,FIND("_",$A$2),2)&amp;"'!$A$10:$K$51"),MATCH(MID($A126,FIND(":",$A126)+2,LEN($A126)-FIND(":",$A126)+2),INDIRECT("'Annex 1 LV and HV charges"&amp;MID($A$2,FIND("_",$A$2),2)&amp;"'!$A$10:$A$51"),0),MATCH(H$13,$A$13:$J$13,0))-H126),"")</f>
        <v/>
      </c>
      <c r="P126" s="328" t="str">
        <f ca="1">IFERROR(IF(#REF!="","",INDEX(INDIRECT("'Annex 1 LV and HV charges"&amp;MID($A$2,FIND("_",$A$2),2)&amp;"'!$A$10:$K$51"),MATCH(MID($A126,FIND(":",$A126)+2,LEN($A126)-FIND(":",$A126)+2),INDIRECT("'Annex 1 LV and HV charges"&amp;MID($A$2,FIND("_",$A$2),2)&amp;"'!$A$10:$A$51"),0),MATCH(I$13,$A$13:$J$13,0))-I126),"")</f>
        <v/>
      </c>
      <c r="Q126" s="328" t="str">
        <f ca="1">IFERROR(IF(#REF!="","",INDEX(INDIRECT("'Annex 1 LV and HV charges"&amp;MID($A$2,FIND("_",$A$2),2)&amp;"'!$A$10:$K$51"),MATCH(MID($A126,FIND(":",$A126)+2,LEN($A126)-FIND(":",$A126)+2),INDIRECT("'Annex 1 LV and HV charges"&amp;MID($A$2,FIND("_",$A$2),2)&amp;"'!$A$10:$A$51"),0),MATCH(J$13,$A$13:$J$13,0))-J126),"")</f>
        <v/>
      </c>
    </row>
    <row r="127" spans="1:17" ht="27" customHeight="1" x14ac:dyDescent="0.2">
      <c r="A127" s="324" t="s">
        <v>699</v>
      </c>
      <c r="B127" s="18"/>
      <c r="C127" s="327">
        <v>0</v>
      </c>
      <c r="D127" s="92">
        <v>0.56999999999999995</v>
      </c>
      <c r="E127" s="93">
        <v>0.16400000000000001</v>
      </c>
      <c r="F127" s="94">
        <v>2.1000000000000001E-2</v>
      </c>
      <c r="G127" s="319" t="s">
        <v>840</v>
      </c>
      <c r="H127" s="319">
        <v>0.98</v>
      </c>
      <c r="I127" s="322">
        <v>0.98</v>
      </c>
      <c r="J127" s="26">
        <v>3.1E-2</v>
      </c>
      <c r="K127" s="328" t="str">
        <f ca="1">IFERROR(IF(#REF!="","",INDEX(INDIRECT("'Annex 1 LV and HV charges"&amp;MID($A$2,FIND("_",$A$2),2)&amp;"'!$A$10:$K$51"),MATCH(MID($A127,FIND(":",$A127)+2,LEN($A127)-FIND(":",$A127)+2),INDIRECT("'Annex 1 LV and HV charges"&amp;MID($A$2,FIND("_",$A$2),2)&amp;"'!$A$10:$A$51"),0),MATCH(D$13,$A$13:$J$13,0))-D127),"")</f>
        <v/>
      </c>
      <c r="L127" s="328" t="str">
        <f ca="1">IFERROR(IF(#REF!="","",INDEX(INDIRECT("'Annex 1 LV and HV charges"&amp;MID($A$2,FIND("_",$A$2),2)&amp;"'!$A$10:$K$51"),MATCH(MID($A127,FIND(":",$A127)+2,LEN($A127)-FIND(":",$A127)+2),INDIRECT("'Annex 1 LV and HV charges"&amp;MID($A$2,FIND("_",$A$2),2)&amp;"'!$A$10:$A$51"),0),MATCH(E$13,$A$13:$J$13,0))-E127),"")</f>
        <v/>
      </c>
      <c r="M127" s="328" t="str">
        <f ca="1">IFERROR(IF(#REF!="","",INDEX(INDIRECT("'Annex 1 LV and HV charges"&amp;MID($A$2,FIND("_",$A$2),2)&amp;"'!$A$10:$K$51"),MATCH(MID($A127,FIND(":",$A127)+2,LEN($A127)-FIND(":",$A127)+2),INDIRECT("'Annex 1 LV and HV charges"&amp;MID($A$2,FIND("_",$A$2),2)&amp;"'!$A$10:$A$51"),0),MATCH(F$13,$A$13:$J$13,0))-F127),"")</f>
        <v/>
      </c>
      <c r="N127" s="328" t="str">
        <f ca="1">IFERROR(IF(#REF!="","",INDEX(INDIRECT("'Annex 1 LV and HV charges"&amp;MID($A$2,FIND("_",$A$2),2)&amp;"'!$A$10:$K$51"),MATCH(MID($A127,FIND(":",$A127)+2,LEN($A127)-FIND(":",$A127)+2),INDIRECT("'Annex 1 LV and HV charges"&amp;MID($A$2,FIND("_",$A$2),2)&amp;"'!$A$10:$A$51"),0),MATCH(G$13,$A$13:$J$13,0))-G127),"")</f>
        <v/>
      </c>
      <c r="O127" s="328" t="str">
        <f ca="1">IFERROR(IF(#REF!="","",INDEX(INDIRECT("'Annex 1 LV and HV charges"&amp;MID($A$2,FIND("_",$A$2),2)&amp;"'!$A$10:$K$51"),MATCH(MID($A127,FIND(":",$A127)+2,LEN($A127)-FIND(":",$A127)+2),INDIRECT("'Annex 1 LV and HV charges"&amp;MID($A$2,FIND("_",$A$2),2)&amp;"'!$A$10:$A$51"),0),MATCH(H$13,$A$13:$J$13,0))-H127),"")</f>
        <v/>
      </c>
      <c r="P127" s="328" t="str">
        <f ca="1">IFERROR(IF(#REF!="","",INDEX(INDIRECT("'Annex 1 LV and HV charges"&amp;MID($A$2,FIND("_",$A$2),2)&amp;"'!$A$10:$K$51"),MATCH(MID($A127,FIND(":",$A127)+2,LEN($A127)-FIND(":",$A127)+2),INDIRECT("'Annex 1 LV and HV charges"&amp;MID($A$2,FIND("_",$A$2),2)&amp;"'!$A$10:$A$51"),0),MATCH(I$13,$A$13:$J$13,0))-I127),"")</f>
        <v/>
      </c>
      <c r="Q127" s="328" t="str">
        <f ca="1">IFERROR(IF(#REF!="","",INDEX(INDIRECT("'Annex 1 LV and HV charges"&amp;MID($A$2,FIND("_",$A$2),2)&amp;"'!$A$10:$K$51"),MATCH(MID($A127,FIND(":",$A127)+2,LEN($A127)-FIND(":",$A127)+2),INDIRECT("'Annex 1 LV and HV charges"&amp;MID($A$2,FIND("_",$A$2),2)&amp;"'!$A$10:$A$51"),0),MATCH(J$13,$A$13:$J$13,0))-J127),"")</f>
        <v/>
      </c>
    </row>
    <row r="128" spans="1:17" ht="27" customHeight="1" x14ac:dyDescent="0.2">
      <c r="A128" s="324" t="s">
        <v>700</v>
      </c>
      <c r="B128" s="18"/>
      <c r="C128" s="327">
        <v>0</v>
      </c>
      <c r="D128" s="92">
        <v>0.56299999999999994</v>
      </c>
      <c r="E128" s="93">
        <v>0.157</v>
      </c>
      <c r="F128" s="94">
        <v>2.1000000000000001E-2</v>
      </c>
      <c r="G128" s="319" t="s">
        <v>840</v>
      </c>
      <c r="H128" s="319">
        <v>0.98</v>
      </c>
      <c r="I128" s="322">
        <v>0.98</v>
      </c>
      <c r="J128" s="26">
        <v>3.1E-2</v>
      </c>
      <c r="K128" s="328" t="str">
        <f ca="1">IFERROR(IF(#REF!="","",INDEX(INDIRECT("'Annex 1 LV and HV charges"&amp;MID($A$2,FIND("_",$A$2),2)&amp;"'!$A$10:$K$51"),MATCH(MID($A128,FIND(":",$A128)+2,LEN($A128)-FIND(":",$A128)+2),INDIRECT("'Annex 1 LV and HV charges"&amp;MID($A$2,FIND("_",$A$2),2)&amp;"'!$A$10:$A$51"),0),MATCH(D$13,$A$13:$J$13,0))-D128),"")</f>
        <v/>
      </c>
      <c r="L128" s="328" t="str">
        <f ca="1">IFERROR(IF(#REF!="","",INDEX(INDIRECT("'Annex 1 LV and HV charges"&amp;MID($A$2,FIND("_",$A$2),2)&amp;"'!$A$10:$K$51"),MATCH(MID($A128,FIND(":",$A128)+2,LEN($A128)-FIND(":",$A128)+2),INDIRECT("'Annex 1 LV and HV charges"&amp;MID($A$2,FIND("_",$A$2),2)&amp;"'!$A$10:$A$51"),0),MATCH(E$13,$A$13:$J$13,0))-E128),"")</f>
        <v/>
      </c>
      <c r="M128" s="328" t="str">
        <f ca="1">IFERROR(IF(#REF!="","",INDEX(INDIRECT("'Annex 1 LV and HV charges"&amp;MID($A$2,FIND("_",$A$2),2)&amp;"'!$A$10:$K$51"),MATCH(MID($A128,FIND(":",$A128)+2,LEN($A128)-FIND(":",$A128)+2),INDIRECT("'Annex 1 LV and HV charges"&amp;MID($A$2,FIND("_",$A$2),2)&amp;"'!$A$10:$A$51"),0),MATCH(F$13,$A$13:$J$13,0))-F128),"")</f>
        <v/>
      </c>
      <c r="N128" s="328" t="str">
        <f ca="1">IFERROR(IF(#REF!="","",INDEX(INDIRECT("'Annex 1 LV and HV charges"&amp;MID($A$2,FIND("_",$A$2),2)&amp;"'!$A$10:$K$51"),MATCH(MID($A128,FIND(":",$A128)+2,LEN($A128)-FIND(":",$A128)+2),INDIRECT("'Annex 1 LV and HV charges"&amp;MID($A$2,FIND("_",$A$2),2)&amp;"'!$A$10:$A$51"),0),MATCH(G$13,$A$13:$J$13,0))-G128),"")</f>
        <v/>
      </c>
      <c r="O128" s="328" t="str">
        <f ca="1">IFERROR(IF(#REF!="","",INDEX(INDIRECT("'Annex 1 LV and HV charges"&amp;MID($A$2,FIND("_",$A$2),2)&amp;"'!$A$10:$K$51"),MATCH(MID($A128,FIND(":",$A128)+2,LEN($A128)-FIND(":",$A128)+2),INDIRECT("'Annex 1 LV and HV charges"&amp;MID($A$2,FIND("_",$A$2),2)&amp;"'!$A$10:$A$51"),0),MATCH(H$13,$A$13:$J$13,0))-H128),"")</f>
        <v/>
      </c>
      <c r="P128" s="328" t="str">
        <f ca="1">IFERROR(IF(#REF!="","",INDEX(INDIRECT("'Annex 1 LV and HV charges"&amp;MID($A$2,FIND("_",$A$2),2)&amp;"'!$A$10:$K$51"),MATCH(MID($A128,FIND(":",$A128)+2,LEN($A128)-FIND(":",$A128)+2),INDIRECT("'Annex 1 LV and HV charges"&amp;MID($A$2,FIND("_",$A$2),2)&amp;"'!$A$10:$A$51"),0),MATCH(I$13,$A$13:$J$13,0))-I128),"")</f>
        <v/>
      </c>
      <c r="Q128" s="328" t="str">
        <f ca="1">IFERROR(IF(#REF!="","",INDEX(INDIRECT("'Annex 1 LV and HV charges"&amp;MID($A$2,FIND("_",$A$2),2)&amp;"'!$A$10:$K$51"),MATCH(MID($A128,FIND(":",$A128)+2,LEN($A128)-FIND(":",$A128)+2),INDIRECT("'Annex 1 LV and HV charges"&amp;MID($A$2,FIND("_",$A$2),2)&amp;"'!$A$10:$A$51"),0),MATCH(J$13,$A$13:$J$13,0))-J128),"")</f>
        <v/>
      </c>
    </row>
    <row r="129" spans="1:17" ht="27" customHeight="1" x14ac:dyDescent="0.2">
      <c r="A129" s="324" t="s">
        <v>701</v>
      </c>
      <c r="B129" s="18"/>
      <c r="C129" s="327">
        <v>0</v>
      </c>
      <c r="D129" s="92">
        <v>0.55600000000000005</v>
      </c>
      <c r="E129" s="93">
        <v>0.15</v>
      </c>
      <c r="F129" s="94">
        <v>2.1000000000000001E-2</v>
      </c>
      <c r="G129" s="319" t="s">
        <v>840</v>
      </c>
      <c r="H129" s="319">
        <v>0.98</v>
      </c>
      <c r="I129" s="322">
        <v>0.98</v>
      </c>
      <c r="J129" s="26">
        <v>3.1E-2</v>
      </c>
      <c r="K129" s="328" t="str">
        <f ca="1">IFERROR(IF(#REF!="","",INDEX(INDIRECT("'Annex 1 LV and HV charges"&amp;MID($A$2,FIND("_",$A$2),2)&amp;"'!$A$10:$K$51"),MATCH(MID($A129,FIND(":",$A129)+2,LEN($A129)-FIND(":",$A129)+2),INDIRECT("'Annex 1 LV and HV charges"&amp;MID($A$2,FIND("_",$A$2),2)&amp;"'!$A$10:$A$51"),0),MATCH(D$13,$A$13:$J$13,0))-D129),"")</f>
        <v/>
      </c>
      <c r="L129" s="328" t="str">
        <f ca="1">IFERROR(IF(#REF!="","",INDEX(INDIRECT("'Annex 1 LV and HV charges"&amp;MID($A$2,FIND("_",$A$2),2)&amp;"'!$A$10:$K$51"),MATCH(MID($A129,FIND(":",$A129)+2,LEN($A129)-FIND(":",$A129)+2),INDIRECT("'Annex 1 LV and HV charges"&amp;MID($A$2,FIND("_",$A$2),2)&amp;"'!$A$10:$A$51"),0),MATCH(E$13,$A$13:$J$13,0))-E129),"")</f>
        <v/>
      </c>
      <c r="M129" s="328" t="str">
        <f ca="1">IFERROR(IF(#REF!="","",INDEX(INDIRECT("'Annex 1 LV and HV charges"&amp;MID($A$2,FIND("_",$A$2),2)&amp;"'!$A$10:$K$51"),MATCH(MID($A129,FIND(":",$A129)+2,LEN($A129)-FIND(":",$A129)+2),INDIRECT("'Annex 1 LV and HV charges"&amp;MID($A$2,FIND("_",$A$2),2)&amp;"'!$A$10:$A$51"),0),MATCH(F$13,$A$13:$J$13,0))-F129),"")</f>
        <v/>
      </c>
      <c r="N129" s="328" t="str">
        <f ca="1">IFERROR(IF(#REF!="","",INDEX(INDIRECT("'Annex 1 LV and HV charges"&amp;MID($A$2,FIND("_",$A$2),2)&amp;"'!$A$10:$K$51"),MATCH(MID($A129,FIND(":",$A129)+2,LEN($A129)-FIND(":",$A129)+2),INDIRECT("'Annex 1 LV and HV charges"&amp;MID($A$2,FIND("_",$A$2),2)&amp;"'!$A$10:$A$51"),0),MATCH(G$13,$A$13:$J$13,0))-G129),"")</f>
        <v/>
      </c>
      <c r="O129" s="328" t="str">
        <f ca="1">IFERROR(IF(#REF!="","",INDEX(INDIRECT("'Annex 1 LV and HV charges"&amp;MID($A$2,FIND("_",$A$2),2)&amp;"'!$A$10:$K$51"),MATCH(MID($A129,FIND(":",$A129)+2,LEN($A129)-FIND(":",$A129)+2),INDIRECT("'Annex 1 LV and HV charges"&amp;MID($A$2,FIND("_",$A$2),2)&amp;"'!$A$10:$A$51"),0),MATCH(H$13,$A$13:$J$13,0))-H129),"")</f>
        <v/>
      </c>
      <c r="P129" s="328" t="str">
        <f ca="1">IFERROR(IF(#REF!="","",INDEX(INDIRECT("'Annex 1 LV and HV charges"&amp;MID($A$2,FIND("_",$A$2),2)&amp;"'!$A$10:$K$51"),MATCH(MID($A129,FIND(":",$A129)+2,LEN($A129)-FIND(":",$A129)+2),INDIRECT("'Annex 1 LV and HV charges"&amp;MID($A$2,FIND("_",$A$2),2)&amp;"'!$A$10:$A$51"),0),MATCH(I$13,$A$13:$J$13,0))-I129),"")</f>
        <v/>
      </c>
      <c r="Q129" s="328" t="str">
        <f ca="1">IFERROR(IF(#REF!="","",INDEX(INDIRECT("'Annex 1 LV and HV charges"&amp;MID($A$2,FIND("_",$A$2),2)&amp;"'!$A$10:$K$51"),MATCH(MID($A129,FIND(":",$A129)+2,LEN($A129)-FIND(":",$A129)+2),INDIRECT("'Annex 1 LV and HV charges"&amp;MID($A$2,FIND("_",$A$2),2)&amp;"'!$A$10:$A$51"),0),MATCH(J$13,$A$13:$J$13,0))-J129),"")</f>
        <v/>
      </c>
    </row>
    <row r="130" spans="1:17" ht="27" customHeight="1" x14ac:dyDescent="0.2">
      <c r="A130" s="324" t="s">
        <v>702</v>
      </c>
      <c r="B130" s="18"/>
      <c r="C130" s="327">
        <v>0</v>
      </c>
      <c r="D130" s="92">
        <v>0.38100000000000001</v>
      </c>
      <c r="E130" s="93">
        <v>9.7000000000000003E-2</v>
      </c>
      <c r="F130" s="94">
        <v>3.7999999999999999E-2</v>
      </c>
      <c r="G130" s="319">
        <v>18.5</v>
      </c>
      <c r="H130" s="319">
        <v>1.79</v>
      </c>
      <c r="I130" s="322">
        <v>1.79</v>
      </c>
      <c r="J130" s="26">
        <v>1.7999999999999999E-2</v>
      </c>
      <c r="K130" s="328" t="str">
        <f ca="1">IFERROR(IF(#REF!="","",INDEX(INDIRECT("'Annex 1 LV and HV charges"&amp;MID($A$2,FIND("_",$A$2),2)&amp;"'!$A$10:$K$51"),MATCH(MID($A130,FIND(":",$A130)+2,LEN($A130)-FIND(":",$A130)+2),INDIRECT("'Annex 1 LV and HV charges"&amp;MID($A$2,FIND("_",$A$2),2)&amp;"'!$A$10:$A$51"),0),MATCH(D$13,$A$13:$J$13,0))-D130),"")</f>
        <v/>
      </c>
      <c r="L130" s="328" t="str">
        <f ca="1">IFERROR(IF(#REF!="","",INDEX(INDIRECT("'Annex 1 LV and HV charges"&amp;MID($A$2,FIND("_",$A$2),2)&amp;"'!$A$10:$K$51"),MATCH(MID($A130,FIND(":",$A130)+2,LEN($A130)-FIND(":",$A130)+2),INDIRECT("'Annex 1 LV and HV charges"&amp;MID($A$2,FIND("_",$A$2),2)&amp;"'!$A$10:$A$51"),0),MATCH(E$13,$A$13:$J$13,0))-E130),"")</f>
        <v/>
      </c>
      <c r="M130" s="328" t="str">
        <f ca="1">IFERROR(IF(#REF!="","",INDEX(INDIRECT("'Annex 1 LV and HV charges"&amp;MID($A$2,FIND("_",$A$2),2)&amp;"'!$A$10:$K$51"),MATCH(MID($A130,FIND(":",$A130)+2,LEN($A130)-FIND(":",$A130)+2),INDIRECT("'Annex 1 LV and HV charges"&amp;MID($A$2,FIND("_",$A$2),2)&amp;"'!$A$10:$A$51"),0),MATCH(F$13,$A$13:$J$13,0))-F130),"")</f>
        <v/>
      </c>
      <c r="N130" s="328" t="str">
        <f ca="1">IFERROR(IF(#REF!="","",INDEX(INDIRECT("'Annex 1 LV and HV charges"&amp;MID($A$2,FIND("_",$A$2),2)&amp;"'!$A$10:$K$51"),MATCH(MID($A130,FIND(":",$A130)+2,LEN($A130)-FIND(":",$A130)+2),INDIRECT("'Annex 1 LV and HV charges"&amp;MID($A$2,FIND("_",$A$2),2)&amp;"'!$A$10:$A$51"),0),MATCH(G$13,$A$13:$J$13,0))-G130),"")</f>
        <v/>
      </c>
      <c r="O130" s="328" t="str">
        <f ca="1">IFERROR(IF(#REF!="","",INDEX(INDIRECT("'Annex 1 LV and HV charges"&amp;MID($A$2,FIND("_",$A$2),2)&amp;"'!$A$10:$K$51"),MATCH(MID($A130,FIND(":",$A130)+2,LEN($A130)-FIND(":",$A130)+2),INDIRECT("'Annex 1 LV and HV charges"&amp;MID($A$2,FIND("_",$A$2),2)&amp;"'!$A$10:$A$51"),0),MATCH(H$13,$A$13:$J$13,0))-H130),"")</f>
        <v/>
      </c>
      <c r="P130" s="328" t="str">
        <f ca="1">IFERROR(IF(#REF!="","",INDEX(INDIRECT("'Annex 1 LV and HV charges"&amp;MID($A$2,FIND("_",$A$2),2)&amp;"'!$A$10:$K$51"),MATCH(MID($A130,FIND(":",$A130)+2,LEN($A130)-FIND(":",$A130)+2),INDIRECT("'Annex 1 LV and HV charges"&amp;MID($A$2,FIND("_",$A$2),2)&amp;"'!$A$10:$A$51"),0),MATCH(I$13,$A$13:$J$13,0))-I130),"")</f>
        <v/>
      </c>
      <c r="Q130" s="328" t="str">
        <f ca="1">IFERROR(IF(#REF!="","",INDEX(INDIRECT("'Annex 1 LV and HV charges"&amp;MID($A$2,FIND("_",$A$2),2)&amp;"'!$A$10:$K$51"),MATCH(MID($A130,FIND(":",$A130)+2,LEN($A130)-FIND(":",$A130)+2),INDIRECT("'Annex 1 LV and HV charges"&amp;MID($A$2,FIND("_",$A$2),2)&amp;"'!$A$10:$A$51"),0),MATCH(J$13,$A$13:$J$13,0))-J130),"")</f>
        <v/>
      </c>
    </row>
    <row r="131" spans="1:17" ht="27" customHeight="1" x14ac:dyDescent="0.2">
      <c r="A131" s="324" t="s">
        <v>703</v>
      </c>
      <c r="B131" s="25"/>
      <c r="C131" s="327">
        <v>0</v>
      </c>
      <c r="D131" s="92">
        <v>0.34699999999999998</v>
      </c>
      <c r="E131" s="93">
        <v>6.3E-2</v>
      </c>
      <c r="F131" s="94">
        <v>5.0000000000000001E-3</v>
      </c>
      <c r="G131" s="319">
        <v>11.2</v>
      </c>
      <c r="H131" s="319">
        <v>1.79</v>
      </c>
      <c r="I131" s="322">
        <v>1.79</v>
      </c>
      <c r="J131" s="26">
        <v>1.7999999999999999E-2</v>
      </c>
      <c r="K131" s="328" t="str">
        <f ca="1">IFERROR(IF(#REF!="","",INDEX(INDIRECT("'Annex 1 LV and HV charges"&amp;MID($A$2,FIND("_",$A$2),2)&amp;"'!$A$10:$K$51"),MATCH(MID($A131,FIND(":",$A131)+2,LEN($A131)-FIND(":",$A131)+2),INDIRECT("'Annex 1 LV and HV charges"&amp;MID($A$2,FIND("_",$A$2),2)&amp;"'!$A$10:$A$51"),0),MATCH(D$13,$A$13:$J$13,0))-D131),"")</f>
        <v/>
      </c>
      <c r="L131" s="328" t="str">
        <f ca="1">IFERROR(IF(#REF!="","",INDEX(INDIRECT("'Annex 1 LV and HV charges"&amp;MID($A$2,FIND("_",$A$2),2)&amp;"'!$A$10:$K$51"),MATCH(MID($A131,FIND(":",$A131)+2,LEN($A131)-FIND(":",$A131)+2),INDIRECT("'Annex 1 LV and HV charges"&amp;MID($A$2,FIND("_",$A$2),2)&amp;"'!$A$10:$A$51"),0),MATCH(E$13,$A$13:$J$13,0))-E131),"")</f>
        <v/>
      </c>
      <c r="M131" s="328" t="str">
        <f ca="1">IFERROR(IF(#REF!="","",INDEX(INDIRECT("'Annex 1 LV and HV charges"&amp;MID($A$2,FIND("_",$A$2),2)&amp;"'!$A$10:$K$51"),MATCH(MID($A131,FIND(":",$A131)+2,LEN($A131)-FIND(":",$A131)+2),INDIRECT("'Annex 1 LV and HV charges"&amp;MID($A$2,FIND("_",$A$2),2)&amp;"'!$A$10:$A$51"),0),MATCH(F$13,$A$13:$J$13,0))-F131),"")</f>
        <v/>
      </c>
      <c r="N131" s="328" t="str">
        <f ca="1">IFERROR(IF(#REF!="","",INDEX(INDIRECT("'Annex 1 LV and HV charges"&amp;MID($A$2,FIND("_",$A$2),2)&amp;"'!$A$10:$K$51"),MATCH(MID($A131,FIND(":",$A131)+2,LEN($A131)-FIND(":",$A131)+2),INDIRECT("'Annex 1 LV and HV charges"&amp;MID($A$2,FIND("_",$A$2),2)&amp;"'!$A$10:$A$51"),0),MATCH(G$13,$A$13:$J$13,0))-G131),"")</f>
        <v/>
      </c>
      <c r="O131" s="328" t="str">
        <f ca="1">IFERROR(IF(#REF!="","",INDEX(INDIRECT("'Annex 1 LV and HV charges"&amp;MID($A$2,FIND("_",$A$2),2)&amp;"'!$A$10:$K$51"),MATCH(MID($A131,FIND(":",$A131)+2,LEN($A131)-FIND(":",$A131)+2),INDIRECT("'Annex 1 LV and HV charges"&amp;MID($A$2,FIND("_",$A$2),2)&amp;"'!$A$10:$A$51"),0),MATCH(H$13,$A$13:$J$13,0))-H131),"")</f>
        <v/>
      </c>
      <c r="P131" s="328" t="str">
        <f ca="1">IFERROR(IF(#REF!="","",INDEX(INDIRECT("'Annex 1 LV and HV charges"&amp;MID($A$2,FIND("_",$A$2),2)&amp;"'!$A$10:$K$51"),MATCH(MID($A131,FIND(":",$A131)+2,LEN($A131)-FIND(":",$A131)+2),INDIRECT("'Annex 1 LV and HV charges"&amp;MID($A$2,FIND("_",$A$2),2)&amp;"'!$A$10:$A$51"),0),MATCH(I$13,$A$13:$J$13,0))-I131),"")</f>
        <v/>
      </c>
      <c r="Q131" s="328" t="str">
        <f ca="1">IFERROR(IF(#REF!="","",INDEX(INDIRECT("'Annex 1 LV and HV charges"&amp;MID($A$2,FIND("_",$A$2),2)&amp;"'!$A$10:$K$51"),MATCH(MID($A131,FIND(":",$A131)+2,LEN($A131)-FIND(":",$A131)+2),INDIRECT("'Annex 1 LV and HV charges"&amp;MID($A$2,FIND("_",$A$2),2)&amp;"'!$A$10:$A$51"),0),MATCH(J$13,$A$13:$J$13,0))-J131),"")</f>
        <v/>
      </c>
    </row>
    <row r="132" spans="1:17" ht="27" customHeight="1" x14ac:dyDescent="0.2">
      <c r="A132" s="324" t="s">
        <v>704</v>
      </c>
      <c r="B132" s="18"/>
      <c r="C132" s="327">
        <v>0</v>
      </c>
      <c r="D132" s="92">
        <v>0.33</v>
      </c>
      <c r="E132" s="93">
        <v>4.5999999999999999E-2</v>
      </c>
      <c r="F132" s="94" t="s">
        <v>840</v>
      </c>
      <c r="G132" s="319">
        <v>11.2</v>
      </c>
      <c r="H132" s="319">
        <v>1.79</v>
      </c>
      <c r="I132" s="322">
        <v>1.79</v>
      </c>
      <c r="J132" s="26">
        <v>1.7999999999999999E-2</v>
      </c>
      <c r="K132" s="328" t="str">
        <f ca="1">IFERROR(IF(#REF!="","",INDEX(INDIRECT("'Annex 1 LV and HV charges"&amp;MID($A$2,FIND("_",$A$2),2)&amp;"'!$A$10:$K$51"),MATCH(MID($A132,FIND(":",$A132)+2,LEN($A132)-FIND(":",$A132)+2),INDIRECT("'Annex 1 LV and HV charges"&amp;MID($A$2,FIND("_",$A$2),2)&amp;"'!$A$10:$A$51"),0),MATCH(D$13,$A$13:$J$13,0))-D132),"")</f>
        <v/>
      </c>
      <c r="L132" s="328" t="str">
        <f ca="1">IFERROR(IF(#REF!="","",INDEX(INDIRECT("'Annex 1 LV and HV charges"&amp;MID($A$2,FIND("_",$A$2),2)&amp;"'!$A$10:$K$51"),MATCH(MID($A132,FIND(":",$A132)+2,LEN($A132)-FIND(":",$A132)+2),INDIRECT("'Annex 1 LV and HV charges"&amp;MID($A$2,FIND("_",$A$2),2)&amp;"'!$A$10:$A$51"),0),MATCH(E$13,$A$13:$J$13,0))-E132),"")</f>
        <v/>
      </c>
      <c r="M132" s="328" t="str">
        <f ca="1">IFERROR(IF(#REF!="","",INDEX(INDIRECT("'Annex 1 LV and HV charges"&amp;MID($A$2,FIND("_",$A$2),2)&amp;"'!$A$10:$K$51"),MATCH(MID($A132,FIND(":",$A132)+2,LEN($A132)-FIND(":",$A132)+2),INDIRECT("'Annex 1 LV and HV charges"&amp;MID($A$2,FIND("_",$A$2),2)&amp;"'!$A$10:$A$51"),0),MATCH(F$13,$A$13:$J$13,0))-F132),"")</f>
        <v/>
      </c>
      <c r="N132" s="328" t="str">
        <f ca="1">IFERROR(IF(#REF!="","",INDEX(INDIRECT("'Annex 1 LV and HV charges"&amp;MID($A$2,FIND("_",$A$2),2)&amp;"'!$A$10:$K$51"),MATCH(MID($A132,FIND(":",$A132)+2,LEN($A132)-FIND(":",$A132)+2),INDIRECT("'Annex 1 LV and HV charges"&amp;MID($A$2,FIND("_",$A$2),2)&amp;"'!$A$10:$A$51"),0),MATCH(G$13,$A$13:$J$13,0))-G132),"")</f>
        <v/>
      </c>
      <c r="O132" s="328" t="str">
        <f ca="1">IFERROR(IF(#REF!="","",INDEX(INDIRECT("'Annex 1 LV and HV charges"&amp;MID($A$2,FIND("_",$A$2),2)&amp;"'!$A$10:$K$51"),MATCH(MID($A132,FIND(":",$A132)+2,LEN($A132)-FIND(":",$A132)+2),INDIRECT("'Annex 1 LV and HV charges"&amp;MID($A$2,FIND("_",$A$2),2)&amp;"'!$A$10:$A$51"),0),MATCH(H$13,$A$13:$J$13,0))-H132),"")</f>
        <v/>
      </c>
      <c r="P132" s="328" t="str">
        <f ca="1">IFERROR(IF(#REF!="","",INDEX(INDIRECT("'Annex 1 LV and HV charges"&amp;MID($A$2,FIND("_",$A$2),2)&amp;"'!$A$10:$K$51"),MATCH(MID($A132,FIND(":",$A132)+2,LEN($A132)-FIND(":",$A132)+2),INDIRECT("'Annex 1 LV and HV charges"&amp;MID($A$2,FIND("_",$A$2),2)&amp;"'!$A$10:$A$51"),0),MATCH(I$13,$A$13:$J$13,0))-I132),"")</f>
        <v/>
      </c>
      <c r="Q132" s="328" t="str">
        <f ca="1">IFERROR(IF(#REF!="","",INDEX(INDIRECT("'Annex 1 LV and HV charges"&amp;MID($A$2,FIND("_",$A$2),2)&amp;"'!$A$10:$K$51"),MATCH(MID($A132,FIND(":",$A132)+2,LEN($A132)-FIND(":",$A132)+2),INDIRECT("'Annex 1 LV and HV charges"&amp;MID($A$2,FIND("_",$A$2),2)&amp;"'!$A$10:$A$51"),0),MATCH(J$13,$A$13:$J$13,0))-J132),"")</f>
        <v/>
      </c>
    </row>
    <row r="133" spans="1:17" ht="27" customHeight="1" x14ac:dyDescent="0.2">
      <c r="A133" s="324" t="s">
        <v>705</v>
      </c>
      <c r="B133" s="18"/>
      <c r="C133" s="327">
        <v>0</v>
      </c>
      <c r="D133" s="92">
        <v>0.32</v>
      </c>
      <c r="E133" s="93">
        <v>3.5999999999999997E-2</v>
      </c>
      <c r="F133" s="94" t="s">
        <v>840</v>
      </c>
      <c r="G133" s="319">
        <v>11.2</v>
      </c>
      <c r="H133" s="319">
        <v>1.79</v>
      </c>
      <c r="I133" s="322">
        <v>1.79</v>
      </c>
      <c r="J133" s="26">
        <v>1.7999999999999999E-2</v>
      </c>
      <c r="K133" s="328" t="str">
        <f ca="1">IFERROR(IF(#REF!="","",INDEX(INDIRECT("'Annex 1 LV and HV charges"&amp;MID($A$2,FIND("_",$A$2),2)&amp;"'!$A$10:$K$51"),MATCH(MID($A133,FIND(":",$A133)+2,LEN($A133)-FIND(":",$A133)+2),INDIRECT("'Annex 1 LV and HV charges"&amp;MID($A$2,FIND("_",$A$2),2)&amp;"'!$A$10:$A$51"),0),MATCH(D$13,$A$13:$J$13,0))-D133),"")</f>
        <v/>
      </c>
      <c r="L133" s="328" t="str">
        <f ca="1">IFERROR(IF(#REF!="","",INDEX(INDIRECT("'Annex 1 LV and HV charges"&amp;MID($A$2,FIND("_",$A$2),2)&amp;"'!$A$10:$K$51"),MATCH(MID($A133,FIND(":",$A133)+2,LEN($A133)-FIND(":",$A133)+2),INDIRECT("'Annex 1 LV and HV charges"&amp;MID($A$2,FIND("_",$A$2),2)&amp;"'!$A$10:$A$51"),0),MATCH(E$13,$A$13:$J$13,0))-E133),"")</f>
        <v/>
      </c>
      <c r="M133" s="328" t="str">
        <f ca="1">IFERROR(IF(#REF!="","",INDEX(INDIRECT("'Annex 1 LV and HV charges"&amp;MID($A$2,FIND("_",$A$2),2)&amp;"'!$A$10:$K$51"),MATCH(MID($A133,FIND(":",$A133)+2,LEN($A133)-FIND(":",$A133)+2),INDIRECT("'Annex 1 LV and HV charges"&amp;MID($A$2,FIND("_",$A$2),2)&amp;"'!$A$10:$A$51"),0),MATCH(F$13,$A$13:$J$13,0))-F133),"")</f>
        <v/>
      </c>
      <c r="N133" s="328" t="str">
        <f ca="1">IFERROR(IF(#REF!="","",INDEX(INDIRECT("'Annex 1 LV and HV charges"&amp;MID($A$2,FIND("_",$A$2),2)&amp;"'!$A$10:$K$51"),MATCH(MID($A133,FIND(":",$A133)+2,LEN($A133)-FIND(":",$A133)+2),INDIRECT("'Annex 1 LV and HV charges"&amp;MID($A$2,FIND("_",$A$2),2)&amp;"'!$A$10:$A$51"),0),MATCH(G$13,$A$13:$J$13,0))-G133),"")</f>
        <v/>
      </c>
      <c r="O133" s="328" t="str">
        <f ca="1">IFERROR(IF(#REF!="","",INDEX(INDIRECT("'Annex 1 LV and HV charges"&amp;MID($A$2,FIND("_",$A$2),2)&amp;"'!$A$10:$K$51"),MATCH(MID($A133,FIND(":",$A133)+2,LEN($A133)-FIND(":",$A133)+2),INDIRECT("'Annex 1 LV and HV charges"&amp;MID($A$2,FIND("_",$A$2),2)&amp;"'!$A$10:$A$51"),0),MATCH(H$13,$A$13:$J$13,0))-H133),"")</f>
        <v/>
      </c>
      <c r="P133" s="328" t="str">
        <f ca="1">IFERROR(IF(#REF!="","",INDEX(INDIRECT("'Annex 1 LV and HV charges"&amp;MID($A$2,FIND("_",$A$2),2)&amp;"'!$A$10:$K$51"),MATCH(MID($A133,FIND(":",$A133)+2,LEN($A133)-FIND(":",$A133)+2),INDIRECT("'Annex 1 LV and HV charges"&amp;MID($A$2,FIND("_",$A$2),2)&amp;"'!$A$10:$A$51"),0),MATCH(I$13,$A$13:$J$13,0))-I133),"")</f>
        <v/>
      </c>
      <c r="Q133" s="328" t="str">
        <f ca="1">IFERROR(IF(#REF!="","",INDEX(INDIRECT("'Annex 1 LV and HV charges"&amp;MID($A$2,FIND("_",$A$2),2)&amp;"'!$A$10:$K$51"),MATCH(MID($A133,FIND(":",$A133)+2,LEN($A133)-FIND(":",$A133)+2),INDIRECT("'Annex 1 LV and HV charges"&amp;MID($A$2,FIND("_",$A$2),2)&amp;"'!$A$10:$A$51"),0),MATCH(J$13,$A$13:$J$13,0))-J133),"")</f>
        <v/>
      </c>
    </row>
    <row r="134" spans="1:17" ht="27" customHeight="1" x14ac:dyDescent="0.2">
      <c r="A134" s="324" t="s">
        <v>706</v>
      </c>
      <c r="B134" s="18"/>
      <c r="C134" s="327">
        <v>0</v>
      </c>
      <c r="D134" s="92">
        <v>0.31</v>
      </c>
      <c r="E134" s="93">
        <v>2.5999999999999999E-2</v>
      </c>
      <c r="F134" s="94" t="s">
        <v>840</v>
      </c>
      <c r="G134" s="319">
        <v>11.2</v>
      </c>
      <c r="H134" s="319">
        <v>1.79</v>
      </c>
      <c r="I134" s="322">
        <v>1.79</v>
      </c>
      <c r="J134" s="26">
        <v>1.7999999999999999E-2</v>
      </c>
      <c r="K134" s="328" t="str">
        <f ca="1">IFERROR(IF(#REF!="","",INDEX(INDIRECT("'Annex 1 LV and HV charges"&amp;MID($A$2,FIND("_",$A$2),2)&amp;"'!$A$10:$K$51"),MATCH(MID($A134,FIND(":",$A134)+2,LEN($A134)-FIND(":",$A134)+2),INDIRECT("'Annex 1 LV and HV charges"&amp;MID($A$2,FIND("_",$A$2),2)&amp;"'!$A$10:$A$51"),0),MATCH(D$13,$A$13:$J$13,0))-D134),"")</f>
        <v/>
      </c>
      <c r="L134" s="328" t="str">
        <f ca="1">IFERROR(IF(#REF!="","",INDEX(INDIRECT("'Annex 1 LV and HV charges"&amp;MID($A$2,FIND("_",$A$2),2)&amp;"'!$A$10:$K$51"),MATCH(MID($A134,FIND(":",$A134)+2,LEN($A134)-FIND(":",$A134)+2),INDIRECT("'Annex 1 LV and HV charges"&amp;MID($A$2,FIND("_",$A$2),2)&amp;"'!$A$10:$A$51"),0),MATCH(E$13,$A$13:$J$13,0))-E134),"")</f>
        <v/>
      </c>
      <c r="M134" s="328" t="str">
        <f ca="1">IFERROR(IF(#REF!="","",INDEX(INDIRECT("'Annex 1 LV and HV charges"&amp;MID($A$2,FIND("_",$A$2),2)&amp;"'!$A$10:$K$51"),MATCH(MID($A134,FIND(":",$A134)+2,LEN($A134)-FIND(":",$A134)+2),INDIRECT("'Annex 1 LV and HV charges"&amp;MID($A$2,FIND("_",$A$2),2)&amp;"'!$A$10:$A$51"),0),MATCH(F$13,$A$13:$J$13,0))-F134),"")</f>
        <v/>
      </c>
      <c r="N134" s="328" t="str">
        <f ca="1">IFERROR(IF(#REF!="","",INDEX(INDIRECT("'Annex 1 LV and HV charges"&amp;MID($A$2,FIND("_",$A$2),2)&amp;"'!$A$10:$K$51"),MATCH(MID($A134,FIND(":",$A134)+2,LEN($A134)-FIND(":",$A134)+2),INDIRECT("'Annex 1 LV and HV charges"&amp;MID($A$2,FIND("_",$A$2),2)&amp;"'!$A$10:$A$51"),0),MATCH(G$13,$A$13:$J$13,0))-G134),"")</f>
        <v/>
      </c>
      <c r="O134" s="328" t="str">
        <f ca="1">IFERROR(IF(#REF!="","",INDEX(INDIRECT("'Annex 1 LV and HV charges"&amp;MID($A$2,FIND("_",$A$2),2)&amp;"'!$A$10:$K$51"),MATCH(MID($A134,FIND(":",$A134)+2,LEN($A134)-FIND(":",$A134)+2),INDIRECT("'Annex 1 LV and HV charges"&amp;MID($A$2,FIND("_",$A$2),2)&amp;"'!$A$10:$A$51"),0),MATCH(H$13,$A$13:$J$13,0))-H134),"")</f>
        <v/>
      </c>
      <c r="P134" s="328" t="str">
        <f ca="1">IFERROR(IF(#REF!="","",INDEX(INDIRECT("'Annex 1 LV and HV charges"&amp;MID($A$2,FIND("_",$A$2),2)&amp;"'!$A$10:$K$51"),MATCH(MID($A134,FIND(":",$A134)+2,LEN($A134)-FIND(":",$A134)+2),INDIRECT("'Annex 1 LV and HV charges"&amp;MID($A$2,FIND("_",$A$2),2)&amp;"'!$A$10:$A$51"),0),MATCH(I$13,$A$13:$J$13,0))-I134),"")</f>
        <v/>
      </c>
      <c r="Q134" s="328" t="str">
        <f ca="1">IFERROR(IF(#REF!="","",INDEX(INDIRECT("'Annex 1 LV and HV charges"&amp;MID($A$2,FIND("_",$A$2),2)&amp;"'!$A$10:$K$51"),MATCH(MID($A134,FIND(":",$A134)+2,LEN($A134)-FIND(":",$A134)+2),INDIRECT("'Annex 1 LV and HV charges"&amp;MID($A$2,FIND("_",$A$2),2)&amp;"'!$A$10:$A$51"),0),MATCH(J$13,$A$13:$J$13,0))-J134),"")</f>
        <v/>
      </c>
    </row>
    <row r="135" spans="1:17" ht="27.75" customHeight="1" x14ac:dyDescent="0.2">
      <c r="A135" s="324" t="s">
        <v>707</v>
      </c>
      <c r="B135" s="18"/>
      <c r="C135" s="327">
        <v>0</v>
      </c>
      <c r="D135" s="92">
        <v>0.21299999999999999</v>
      </c>
      <c r="E135" s="93">
        <v>5.7000000000000002E-2</v>
      </c>
      <c r="F135" s="94">
        <v>3.5000000000000003E-2</v>
      </c>
      <c r="G135" s="319">
        <v>88.85</v>
      </c>
      <c r="H135" s="319">
        <v>2.17</v>
      </c>
      <c r="I135" s="322">
        <v>2.17</v>
      </c>
      <c r="J135" s="26">
        <v>1.0999999999999999E-2</v>
      </c>
      <c r="K135" s="328" t="str">
        <f ca="1">IFERROR(IF(#REF!="","",INDEX(INDIRECT("'Annex 1 LV and HV charges"&amp;MID($A$2,FIND("_",$A$2),2)&amp;"'!$A$10:$K$51"),MATCH(MID($A135,FIND(":",$A135)+2,LEN($A135)-FIND(":",$A135)+2),INDIRECT("'Annex 1 LV and HV charges"&amp;MID($A$2,FIND("_",$A$2),2)&amp;"'!$A$10:$A$51"),0),MATCH(D$13,$A$13:$J$13,0))-D135),"")</f>
        <v/>
      </c>
      <c r="L135" s="328" t="str">
        <f ca="1">IFERROR(IF(#REF!="","",INDEX(INDIRECT("'Annex 1 LV and HV charges"&amp;MID($A$2,FIND("_",$A$2),2)&amp;"'!$A$10:$K$51"),MATCH(MID($A135,FIND(":",$A135)+2,LEN($A135)-FIND(":",$A135)+2),INDIRECT("'Annex 1 LV and HV charges"&amp;MID($A$2,FIND("_",$A$2),2)&amp;"'!$A$10:$A$51"),0),MATCH(E$13,$A$13:$J$13,0))-E135),"")</f>
        <v/>
      </c>
      <c r="M135" s="328" t="str">
        <f ca="1">IFERROR(IF(#REF!="","",INDEX(INDIRECT("'Annex 1 LV and HV charges"&amp;MID($A$2,FIND("_",$A$2),2)&amp;"'!$A$10:$K$51"),MATCH(MID($A135,FIND(":",$A135)+2,LEN($A135)-FIND(":",$A135)+2),INDIRECT("'Annex 1 LV and HV charges"&amp;MID($A$2,FIND("_",$A$2),2)&amp;"'!$A$10:$A$51"),0),MATCH(F$13,$A$13:$J$13,0))-F135),"")</f>
        <v/>
      </c>
      <c r="N135" s="328" t="str">
        <f ca="1">IFERROR(IF(#REF!="","",INDEX(INDIRECT("'Annex 1 LV and HV charges"&amp;MID($A$2,FIND("_",$A$2),2)&amp;"'!$A$10:$K$51"),MATCH(MID($A135,FIND(":",$A135)+2,LEN($A135)-FIND(":",$A135)+2),INDIRECT("'Annex 1 LV and HV charges"&amp;MID($A$2,FIND("_",$A$2),2)&amp;"'!$A$10:$A$51"),0),MATCH(G$13,$A$13:$J$13,0))-G135),"")</f>
        <v/>
      </c>
      <c r="O135" s="328" t="str">
        <f ca="1">IFERROR(IF(#REF!="","",INDEX(INDIRECT("'Annex 1 LV and HV charges"&amp;MID($A$2,FIND("_",$A$2),2)&amp;"'!$A$10:$K$51"),MATCH(MID($A135,FIND(":",$A135)+2,LEN($A135)-FIND(":",$A135)+2),INDIRECT("'Annex 1 LV and HV charges"&amp;MID($A$2,FIND("_",$A$2),2)&amp;"'!$A$10:$A$51"),0),MATCH(H$13,$A$13:$J$13,0))-H135),"")</f>
        <v/>
      </c>
      <c r="P135" s="328" t="str">
        <f ca="1">IFERROR(IF(#REF!="","",INDEX(INDIRECT("'Annex 1 LV and HV charges"&amp;MID($A$2,FIND("_",$A$2),2)&amp;"'!$A$10:$K$51"),MATCH(MID($A135,FIND(":",$A135)+2,LEN($A135)-FIND(":",$A135)+2),INDIRECT("'Annex 1 LV and HV charges"&amp;MID($A$2,FIND("_",$A$2),2)&amp;"'!$A$10:$A$51"),0),MATCH(I$13,$A$13:$J$13,0))-I135),"")</f>
        <v/>
      </c>
      <c r="Q135" s="328" t="str">
        <f ca="1">IFERROR(IF(#REF!="","",INDEX(INDIRECT("'Annex 1 LV and HV charges"&amp;MID($A$2,FIND("_",$A$2),2)&amp;"'!$A$10:$K$51"),MATCH(MID($A135,FIND(":",$A135)+2,LEN($A135)-FIND(":",$A135)+2),INDIRECT("'Annex 1 LV and HV charges"&amp;MID($A$2,FIND("_",$A$2),2)&amp;"'!$A$10:$A$51"),0),MATCH(J$13,$A$13:$J$13,0))-J135),"")</f>
        <v/>
      </c>
    </row>
    <row r="136" spans="1:17" ht="27.75" customHeight="1" x14ac:dyDescent="0.2">
      <c r="A136" s="324" t="s">
        <v>708</v>
      </c>
      <c r="B136" s="25"/>
      <c r="C136" s="327">
        <v>0</v>
      </c>
      <c r="D136" s="92">
        <v>0.21299999999999999</v>
      </c>
      <c r="E136" s="93">
        <v>5.7000000000000002E-2</v>
      </c>
      <c r="F136" s="94">
        <v>3.5000000000000003E-2</v>
      </c>
      <c r="G136" s="319">
        <v>12.06</v>
      </c>
      <c r="H136" s="319">
        <v>2.17</v>
      </c>
      <c r="I136" s="322">
        <v>2.17</v>
      </c>
      <c r="J136" s="26">
        <v>1.0999999999999999E-2</v>
      </c>
      <c r="K136" s="328" t="str">
        <f ca="1">IFERROR(IF(#REF!="","",INDEX(INDIRECT("'Annex 1 LV and HV charges"&amp;MID($A$2,FIND("_",$A$2),2)&amp;"'!$A$10:$K$51"),MATCH(MID($A136,FIND(":",$A136)+2,LEN($A136)-FIND(":",$A136)+2),INDIRECT("'Annex 1 LV and HV charges"&amp;MID($A$2,FIND("_",$A$2),2)&amp;"'!$A$10:$A$51"),0),MATCH(D$13,$A$13:$J$13,0))-D136),"")</f>
        <v/>
      </c>
      <c r="L136" s="328" t="str">
        <f ca="1">IFERROR(IF(#REF!="","",INDEX(INDIRECT("'Annex 1 LV and HV charges"&amp;MID($A$2,FIND("_",$A$2),2)&amp;"'!$A$10:$K$51"),MATCH(MID($A136,FIND(":",$A136)+2,LEN($A136)-FIND(":",$A136)+2),INDIRECT("'Annex 1 LV and HV charges"&amp;MID($A$2,FIND("_",$A$2),2)&amp;"'!$A$10:$A$51"),0),MATCH(E$13,$A$13:$J$13,0))-E136),"")</f>
        <v/>
      </c>
      <c r="M136" s="328" t="str">
        <f ca="1">IFERROR(IF(#REF!="","",INDEX(INDIRECT("'Annex 1 LV and HV charges"&amp;MID($A$2,FIND("_",$A$2),2)&amp;"'!$A$10:$K$51"),MATCH(MID($A136,FIND(":",$A136)+2,LEN($A136)-FIND(":",$A136)+2),INDIRECT("'Annex 1 LV and HV charges"&amp;MID($A$2,FIND("_",$A$2),2)&amp;"'!$A$10:$A$51"),0),MATCH(F$13,$A$13:$J$13,0))-F136),"")</f>
        <v/>
      </c>
      <c r="N136" s="328" t="str">
        <f ca="1">IFERROR(IF(#REF!="","",INDEX(INDIRECT("'Annex 1 LV and HV charges"&amp;MID($A$2,FIND("_",$A$2),2)&amp;"'!$A$10:$K$51"),MATCH(MID($A136,FIND(":",$A136)+2,LEN($A136)-FIND(":",$A136)+2),INDIRECT("'Annex 1 LV and HV charges"&amp;MID($A$2,FIND("_",$A$2),2)&amp;"'!$A$10:$A$51"),0),MATCH(G$13,$A$13:$J$13,0))-G136),"")</f>
        <v/>
      </c>
      <c r="O136" s="328" t="str">
        <f ca="1">IFERROR(IF(#REF!="","",INDEX(INDIRECT("'Annex 1 LV and HV charges"&amp;MID($A$2,FIND("_",$A$2),2)&amp;"'!$A$10:$K$51"),MATCH(MID($A136,FIND(":",$A136)+2,LEN($A136)-FIND(":",$A136)+2),INDIRECT("'Annex 1 LV and HV charges"&amp;MID($A$2,FIND("_",$A$2),2)&amp;"'!$A$10:$A$51"),0),MATCH(H$13,$A$13:$J$13,0))-H136),"")</f>
        <v/>
      </c>
      <c r="P136" s="328" t="str">
        <f ca="1">IFERROR(IF(#REF!="","",INDEX(INDIRECT("'Annex 1 LV and HV charges"&amp;MID($A$2,FIND("_",$A$2),2)&amp;"'!$A$10:$K$51"),MATCH(MID($A136,FIND(":",$A136)+2,LEN($A136)-FIND(":",$A136)+2),INDIRECT("'Annex 1 LV and HV charges"&amp;MID($A$2,FIND("_",$A$2),2)&amp;"'!$A$10:$A$51"),0),MATCH(I$13,$A$13:$J$13,0))-I136),"")</f>
        <v/>
      </c>
      <c r="Q136" s="328" t="str">
        <f ca="1">IFERROR(IF(#REF!="","",INDEX(INDIRECT("'Annex 1 LV and HV charges"&amp;MID($A$2,FIND("_",$A$2),2)&amp;"'!$A$10:$K$51"),MATCH(MID($A136,FIND(":",$A136)+2,LEN($A136)-FIND(":",$A136)+2),INDIRECT("'Annex 1 LV and HV charges"&amp;MID($A$2,FIND("_",$A$2),2)&amp;"'!$A$10:$A$51"),0),MATCH(J$13,$A$13:$J$13,0))-J136),"")</f>
        <v/>
      </c>
    </row>
    <row r="137" spans="1:17" ht="27.75" customHeight="1" x14ac:dyDescent="0.2">
      <c r="A137" s="324" t="s">
        <v>709</v>
      </c>
      <c r="B137" s="18"/>
      <c r="C137" s="327">
        <v>0</v>
      </c>
      <c r="D137" s="92">
        <v>0.158</v>
      </c>
      <c r="E137" s="93">
        <v>2E-3</v>
      </c>
      <c r="F137" s="94" t="s">
        <v>840</v>
      </c>
      <c r="G137" s="319" t="s">
        <v>840</v>
      </c>
      <c r="H137" s="319">
        <v>2.17</v>
      </c>
      <c r="I137" s="322">
        <v>2.17</v>
      </c>
      <c r="J137" s="26">
        <v>1.0999999999999999E-2</v>
      </c>
      <c r="K137" s="328" t="str">
        <f ca="1">IFERROR(IF(#REF!="","",INDEX(INDIRECT("'Annex 1 LV and HV charges"&amp;MID($A$2,FIND("_",$A$2),2)&amp;"'!$A$10:$K$51"),MATCH(MID($A137,FIND(":",$A137)+2,LEN($A137)-FIND(":",$A137)+2),INDIRECT("'Annex 1 LV and HV charges"&amp;MID($A$2,FIND("_",$A$2),2)&amp;"'!$A$10:$A$51"),0),MATCH(D$13,$A$13:$J$13,0))-D137),"")</f>
        <v/>
      </c>
      <c r="L137" s="328" t="str">
        <f ca="1">IFERROR(IF(#REF!="","",INDEX(INDIRECT("'Annex 1 LV and HV charges"&amp;MID($A$2,FIND("_",$A$2),2)&amp;"'!$A$10:$K$51"),MATCH(MID($A137,FIND(":",$A137)+2,LEN($A137)-FIND(":",$A137)+2),INDIRECT("'Annex 1 LV and HV charges"&amp;MID($A$2,FIND("_",$A$2),2)&amp;"'!$A$10:$A$51"),0),MATCH(E$13,$A$13:$J$13,0))-E137),"")</f>
        <v/>
      </c>
      <c r="M137" s="328" t="str">
        <f ca="1">IFERROR(IF(#REF!="","",INDEX(INDIRECT("'Annex 1 LV and HV charges"&amp;MID($A$2,FIND("_",$A$2),2)&amp;"'!$A$10:$K$51"),MATCH(MID($A137,FIND(":",$A137)+2,LEN($A137)-FIND(":",$A137)+2),INDIRECT("'Annex 1 LV and HV charges"&amp;MID($A$2,FIND("_",$A$2),2)&amp;"'!$A$10:$A$51"),0),MATCH(F$13,$A$13:$J$13,0))-F137),"")</f>
        <v/>
      </c>
      <c r="N137" s="328" t="str">
        <f ca="1">IFERROR(IF(#REF!="","",INDEX(INDIRECT("'Annex 1 LV and HV charges"&amp;MID($A$2,FIND("_",$A$2),2)&amp;"'!$A$10:$K$51"),MATCH(MID($A137,FIND(":",$A137)+2,LEN($A137)-FIND(":",$A137)+2),INDIRECT("'Annex 1 LV and HV charges"&amp;MID($A$2,FIND("_",$A$2),2)&amp;"'!$A$10:$A$51"),0),MATCH(G$13,$A$13:$J$13,0))-G137),"")</f>
        <v/>
      </c>
      <c r="O137" s="328" t="str">
        <f ca="1">IFERROR(IF(#REF!="","",INDEX(INDIRECT("'Annex 1 LV and HV charges"&amp;MID($A$2,FIND("_",$A$2),2)&amp;"'!$A$10:$K$51"),MATCH(MID($A137,FIND(":",$A137)+2,LEN($A137)-FIND(":",$A137)+2),INDIRECT("'Annex 1 LV and HV charges"&amp;MID($A$2,FIND("_",$A$2),2)&amp;"'!$A$10:$A$51"),0),MATCH(H$13,$A$13:$J$13,0))-H137),"")</f>
        <v/>
      </c>
      <c r="P137" s="328" t="str">
        <f ca="1">IFERROR(IF(#REF!="","",INDEX(INDIRECT("'Annex 1 LV and HV charges"&amp;MID($A$2,FIND("_",$A$2),2)&amp;"'!$A$10:$K$51"),MATCH(MID($A137,FIND(":",$A137)+2,LEN($A137)-FIND(":",$A137)+2),INDIRECT("'Annex 1 LV and HV charges"&amp;MID($A$2,FIND("_",$A$2),2)&amp;"'!$A$10:$A$51"),0),MATCH(I$13,$A$13:$J$13,0))-I137),"")</f>
        <v/>
      </c>
      <c r="Q137" s="328" t="str">
        <f ca="1">IFERROR(IF(#REF!="","",INDEX(INDIRECT("'Annex 1 LV and HV charges"&amp;MID($A$2,FIND("_",$A$2),2)&amp;"'!$A$10:$K$51"),MATCH(MID($A137,FIND(":",$A137)+2,LEN($A137)-FIND(":",$A137)+2),INDIRECT("'Annex 1 LV and HV charges"&amp;MID($A$2,FIND("_",$A$2),2)&amp;"'!$A$10:$A$51"),0),MATCH(J$13,$A$13:$J$13,0))-J137),"")</f>
        <v/>
      </c>
    </row>
    <row r="138" spans="1:17" ht="27.75" customHeight="1" x14ac:dyDescent="0.2">
      <c r="A138" s="324" t="s">
        <v>710</v>
      </c>
      <c r="B138" s="18"/>
      <c r="C138" s="327">
        <v>0</v>
      </c>
      <c r="D138" s="92">
        <v>7.0999999999999994E-2</v>
      </c>
      <c r="E138" s="93" t="s">
        <v>840</v>
      </c>
      <c r="F138" s="94" t="s">
        <v>840</v>
      </c>
      <c r="G138" s="319" t="s">
        <v>840</v>
      </c>
      <c r="H138" s="319">
        <v>2.17</v>
      </c>
      <c r="I138" s="322">
        <v>2.17</v>
      </c>
      <c r="J138" s="26">
        <v>1.0999999999999999E-2</v>
      </c>
      <c r="K138" s="328" t="str">
        <f ca="1">IFERROR(IF(#REF!="","",INDEX(INDIRECT("'Annex 1 LV and HV charges"&amp;MID($A$2,FIND("_",$A$2),2)&amp;"'!$A$10:$K$51"),MATCH(MID($A138,FIND(":",$A138)+2,LEN($A138)-FIND(":",$A138)+2),INDIRECT("'Annex 1 LV and HV charges"&amp;MID($A$2,FIND("_",$A$2),2)&amp;"'!$A$10:$A$51"),0),MATCH(D$13,$A$13:$J$13,0))-D138),"")</f>
        <v/>
      </c>
      <c r="L138" s="328" t="str">
        <f ca="1">IFERROR(IF(#REF!="","",INDEX(INDIRECT("'Annex 1 LV and HV charges"&amp;MID($A$2,FIND("_",$A$2),2)&amp;"'!$A$10:$K$51"),MATCH(MID($A138,FIND(":",$A138)+2,LEN($A138)-FIND(":",$A138)+2),INDIRECT("'Annex 1 LV and HV charges"&amp;MID($A$2,FIND("_",$A$2),2)&amp;"'!$A$10:$A$51"),0),MATCH(E$13,$A$13:$J$13,0))-E138),"")</f>
        <v/>
      </c>
      <c r="M138" s="328" t="str">
        <f ca="1">IFERROR(IF(#REF!="","",INDEX(INDIRECT("'Annex 1 LV and HV charges"&amp;MID($A$2,FIND("_",$A$2),2)&amp;"'!$A$10:$K$51"),MATCH(MID($A138,FIND(":",$A138)+2,LEN($A138)-FIND(":",$A138)+2),INDIRECT("'Annex 1 LV and HV charges"&amp;MID($A$2,FIND("_",$A$2),2)&amp;"'!$A$10:$A$51"),0),MATCH(F$13,$A$13:$J$13,0))-F138),"")</f>
        <v/>
      </c>
      <c r="N138" s="328" t="str">
        <f ca="1">IFERROR(IF(#REF!="","",INDEX(INDIRECT("'Annex 1 LV and HV charges"&amp;MID($A$2,FIND("_",$A$2),2)&amp;"'!$A$10:$K$51"),MATCH(MID($A138,FIND(":",$A138)+2,LEN($A138)-FIND(":",$A138)+2),INDIRECT("'Annex 1 LV and HV charges"&amp;MID($A$2,FIND("_",$A$2),2)&amp;"'!$A$10:$A$51"),0),MATCH(G$13,$A$13:$J$13,0))-G138),"")</f>
        <v/>
      </c>
      <c r="O138" s="328" t="str">
        <f ca="1">IFERROR(IF(#REF!="","",INDEX(INDIRECT("'Annex 1 LV and HV charges"&amp;MID($A$2,FIND("_",$A$2),2)&amp;"'!$A$10:$K$51"),MATCH(MID($A138,FIND(":",$A138)+2,LEN($A138)-FIND(":",$A138)+2),INDIRECT("'Annex 1 LV and HV charges"&amp;MID($A$2,FIND("_",$A$2),2)&amp;"'!$A$10:$A$51"),0),MATCH(H$13,$A$13:$J$13,0))-H138),"")</f>
        <v/>
      </c>
      <c r="P138" s="328" t="str">
        <f ca="1">IFERROR(IF(#REF!="","",INDEX(INDIRECT("'Annex 1 LV and HV charges"&amp;MID($A$2,FIND("_",$A$2),2)&amp;"'!$A$10:$K$51"),MATCH(MID($A138,FIND(":",$A138)+2,LEN($A138)-FIND(":",$A138)+2),INDIRECT("'Annex 1 LV and HV charges"&amp;MID($A$2,FIND("_",$A$2),2)&amp;"'!$A$10:$A$51"),0),MATCH(I$13,$A$13:$J$13,0))-I138),"")</f>
        <v/>
      </c>
      <c r="Q138" s="328" t="str">
        <f ca="1">IFERROR(IF(#REF!="","",INDEX(INDIRECT("'Annex 1 LV and HV charges"&amp;MID($A$2,FIND("_",$A$2),2)&amp;"'!$A$10:$K$51"),MATCH(MID($A138,FIND(":",$A138)+2,LEN($A138)-FIND(":",$A138)+2),INDIRECT("'Annex 1 LV and HV charges"&amp;MID($A$2,FIND("_",$A$2),2)&amp;"'!$A$10:$A$51"),0),MATCH(J$13,$A$13:$J$13,0))-J138),"")</f>
        <v/>
      </c>
    </row>
    <row r="139" spans="1:17" ht="27.75" customHeight="1" x14ac:dyDescent="0.2">
      <c r="A139" s="324" t="s">
        <v>711</v>
      </c>
      <c r="B139" s="18"/>
      <c r="C139" s="327">
        <v>0</v>
      </c>
      <c r="D139" s="92" t="s">
        <v>840</v>
      </c>
      <c r="E139" s="93" t="s">
        <v>840</v>
      </c>
      <c r="F139" s="94" t="s">
        <v>840</v>
      </c>
      <c r="G139" s="319" t="s">
        <v>840</v>
      </c>
      <c r="H139" s="319">
        <v>2.17</v>
      </c>
      <c r="I139" s="322">
        <v>2.17</v>
      </c>
      <c r="J139" s="26">
        <v>1.0999999999999999E-2</v>
      </c>
      <c r="K139" s="328" t="str">
        <f ca="1">IFERROR(IF(#REF!="","",INDEX(INDIRECT("'Annex 1 LV and HV charges"&amp;MID($A$2,FIND("_",$A$2),2)&amp;"'!$A$10:$K$51"),MATCH(MID($A139,FIND(":",$A139)+2,LEN($A139)-FIND(":",$A139)+2),INDIRECT("'Annex 1 LV and HV charges"&amp;MID($A$2,FIND("_",$A$2),2)&amp;"'!$A$10:$A$51"),0),MATCH(D$13,$A$13:$J$13,0))-D139),"")</f>
        <v/>
      </c>
      <c r="L139" s="328" t="str">
        <f ca="1">IFERROR(IF(#REF!="","",INDEX(INDIRECT("'Annex 1 LV and HV charges"&amp;MID($A$2,FIND("_",$A$2),2)&amp;"'!$A$10:$K$51"),MATCH(MID($A139,FIND(":",$A139)+2,LEN($A139)-FIND(":",$A139)+2),INDIRECT("'Annex 1 LV and HV charges"&amp;MID($A$2,FIND("_",$A$2),2)&amp;"'!$A$10:$A$51"),0),MATCH(E$13,$A$13:$J$13,0))-E139),"")</f>
        <v/>
      </c>
      <c r="M139" s="328" t="str">
        <f ca="1">IFERROR(IF(#REF!="","",INDEX(INDIRECT("'Annex 1 LV and HV charges"&amp;MID($A$2,FIND("_",$A$2),2)&amp;"'!$A$10:$K$51"),MATCH(MID($A139,FIND(":",$A139)+2,LEN($A139)-FIND(":",$A139)+2),INDIRECT("'Annex 1 LV and HV charges"&amp;MID($A$2,FIND("_",$A$2),2)&amp;"'!$A$10:$A$51"),0),MATCH(F$13,$A$13:$J$13,0))-F139),"")</f>
        <v/>
      </c>
      <c r="N139" s="328" t="str">
        <f ca="1">IFERROR(IF(#REF!="","",INDEX(INDIRECT("'Annex 1 LV and HV charges"&amp;MID($A$2,FIND("_",$A$2),2)&amp;"'!$A$10:$K$51"),MATCH(MID($A139,FIND(":",$A139)+2,LEN($A139)-FIND(":",$A139)+2),INDIRECT("'Annex 1 LV and HV charges"&amp;MID($A$2,FIND("_",$A$2),2)&amp;"'!$A$10:$A$51"),0),MATCH(G$13,$A$13:$J$13,0))-G139),"")</f>
        <v/>
      </c>
      <c r="O139" s="328" t="str">
        <f ca="1">IFERROR(IF(#REF!="","",INDEX(INDIRECT("'Annex 1 LV and HV charges"&amp;MID($A$2,FIND("_",$A$2),2)&amp;"'!$A$10:$K$51"),MATCH(MID($A139,FIND(":",$A139)+2,LEN($A139)-FIND(":",$A139)+2),INDIRECT("'Annex 1 LV and HV charges"&amp;MID($A$2,FIND("_",$A$2),2)&amp;"'!$A$10:$A$51"),0),MATCH(H$13,$A$13:$J$13,0))-H139),"")</f>
        <v/>
      </c>
      <c r="P139" s="328" t="str">
        <f ca="1">IFERROR(IF(#REF!="","",INDEX(INDIRECT("'Annex 1 LV and HV charges"&amp;MID($A$2,FIND("_",$A$2),2)&amp;"'!$A$10:$K$51"),MATCH(MID($A139,FIND(":",$A139)+2,LEN($A139)-FIND(":",$A139)+2),INDIRECT("'Annex 1 LV and HV charges"&amp;MID($A$2,FIND("_",$A$2),2)&amp;"'!$A$10:$A$51"),0),MATCH(I$13,$A$13:$J$13,0))-I139),"")</f>
        <v/>
      </c>
      <c r="Q139" s="328" t="str">
        <f ca="1">IFERROR(IF(#REF!="","",INDEX(INDIRECT("'Annex 1 LV and HV charges"&amp;MID($A$2,FIND("_",$A$2),2)&amp;"'!$A$10:$K$51"),MATCH(MID($A139,FIND(":",$A139)+2,LEN($A139)-FIND(":",$A139)+2),INDIRECT("'Annex 1 LV and HV charges"&amp;MID($A$2,FIND("_",$A$2),2)&amp;"'!$A$10:$A$51"),0),MATCH(J$13,$A$13:$J$13,0))-J139),"")</f>
        <v/>
      </c>
    </row>
    <row r="140" spans="1:17" ht="27.75" customHeight="1" x14ac:dyDescent="0.2">
      <c r="A140" s="324" t="s">
        <v>589</v>
      </c>
      <c r="B140" s="25"/>
      <c r="C140" s="327" t="s">
        <v>847</v>
      </c>
      <c r="D140" s="95">
        <v>1.958</v>
      </c>
      <c r="E140" s="96">
        <v>0.63500000000000001</v>
      </c>
      <c r="F140" s="94">
        <v>0.48499999999999999</v>
      </c>
      <c r="G140" s="320" t="s">
        <v>840</v>
      </c>
      <c r="H140" s="320" t="s">
        <v>840</v>
      </c>
      <c r="I140" s="321" t="s">
        <v>840</v>
      </c>
      <c r="J140" s="27" t="s">
        <v>840</v>
      </c>
      <c r="K140" s="328" t="str">
        <f ca="1">IFERROR(IF(#REF!="","",INDEX(INDIRECT("'Annex 1 LV and HV charges"&amp;MID($A$2,FIND("_",$A$2),2)&amp;"'!$A$10:$K$51"),MATCH(MID($A140,FIND(":",$A140)+2,LEN($A140)-FIND(":",$A140)+2),INDIRECT("'Annex 1 LV and HV charges"&amp;MID($A$2,FIND("_",$A$2),2)&amp;"'!$A$10:$A$51"),0),MATCH(D$13,$A$13:$J$13,0))-D140),"")</f>
        <v/>
      </c>
      <c r="L140" s="328" t="str">
        <f ca="1">IFERROR(IF(#REF!="","",INDEX(INDIRECT("'Annex 1 LV and HV charges"&amp;MID($A$2,FIND("_",$A$2),2)&amp;"'!$A$10:$K$51"),MATCH(MID($A140,FIND(":",$A140)+2,LEN($A140)-FIND(":",$A140)+2),INDIRECT("'Annex 1 LV and HV charges"&amp;MID($A$2,FIND("_",$A$2),2)&amp;"'!$A$10:$A$51"),0),MATCH(E$13,$A$13:$J$13,0))-E140),"")</f>
        <v/>
      </c>
      <c r="M140" s="328" t="str">
        <f ca="1">IFERROR(IF(#REF!="","",INDEX(INDIRECT("'Annex 1 LV and HV charges"&amp;MID($A$2,FIND("_",$A$2),2)&amp;"'!$A$10:$K$51"),MATCH(MID($A140,FIND(":",$A140)+2,LEN($A140)-FIND(":",$A140)+2),INDIRECT("'Annex 1 LV and HV charges"&amp;MID($A$2,FIND("_",$A$2),2)&amp;"'!$A$10:$A$51"),0),MATCH(F$13,$A$13:$J$13,0))-F140),"")</f>
        <v/>
      </c>
      <c r="N140" s="328" t="str">
        <f ca="1">IFERROR(IF(#REF!="","",INDEX(INDIRECT("'Annex 1 LV and HV charges"&amp;MID($A$2,FIND("_",$A$2),2)&amp;"'!$A$10:$K$51"),MATCH(MID($A140,FIND(":",$A140)+2,LEN($A140)-FIND(":",$A140)+2),INDIRECT("'Annex 1 LV and HV charges"&amp;MID($A$2,FIND("_",$A$2),2)&amp;"'!$A$10:$A$51"),0),MATCH(G$13,$A$13:$J$13,0))-G140),"")</f>
        <v/>
      </c>
      <c r="O140" s="328" t="str">
        <f ca="1">IFERROR(IF(#REF!="","",INDEX(INDIRECT("'Annex 1 LV and HV charges"&amp;MID($A$2,FIND("_",$A$2),2)&amp;"'!$A$10:$K$51"),MATCH(MID($A140,FIND(":",$A140)+2,LEN($A140)-FIND(":",$A140)+2),INDIRECT("'Annex 1 LV and HV charges"&amp;MID($A$2,FIND("_",$A$2),2)&amp;"'!$A$10:$A$51"),0),MATCH(H$13,$A$13:$J$13,0))-H140),"")</f>
        <v/>
      </c>
      <c r="P140" s="328" t="str">
        <f ca="1">IFERROR(IF(#REF!="","",INDEX(INDIRECT("'Annex 1 LV and HV charges"&amp;MID($A$2,FIND("_",$A$2),2)&amp;"'!$A$10:$K$51"),MATCH(MID($A140,FIND(":",$A140)+2,LEN($A140)-FIND(":",$A140)+2),INDIRECT("'Annex 1 LV and HV charges"&amp;MID($A$2,FIND("_",$A$2),2)&amp;"'!$A$10:$A$51"),0),MATCH(I$13,$A$13:$J$13,0))-I140),"")</f>
        <v/>
      </c>
      <c r="Q140" s="328" t="str">
        <f ca="1">IFERROR(IF(#REF!="","",INDEX(INDIRECT("'Annex 1 LV and HV charges"&amp;MID($A$2,FIND("_",$A$2),2)&amp;"'!$A$10:$K$51"),MATCH(MID($A140,FIND(":",$A140)+2,LEN($A140)-FIND(":",$A140)+2),INDIRECT("'Annex 1 LV and HV charges"&amp;MID($A$2,FIND("_",$A$2),2)&amp;"'!$A$10:$A$51"),0),MATCH(J$13,$A$13:$J$13,0))-J140),"")</f>
        <v/>
      </c>
    </row>
    <row r="141" spans="1:17" ht="27.75" customHeight="1" x14ac:dyDescent="0.2">
      <c r="A141" s="324" t="s">
        <v>627</v>
      </c>
      <c r="B141" s="25"/>
      <c r="C141" s="327" t="s">
        <v>2118</v>
      </c>
      <c r="D141" s="92">
        <v>-0.83799999999999997</v>
      </c>
      <c r="E141" s="93">
        <v>-0.29199999999999998</v>
      </c>
      <c r="F141" s="94">
        <v>-6.3E-2</v>
      </c>
      <c r="G141" s="319" t="s">
        <v>840</v>
      </c>
      <c r="H141" s="320" t="s">
        <v>840</v>
      </c>
      <c r="I141" s="321" t="s">
        <v>840</v>
      </c>
      <c r="J141" s="27" t="s">
        <v>840</v>
      </c>
      <c r="K141" s="328" t="str">
        <f ca="1">IFERROR(IF(#REF!="","",INDEX(INDIRECT("'Annex 1 LV and HV charges"&amp;MID($A$2,FIND("_",$A$2),2)&amp;"'!$A$10:$K$51"),MATCH(MID($A141,FIND(":",$A141)+2,LEN($A141)-FIND(":",$A141)+2),INDIRECT("'Annex 1 LV and HV charges"&amp;MID($A$2,FIND("_",$A$2),2)&amp;"'!$A$10:$A$51"),0),MATCH(D$13,$A$13:$J$13,0))-D141),"")</f>
        <v/>
      </c>
      <c r="L141" s="328" t="str">
        <f ca="1">IFERROR(IF(#REF!="","",INDEX(INDIRECT("'Annex 1 LV and HV charges"&amp;MID($A$2,FIND("_",$A$2),2)&amp;"'!$A$10:$K$51"),MATCH(MID($A141,FIND(":",$A141)+2,LEN($A141)-FIND(":",$A141)+2),INDIRECT("'Annex 1 LV and HV charges"&amp;MID($A$2,FIND("_",$A$2),2)&amp;"'!$A$10:$A$51"),0),MATCH(E$13,$A$13:$J$13,0))-E141),"")</f>
        <v/>
      </c>
      <c r="M141" s="328" t="str">
        <f ca="1">IFERROR(IF(#REF!="","",INDEX(INDIRECT("'Annex 1 LV and HV charges"&amp;MID($A$2,FIND("_",$A$2),2)&amp;"'!$A$10:$K$51"),MATCH(MID($A141,FIND(":",$A141)+2,LEN($A141)-FIND(":",$A141)+2),INDIRECT("'Annex 1 LV and HV charges"&amp;MID($A$2,FIND("_",$A$2),2)&amp;"'!$A$10:$A$51"),0),MATCH(F$13,$A$13:$J$13,0))-F141),"")</f>
        <v/>
      </c>
      <c r="N141" s="328" t="str">
        <f ca="1">IFERROR(IF(#REF!="","",INDEX(INDIRECT("'Annex 1 LV and HV charges"&amp;MID($A$2,FIND("_",$A$2),2)&amp;"'!$A$10:$K$51"),MATCH(MID($A141,FIND(":",$A141)+2,LEN($A141)-FIND(":",$A141)+2),INDIRECT("'Annex 1 LV and HV charges"&amp;MID($A$2,FIND("_",$A$2),2)&amp;"'!$A$10:$A$51"),0),MATCH(G$13,$A$13:$J$13,0))-G141),"")</f>
        <v/>
      </c>
      <c r="O141" s="328" t="str">
        <f ca="1">IFERROR(IF(#REF!="","",INDEX(INDIRECT("'Annex 1 LV and HV charges"&amp;MID($A$2,FIND("_",$A$2),2)&amp;"'!$A$10:$K$51"),MATCH(MID($A141,FIND(":",$A141)+2,LEN($A141)-FIND(":",$A141)+2),INDIRECT("'Annex 1 LV and HV charges"&amp;MID($A$2,FIND("_",$A$2),2)&amp;"'!$A$10:$A$51"),0),MATCH(H$13,$A$13:$J$13,0))-H141),"")</f>
        <v/>
      </c>
      <c r="P141" s="328" t="str">
        <f ca="1">IFERROR(IF(#REF!="","",INDEX(INDIRECT("'Annex 1 LV and HV charges"&amp;MID($A$2,FIND("_",$A$2),2)&amp;"'!$A$10:$K$51"),MATCH(MID($A141,FIND(":",$A141)+2,LEN($A141)-FIND(":",$A141)+2),INDIRECT("'Annex 1 LV and HV charges"&amp;MID($A$2,FIND("_",$A$2),2)&amp;"'!$A$10:$A$51"),0),MATCH(I$13,$A$13:$J$13,0))-I141),"")</f>
        <v/>
      </c>
      <c r="Q141" s="328" t="str">
        <f ca="1">IFERROR(IF(#REF!="","",INDEX(INDIRECT("'Annex 1 LV and HV charges"&amp;MID($A$2,FIND("_",$A$2),2)&amp;"'!$A$10:$K$51"),MATCH(MID($A141,FIND(":",$A141)+2,LEN($A141)-FIND(":",$A141)+2),INDIRECT("'Annex 1 LV and HV charges"&amp;MID($A$2,FIND("_",$A$2),2)&amp;"'!$A$10:$A$51"),0),MATCH(J$13,$A$13:$J$13,0))-J141),"")</f>
        <v/>
      </c>
    </row>
    <row r="142" spans="1:17" ht="27.75" customHeight="1" x14ac:dyDescent="0.2">
      <c r="A142" s="324" t="s">
        <v>628</v>
      </c>
      <c r="B142" s="323"/>
      <c r="C142" s="327" t="s">
        <v>2118</v>
      </c>
      <c r="D142" s="92">
        <v>-0.78600000000000003</v>
      </c>
      <c r="E142" s="93">
        <v>-0.26700000000000002</v>
      </c>
      <c r="F142" s="94">
        <v>-6.0999999999999999E-2</v>
      </c>
      <c r="G142" s="319" t="s">
        <v>840</v>
      </c>
      <c r="H142" s="320" t="s">
        <v>840</v>
      </c>
      <c r="I142" s="321" t="s">
        <v>840</v>
      </c>
      <c r="J142" s="27" t="s">
        <v>840</v>
      </c>
      <c r="K142" s="328" t="str">
        <f ca="1">IFERROR(IF(#REF!="","",INDEX(INDIRECT("'Annex 1 LV and HV charges"&amp;MID($A$2,FIND("_",$A$2),2)&amp;"'!$A$10:$K$51"),MATCH(MID($A142,FIND(":",$A142)+2,LEN($A142)-FIND(":",$A142)+2),INDIRECT("'Annex 1 LV and HV charges"&amp;MID($A$2,FIND("_",$A$2),2)&amp;"'!$A$10:$A$51"),0),MATCH(D$13,$A$13:$J$13,0))-D142),"")</f>
        <v/>
      </c>
      <c r="L142" s="328" t="str">
        <f ca="1">IFERROR(IF(#REF!="","",INDEX(INDIRECT("'Annex 1 LV and HV charges"&amp;MID($A$2,FIND("_",$A$2),2)&amp;"'!$A$10:$K$51"),MATCH(MID($A142,FIND(":",$A142)+2,LEN($A142)-FIND(":",$A142)+2),INDIRECT("'Annex 1 LV and HV charges"&amp;MID($A$2,FIND("_",$A$2),2)&amp;"'!$A$10:$A$51"),0),MATCH(E$13,$A$13:$J$13,0))-E142),"")</f>
        <v/>
      </c>
      <c r="M142" s="328" t="str">
        <f ca="1">IFERROR(IF(#REF!="","",INDEX(INDIRECT("'Annex 1 LV and HV charges"&amp;MID($A$2,FIND("_",$A$2),2)&amp;"'!$A$10:$K$51"),MATCH(MID($A142,FIND(":",$A142)+2,LEN($A142)-FIND(":",$A142)+2),INDIRECT("'Annex 1 LV and HV charges"&amp;MID($A$2,FIND("_",$A$2),2)&amp;"'!$A$10:$A$51"),0),MATCH(F$13,$A$13:$J$13,0))-F142),"")</f>
        <v/>
      </c>
      <c r="N142" s="328" t="str">
        <f ca="1">IFERROR(IF(#REF!="","",INDEX(INDIRECT("'Annex 1 LV and HV charges"&amp;MID($A$2,FIND("_",$A$2),2)&amp;"'!$A$10:$K$51"),MATCH(MID($A142,FIND(":",$A142)+2,LEN($A142)-FIND(":",$A142)+2),INDIRECT("'Annex 1 LV and HV charges"&amp;MID($A$2,FIND("_",$A$2),2)&amp;"'!$A$10:$A$51"),0),MATCH(G$13,$A$13:$J$13,0))-G142),"")</f>
        <v/>
      </c>
      <c r="O142" s="328" t="str">
        <f ca="1">IFERROR(IF(#REF!="","",INDEX(INDIRECT("'Annex 1 LV and HV charges"&amp;MID($A$2,FIND("_",$A$2),2)&amp;"'!$A$10:$K$51"),MATCH(MID($A142,FIND(":",$A142)+2,LEN($A142)-FIND(":",$A142)+2),INDIRECT("'Annex 1 LV and HV charges"&amp;MID($A$2,FIND("_",$A$2),2)&amp;"'!$A$10:$A$51"),0),MATCH(H$13,$A$13:$J$13,0))-H142),"")</f>
        <v/>
      </c>
      <c r="P142" s="328" t="str">
        <f ca="1">IFERROR(IF(#REF!="","",INDEX(INDIRECT("'Annex 1 LV and HV charges"&amp;MID($A$2,FIND("_",$A$2),2)&amp;"'!$A$10:$K$51"),MATCH(MID($A142,FIND(":",$A142)+2,LEN($A142)-FIND(":",$A142)+2),INDIRECT("'Annex 1 LV and HV charges"&amp;MID($A$2,FIND("_",$A$2),2)&amp;"'!$A$10:$A$51"),0),MATCH(I$13,$A$13:$J$13,0))-I142),"")</f>
        <v/>
      </c>
      <c r="Q142" s="328" t="str">
        <f ca="1">IFERROR(IF(#REF!="","",INDEX(INDIRECT("'Annex 1 LV and HV charges"&amp;MID($A$2,FIND("_",$A$2),2)&amp;"'!$A$10:$K$51"),MATCH(MID($A142,FIND(":",$A142)+2,LEN($A142)-FIND(":",$A142)+2),INDIRECT("'Annex 1 LV and HV charges"&amp;MID($A$2,FIND("_",$A$2),2)&amp;"'!$A$10:$A$51"),0),MATCH(J$13,$A$13:$J$13,0))-J142),"")</f>
        <v/>
      </c>
    </row>
    <row r="143" spans="1:17" ht="27.75" customHeight="1" x14ac:dyDescent="0.2">
      <c r="A143" s="324" t="s">
        <v>629</v>
      </c>
      <c r="B143" s="25"/>
      <c r="C143" s="327">
        <v>0</v>
      </c>
      <c r="D143" s="92">
        <v>-0.83799999999999997</v>
      </c>
      <c r="E143" s="93">
        <v>-0.29199999999999998</v>
      </c>
      <c r="F143" s="94">
        <v>-6.3E-2</v>
      </c>
      <c r="G143" s="319" t="s">
        <v>840</v>
      </c>
      <c r="H143" s="320" t="s">
        <v>840</v>
      </c>
      <c r="I143" s="321" t="s">
        <v>840</v>
      </c>
      <c r="J143" s="26">
        <v>0.05</v>
      </c>
      <c r="K143" s="328" t="str">
        <f ca="1">IFERROR(IF(#REF!="","",INDEX(INDIRECT("'Annex 1 LV and HV charges"&amp;MID($A$2,FIND("_",$A$2),2)&amp;"'!$A$10:$K$51"),MATCH(MID($A143,FIND(":",$A143)+2,LEN($A143)-FIND(":",$A143)+2),INDIRECT("'Annex 1 LV and HV charges"&amp;MID($A$2,FIND("_",$A$2),2)&amp;"'!$A$10:$A$51"),0),MATCH(D$13,$A$13:$J$13,0))-D143),"")</f>
        <v/>
      </c>
      <c r="L143" s="328" t="str">
        <f ca="1">IFERROR(IF(#REF!="","",INDEX(INDIRECT("'Annex 1 LV and HV charges"&amp;MID($A$2,FIND("_",$A$2),2)&amp;"'!$A$10:$K$51"),MATCH(MID($A143,FIND(":",$A143)+2,LEN($A143)-FIND(":",$A143)+2),INDIRECT("'Annex 1 LV and HV charges"&amp;MID($A$2,FIND("_",$A$2),2)&amp;"'!$A$10:$A$51"),0),MATCH(E$13,$A$13:$J$13,0))-E143),"")</f>
        <v/>
      </c>
      <c r="M143" s="328" t="str">
        <f ca="1">IFERROR(IF(#REF!="","",INDEX(INDIRECT("'Annex 1 LV and HV charges"&amp;MID($A$2,FIND("_",$A$2),2)&amp;"'!$A$10:$K$51"),MATCH(MID($A143,FIND(":",$A143)+2,LEN($A143)-FIND(":",$A143)+2),INDIRECT("'Annex 1 LV and HV charges"&amp;MID($A$2,FIND("_",$A$2),2)&amp;"'!$A$10:$A$51"),0),MATCH(F$13,$A$13:$J$13,0))-F143),"")</f>
        <v/>
      </c>
      <c r="N143" s="328" t="str">
        <f ca="1">IFERROR(IF(#REF!="","",INDEX(INDIRECT("'Annex 1 LV and HV charges"&amp;MID($A$2,FIND("_",$A$2),2)&amp;"'!$A$10:$K$51"),MATCH(MID($A143,FIND(":",$A143)+2,LEN($A143)-FIND(":",$A143)+2),INDIRECT("'Annex 1 LV and HV charges"&amp;MID($A$2,FIND("_",$A$2),2)&amp;"'!$A$10:$A$51"),0),MATCH(G$13,$A$13:$J$13,0))-G143),"")</f>
        <v/>
      </c>
      <c r="O143" s="328" t="str">
        <f ca="1">IFERROR(IF(#REF!="","",INDEX(INDIRECT("'Annex 1 LV and HV charges"&amp;MID($A$2,FIND("_",$A$2),2)&amp;"'!$A$10:$K$51"),MATCH(MID($A143,FIND(":",$A143)+2,LEN($A143)-FIND(":",$A143)+2),INDIRECT("'Annex 1 LV and HV charges"&amp;MID($A$2,FIND("_",$A$2),2)&amp;"'!$A$10:$A$51"),0),MATCH(H$13,$A$13:$J$13,0))-H143),"")</f>
        <v/>
      </c>
      <c r="P143" s="328" t="str">
        <f ca="1">IFERROR(IF(#REF!="","",INDEX(INDIRECT("'Annex 1 LV and HV charges"&amp;MID($A$2,FIND("_",$A$2),2)&amp;"'!$A$10:$K$51"),MATCH(MID($A143,FIND(":",$A143)+2,LEN($A143)-FIND(":",$A143)+2),INDIRECT("'Annex 1 LV and HV charges"&amp;MID($A$2,FIND("_",$A$2),2)&amp;"'!$A$10:$A$51"),0),MATCH(I$13,$A$13:$J$13,0))-I143),"")</f>
        <v/>
      </c>
      <c r="Q143" s="328" t="str">
        <f ca="1">IFERROR(IF(#REF!="","",INDEX(INDIRECT("'Annex 1 LV and HV charges"&amp;MID($A$2,FIND("_",$A$2),2)&amp;"'!$A$10:$K$51"),MATCH(MID($A143,FIND(":",$A143)+2,LEN($A143)-FIND(":",$A143)+2),INDIRECT("'Annex 1 LV and HV charges"&amp;MID($A$2,FIND("_",$A$2),2)&amp;"'!$A$10:$A$51"),0),MATCH(J$13,$A$13:$J$13,0))-J143),"")</f>
        <v/>
      </c>
    </row>
    <row r="144" spans="1:17" ht="27.75" customHeight="1" x14ac:dyDescent="0.2">
      <c r="A144" s="324" t="s">
        <v>630</v>
      </c>
      <c r="B144" s="25"/>
      <c r="C144" s="327">
        <v>0</v>
      </c>
      <c r="D144" s="92">
        <v>-0.78600000000000003</v>
      </c>
      <c r="E144" s="93">
        <v>-0.26700000000000002</v>
      </c>
      <c r="F144" s="94">
        <v>-6.0999999999999999E-2</v>
      </c>
      <c r="G144" s="319" t="s">
        <v>840</v>
      </c>
      <c r="H144" s="320" t="s">
        <v>840</v>
      </c>
      <c r="I144" s="321" t="s">
        <v>840</v>
      </c>
      <c r="J144" s="26">
        <v>4.2000000000000003E-2</v>
      </c>
      <c r="K144" s="328" t="str">
        <f ca="1">IFERROR(IF(#REF!="","",INDEX(INDIRECT("'Annex 1 LV and HV charges"&amp;MID($A$2,FIND("_",$A$2),2)&amp;"'!$A$10:$K$51"),MATCH(MID($A144,FIND(":",$A144)+2,LEN($A144)-FIND(":",$A144)+2),INDIRECT("'Annex 1 LV and HV charges"&amp;MID($A$2,FIND("_",$A$2),2)&amp;"'!$A$10:$A$51"),0),MATCH(D$13,$A$13:$J$13,0))-D144),"")</f>
        <v/>
      </c>
      <c r="L144" s="328" t="str">
        <f ca="1">IFERROR(IF(#REF!="","",INDEX(INDIRECT("'Annex 1 LV and HV charges"&amp;MID($A$2,FIND("_",$A$2),2)&amp;"'!$A$10:$K$51"),MATCH(MID($A144,FIND(":",$A144)+2,LEN($A144)-FIND(":",$A144)+2),INDIRECT("'Annex 1 LV and HV charges"&amp;MID($A$2,FIND("_",$A$2),2)&amp;"'!$A$10:$A$51"),0),MATCH(E$13,$A$13:$J$13,0))-E144),"")</f>
        <v/>
      </c>
      <c r="M144" s="328" t="str">
        <f ca="1">IFERROR(IF(#REF!="","",INDEX(INDIRECT("'Annex 1 LV and HV charges"&amp;MID($A$2,FIND("_",$A$2),2)&amp;"'!$A$10:$K$51"),MATCH(MID($A144,FIND(":",$A144)+2,LEN($A144)-FIND(":",$A144)+2),INDIRECT("'Annex 1 LV and HV charges"&amp;MID($A$2,FIND("_",$A$2),2)&amp;"'!$A$10:$A$51"),0),MATCH(F$13,$A$13:$J$13,0))-F144),"")</f>
        <v/>
      </c>
      <c r="N144" s="328" t="str">
        <f ca="1">IFERROR(IF(#REF!="","",INDEX(INDIRECT("'Annex 1 LV and HV charges"&amp;MID($A$2,FIND("_",$A$2),2)&amp;"'!$A$10:$K$51"),MATCH(MID($A144,FIND(":",$A144)+2,LEN($A144)-FIND(":",$A144)+2),INDIRECT("'Annex 1 LV and HV charges"&amp;MID($A$2,FIND("_",$A$2),2)&amp;"'!$A$10:$A$51"),0),MATCH(G$13,$A$13:$J$13,0))-G144),"")</f>
        <v/>
      </c>
      <c r="O144" s="328" t="str">
        <f ca="1">IFERROR(IF(#REF!="","",INDEX(INDIRECT("'Annex 1 LV and HV charges"&amp;MID($A$2,FIND("_",$A$2),2)&amp;"'!$A$10:$K$51"),MATCH(MID($A144,FIND(":",$A144)+2,LEN($A144)-FIND(":",$A144)+2),INDIRECT("'Annex 1 LV and HV charges"&amp;MID($A$2,FIND("_",$A$2),2)&amp;"'!$A$10:$A$51"),0),MATCH(H$13,$A$13:$J$13,0))-H144),"")</f>
        <v/>
      </c>
      <c r="P144" s="328" t="str">
        <f ca="1">IFERROR(IF(#REF!="","",INDEX(INDIRECT("'Annex 1 LV and HV charges"&amp;MID($A$2,FIND("_",$A$2),2)&amp;"'!$A$10:$K$51"),MATCH(MID($A144,FIND(":",$A144)+2,LEN($A144)-FIND(":",$A144)+2),INDIRECT("'Annex 1 LV and HV charges"&amp;MID($A$2,FIND("_",$A$2),2)&amp;"'!$A$10:$A$51"),0),MATCH(I$13,$A$13:$J$13,0))-I144),"")</f>
        <v/>
      </c>
      <c r="Q144" s="328" t="str">
        <f ca="1">IFERROR(IF(#REF!="","",INDEX(INDIRECT("'Annex 1 LV and HV charges"&amp;MID($A$2,FIND("_",$A$2),2)&amp;"'!$A$10:$K$51"),MATCH(MID($A144,FIND(":",$A144)+2,LEN($A144)-FIND(":",$A144)+2),INDIRECT("'Annex 1 LV and HV charges"&amp;MID($A$2,FIND("_",$A$2),2)&amp;"'!$A$10:$A$51"),0),MATCH(J$13,$A$13:$J$13,0))-J144),"")</f>
        <v/>
      </c>
    </row>
    <row r="145" spans="1:17" ht="27.75" customHeight="1" x14ac:dyDescent="0.2">
      <c r="A145" s="324" t="s">
        <v>631</v>
      </c>
      <c r="B145" s="25"/>
      <c r="C145" s="327">
        <v>0</v>
      </c>
      <c r="D145" s="92">
        <v>-0.79200000000000004</v>
      </c>
      <c r="E145" s="93">
        <v>-0.20100000000000001</v>
      </c>
      <c r="F145" s="94">
        <v>-0.08</v>
      </c>
      <c r="G145" s="319">
        <v>252.01</v>
      </c>
      <c r="H145" s="320" t="s">
        <v>840</v>
      </c>
      <c r="I145" s="321" t="s">
        <v>840</v>
      </c>
      <c r="J145" s="26">
        <v>7.6999999999999999E-2</v>
      </c>
      <c r="K145" s="328" t="str">
        <f ca="1">IFERROR(IF(#REF!="","",INDEX(INDIRECT("'Annex 1 LV and HV charges"&amp;MID($A$2,FIND("_",$A$2),2)&amp;"'!$A$10:$K$51"),MATCH(MID($A145,FIND(":",$A145)+2,LEN($A145)-FIND(":",$A145)+2),INDIRECT("'Annex 1 LV and HV charges"&amp;MID($A$2,FIND("_",$A$2),2)&amp;"'!$A$10:$A$51"),0),MATCH(D$13,$A$13:$J$13,0))-D145),"")</f>
        <v/>
      </c>
      <c r="L145" s="328" t="str">
        <f ca="1">IFERROR(IF(#REF!="","",INDEX(INDIRECT("'Annex 1 LV and HV charges"&amp;MID($A$2,FIND("_",$A$2),2)&amp;"'!$A$10:$K$51"),MATCH(MID($A145,FIND(":",$A145)+2,LEN($A145)-FIND(":",$A145)+2),INDIRECT("'Annex 1 LV and HV charges"&amp;MID($A$2,FIND("_",$A$2),2)&amp;"'!$A$10:$A$51"),0),MATCH(E$13,$A$13:$J$13,0))-E145),"")</f>
        <v/>
      </c>
      <c r="M145" s="328" t="str">
        <f ca="1">IFERROR(IF(#REF!="","",INDEX(INDIRECT("'Annex 1 LV and HV charges"&amp;MID($A$2,FIND("_",$A$2),2)&amp;"'!$A$10:$K$51"),MATCH(MID($A145,FIND(":",$A145)+2,LEN($A145)-FIND(":",$A145)+2),INDIRECT("'Annex 1 LV and HV charges"&amp;MID($A$2,FIND("_",$A$2),2)&amp;"'!$A$10:$A$51"),0),MATCH(F$13,$A$13:$J$13,0))-F145),"")</f>
        <v/>
      </c>
      <c r="N145" s="328" t="str">
        <f ca="1">IFERROR(IF(#REF!="","",INDEX(INDIRECT("'Annex 1 LV and HV charges"&amp;MID($A$2,FIND("_",$A$2),2)&amp;"'!$A$10:$K$51"),MATCH(MID($A145,FIND(":",$A145)+2,LEN($A145)-FIND(":",$A145)+2),INDIRECT("'Annex 1 LV and HV charges"&amp;MID($A$2,FIND("_",$A$2),2)&amp;"'!$A$10:$A$51"),0),MATCH(G$13,$A$13:$J$13,0))-G145),"")</f>
        <v/>
      </c>
      <c r="O145" s="328" t="str">
        <f ca="1">IFERROR(IF(#REF!="","",INDEX(INDIRECT("'Annex 1 LV and HV charges"&amp;MID($A$2,FIND("_",$A$2),2)&amp;"'!$A$10:$K$51"),MATCH(MID($A145,FIND(":",$A145)+2,LEN($A145)-FIND(":",$A145)+2),INDIRECT("'Annex 1 LV and HV charges"&amp;MID($A$2,FIND("_",$A$2),2)&amp;"'!$A$10:$A$51"),0),MATCH(H$13,$A$13:$J$13,0))-H145),"")</f>
        <v/>
      </c>
      <c r="P145" s="328" t="str">
        <f ca="1">IFERROR(IF(#REF!="","",INDEX(INDIRECT("'Annex 1 LV and HV charges"&amp;MID($A$2,FIND("_",$A$2),2)&amp;"'!$A$10:$K$51"),MATCH(MID($A145,FIND(":",$A145)+2,LEN($A145)-FIND(":",$A145)+2),INDIRECT("'Annex 1 LV and HV charges"&amp;MID($A$2,FIND("_",$A$2),2)&amp;"'!$A$10:$A$51"),0),MATCH(I$13,$A$13:$J$13,0))-I145),"")</f>
        <v/>
      </c>
      <c r="Q145" s="328" t="str">
        <f ca="1">IFERROR(IF(#REF!="","",INDEX(INDIRECT("'Annex 1 LV and HV charges"&amp;MID($A$2,FIND("_",$A$2),2)&amp;"'!$A$10:$K$51"),MATCH(MID($A145,FIND(":",$A145)+2,LEN($A145)-FIND(":",$A145)+2),INDIRECT("'Annex 1 LV and HV charges"&amp;MID($A$2,FIND("_",$A$2),2)&amp;"'!$A$10:$A$51"),0),MATCH(J$13,$A$13:$J$13,0))-J145),"")</f>
        <v/>
      </c>
    </row>
    <row r="146" spans="1:17" ht="27.75" customHeight="1" x14ac:dyDescent="0.2">
      <c r="A146" s="324" t="s">
        <v>784</v>
      </c>
      <c r="B146" s="25"/>
      <c r="C146" s="327" t="s">
        <v>845</v>
      </c>
      <c r="D146" s="92">
        <v>0.68700000000000006</v>
      </c>
      <c r="E146" s="93">
        <v>0.24</v>
      </c>
      <c r="F146" s="94">
        <v>5.0999999999999997E-2</v>
      </c>
      <c r="G146" s="319">
        <v>0.71</v>
      </c>
      <c r="H146" s="320" t="s">
        <v>840</v>
      </c>
      <c r="I146" s="321" t="s">
        <v>840</v>
      </c>
      <c r="J146" s="27" t="s">
        <v>840</v>
      </c>
      <c r="K146" s="328" t="str">
        <f ca="1">IFERROR(IF(#REF!="","",INDEX(INDIRECT("'Annex 1 LV and HV charges"&amp;MID($A$2,FIND("_",$A$2),2)&amp;"'!$A$10:$K$51"),MATCH(MID($A146,FIND(":",$A146)+2,LEN($A146)-FIND(":",$A146)+2),INDIRECT("'Annex 1 LV and HV charges"&amp;MID($A$2,FIND("_",$A$2),2)&amp;"'!$A$10:$A$51"),0),MATCH(D$13,$A$13:$J$13,0))-D146),"")</f>
        <v/>
      </c>
      <c r="L146" s="328" t="str">
        <f ca="1">IFERROR(IF(#REF!="","",INDEX(INDIRECT("'Annex 1 LV and HV charges"&amp;MID($A$2,FIND("_",$A$2),2)&amp;"'!$A$10:$K$51"),MATCH(MID($A146,FIND(":",$A146)+2,LEN($A146)-FIND(":",$A146)+2),INDIRECT("'Annex 1 LV and HV charges"&amp;MID($A$2,FIND("_",$A$2),2)&amp;"'!$A$10:$A$51"),0),MATCH(E$13,$A$13:$J$13,0))-E146),"")</f>
        <v/>
      </c>
      <c r="M146" s="328" t="str">
        <f ca="1">IFERROR(IF(#REF!="","",INDEX(INDIRECT("'Annex 1 LV and HV charges"&amp;MID($A$2,FIND("_",$A$2),2)&amp;"'!$A$10:$K$51"),MATCH(MID($A146,FIND(":",$A146)+2,LEN($A146)-FIND(":",$A146)+2),INDIRECT("'Annex 1 LV and HV charges"&amp;MID($A$2,FIND("_",$A$2),2)&amp;"'!$A$10:$A$51"),0),MATCH(F$13,$A$13:$J$13,0))-F146),"")</f>
        <v/>
      </c>
      <c r="N146" s="328" t="str">
        <f ca="1">IFERROR(IF(#REF!="","",INDEX(INDIRECT("'Annex 1 LV and HV charges"&amp;MID($A$2,FIND("_",$A$2),2)&amp;"'!$A$10:$K$51"),MATCH(MID($A146,FIND(":",$A146)+2,LEN($A146)-FIND(":",$A146)+2),INDIRECT("'Annex 1 LV and HV charges"&amp;MID($A$2,FIND("_",$A$2),2)&amp;"'!$A$10:$A$51"),0),MATCH(G$13,$A$13:$J$13,0))-G146),"")</f>
        <v/>
      </c>
      <c r="O146" s="328" t="str">
        <f ca="1">IFERROR(IF(#REF!="","",INDEX(INDIRECT("'Annex 1 LV and HV charges"&amp;MID($A$2,FIND("_",$A$2),2)&amp;"'!$A$10:$K$51"),MATCH(MID($A146,FIND(":",$A146)+2,LEN($A146)-FIND(":",$A146)+2),INDIRECT("'Annex 1 LV and HV charges"&amp;MID($A$2,FIND("_",$A$2),2)&amp;"'!$A$10:$A$51"),0),MATCH(H$13,$A$13:$J$13,0))-H146),"")</f>
        <v/>
      </c>
      <c r="P146" s="328" t="str">
        <f ca="1">IFERROR(IF(#REF!="","",INDEX(INDIRECT("'Annex 1 LV and HV charges"&amp;MID($A$2,FIND("_",$A$2),2)&amp;"'!$A$10:$K$51"),MATCH(MID($A146,FIND(":",$A146)+2,LEN($A146)-FIND(":",$A146)+2),INDIRECT("'Annex 1 LV and HV charges"&amp;MID($A$2,FIND("_",$A$2),2)&amp;"'!$A$10:$A$51"),0),MATCH(I$13,$A$13:$J$13,0))-I146),"")</f>
        <v/>
      </c>
      <c r="Q146" s="328" t="str">
        <f ca="1">IFERROR(IF(#REF!="","",INDEX(INDIRECT("'Annex 1 LV and HV charges"&amp;MID($A$2,FIND("_",$A$2),2)&amp;"'!$A$10:$K$51"),MATCH(MID($A146,FIND(":",$A146)+2,LEN($A146)-FIND(":",$A146)+2),INDIRECT("'Annex 1 LV and HV charges"&amp;MID($A$2,FIND("_",$A$2),2)&amp;"'!$A$10:$A$51"),0),MATCH(J$13,$A$13:$J$13,0))-J146),"")</f>
        <v/>
      </c>
    </row>
    <row r="147" spans="1:17" ht="27.75" customHeight="1" x14ac:dyDescent="0.2">
      <c r="A147" s="324" t="s">
        <v>712</v>
      </c>
      <c r="B147" s="25"/>
      <c r="C147" s="327">
        <v>2</v>
      </c>
      <c r="D147" s="92">
        <v>0.68700000000000006</v>
      </c>
      <c r="E147" s="93">
        <v>0.24</v>
      </c>
      <c r="F147" s="94">
        <v>5.0999999999999997E-2</v>
      </c>
      <c r="G147" s="320" t="s">
        <v>840</v>
      </c>
      <c r="H147" s="320" t="s">
        <v>840</v>
      </c>
      <c r="I147" s="321" t="s">
        <v>840</v>
      </c>
      <c r="J147" s="27" t="s">
        <v>840</v>
      </c>
      <c r="K147" s="328" t="str">
        <f ca="1">IFERROR(IF(#REF!="","",INDEX(INDIRECT("'Annex 1 LV and HV charges"&amp;MID($A$2,FIND("_",$A$2),2)&amp;"'!$A$10:$K$51"),MATCH(MID($A147,FIND(":",$A147)+2,LEN($A147)-FIND(":",$A147)+2),INDIRECT("'Annex 1 LV and HV charges"&amp;MID($A$2,FIND("_",$A$2),2)&amp;"'!$A$10:$A$51"),0),MATCH(D$13,$A$13:$J$13,0))-D147),"")</f>
        <v/>
      </c>
      <c r="L147" s="328" t="str">
        <f ca="1">IFERROR(IF(#REF!="","",INDEX(INDIRECT("'Annex 1 LV and HV charges"&amp;MID($A$2,FIND("_",$A$2),2)&amp;"'!$A$10:$K$51"),MATCH(MID($A147,FIND(":",$A147)+2,LEN($A147)-FIND(":",$A147)+2),INDIRECT("'Annex 1 LV and HV charges"&amp;MID($A$2,FIND("_",$A$2),2)&amp;"'!$A$10:$A$51"),0),MATCH(E$13,$A$13:$J$13,0))-E147),"")</f>
        <v/>
      </c>
      <c r="M147" s="328" t="str">
        <f ca="1">IFERROR(IF(#REF!="","",INDEX(INDIRECT("'Annex 1 LV and HV charges"&amp;MID($A$2,FIND("_",$A$2),2)&amp;"'!$A$10:$K$51"),MATCH(MID($A147,FIND(":",$A147)+2,LEN($A147)-FIND(":",$A147)+2),INDIRECT("'Annex 1 LV and HV charges"&amp;MID($A$2,FIND("_",$A$2),2)&amp;"'!$A$10:$A$51"),0),MATCH(F$13,$A$13:$J$13,0))-F147),"")</f>
        <v/>
      </c>
      <c r="N147" s="328" t="str">
        <f ca="1">IFERROR(IF(#REF!="","",INDEX(INDIRECT("'Annex 1 LV and HV charges"&amp;MID($A$2,FIND("_",$A$2),2)&amp;"'!$A$10:$K$51"),MATCH(MID($A147,FIND(":",$A147)+2,LEN($A147)-FIND(":",$A147)+2),INDIRECT("'Annex 1 LV and HV charges"&amp;MID($A$2,FIND("_",$A$2),2)&amp;"'!$A$10:$A$51"),0),MATCH(G$13,$A$13:$J$13,0))-G147),"")</f>
        <v/>
      </c>
      <c r="O147" s="328" t="str">
        <f ca="1">IFERROR(IF(#REF!="","",INDEX(INDIRECT("'Annex 1 LV and HV charges"&amp;MID($A$2,FIND("_",$A$2),2)&amp;"'!$A$10:$K$51"),MATCH(MID($A147,FIND(":",$A147)+2,LEN($A147)-FIND(":",$A147)+2),INDIRECT("'Annex 1 LV and HV charges"&amp;MID($A$2,FIND("_",$A$2),2)&amp;"'!$A$10:$A$51"),0),MATCH(H$13,$A$13:$J$13,0))-H147),"")</f>
        <v/>
      </c>
      <c r="P147" s="328" t="str">
        <f ca="1">IFERROR(IF(#REF!="","",INDEX(INDIRECT("'Annex 1 LV and HV charges"&amp;MID($A$2,FIND("_",$A$2),2)&amp;"'!$A$10:$K$51"),MATCH(MID($A147,FIND(":",$A147)+2,LEN($A147)-FIND(":",$A147)+2),INDIRECT("'Annex 1 LV and HV charges"&amp;MID($A$2,FIND("_",$A$2),2)&amp;"'!$A$10:$A$51"),0),MATCH(I$13,$A$13:$J$13,0))-I147),"")</f>
        <v/>
      </c>
      <c r="Q147" s="328" t="str">
        <f ca="1">IFERROR(IF(#REF!="","",INDEX(INDIRECT("'Annex 1 LV and HV charges"&amp;MID($A$2,FIND("_",$A$2),2)&amp;"'!$A$10:$K$51"),MATCH(MID($A147,FIND(":",$A147)+2,LEN($A147)-FIND(":",$A147)+2),INDIRECT("'Annex 1 LV and HV charges"&amp;MID($A$2,FIND("_",$A$2),2)&amp;"'!$A$10:$A$51"),0),MATCH(J$13,$A$13:$J$13,0))-J147),"")</f>
        <v/>
      </c>
    </row>
    <row r="148" spans="1:17" ht="27.75" customHeight="1" x14ac:dyDescent="0.2">
      <c r="A148" s="324" t="s">
        <v>791</v>
      </c>
      <c r="B148" s="18"/>
      <c r="C148" s="327" t="s">
        <v>846</v>
      </c>
      <c r="D148" s="92">
        <v>0.83</v>
      </c>
      <c r="E148" s="93">
        <v>0.28999999999999998</v>
      </c>
      <c r="F148" s="94">
        <v>6.2E-2</v>
      </c>
      <c r="G148" s="319">
        <v>1.66</v>
      </c>
      <c r="H148" s="320" t="s">
        <v>840</v>
      </c>
      <c r="I148" s="321" t="s">
        <v>840</v>
      </c>
      <c r="J148" s="27" t="s">
        <v>840</v>
      </c>
      <c r="K148" s="328" t="str">
        <f ca="1">IFERROR(IF(#REF!="","",INDEX(INDIRECT("'Annex 1 LV and HV charges"&amp;MID($A$2,FIND("_",$A$2),2)&amp;"'!$A$10:$K$51"),MATCH(MID($A148,FIND(":",$A148)+2,LEN($A148)-FIND(":",$A148)+2),INDIRECT("'Annex 1 LV and HV charges"&amp;MID($A$2,FIND("_",$A$2),2)&amp;"'!$A$10:$A$51"),0),MATCH(D$13,$A$13:$J$13,0))-D148),"")</f>
        <v/>
      </c>
      <c r="L148" s="328" t="str">
        <f ca="1">IFERROR(IF(#REF!="","",INDEX(INDIRECT("'Annex 1 LV and HV charges"&amp;MID($A$2,FIND("_",$A$2),2)&amp;"'!$A$10:$K$51"),MATCH(MID($A148,FIND(":",$A148)+2,LEN($A148)-FIND(":",$A148)+2),INDIRECT("'Annex 1 LV and HV charges"&amp;MID($A$2,FIND("_",$A$2),2)&amp;"'!$A$10:$A$51"),0),MATCH(E$13,$A$13:$J$13,0))-E148),"")</f>
        <v/>
      </c>
      <c r="M148" s="328" t="str">
        <f ca="1">IFERROR(IF(#REF!="","",INDEX(INDIRECT("'Annex 1 LV and HV charges"&amp;MID($A$2,FIND("_",$A$2),2)&amp;"'!$A$10:$K$51"),MATCH(MID($A148,FIND(":",$A148)+2,LEN($A148)-FIND(":",$A148)+2),INDIRECT("'Annex 1 LV and HV charges"&amp;MID($A$2,FIND("_",$A$2),2)&amp;"'!$A$10:$A$51"),0),MATCH(F$13,$A$13:$J$13,0))-F148),"")</f>
        <v/>
      </c>
      <c r="N148" s="328" t="str">
        <f ca="1">IFERROR(IF(#REF!="","",INDEX(INDIRECT("'Annex 1 LV and HV charges"&amp;MID($A$2,FIND("_",$A$2),2)&amp;"'!$A$10:$K$51"),MATCH(MID($A148,FIND(":",$A148)+2,LEN($A148)-FIND(":",$A148)+2),INDIRECT("'Annex 1 LV and HV charges"&amp;MID($A$2,FIND("_",$A$2),2)&amp;"'!$A$10:$A$51"),0),MATCH(G$13,$A$13:$J$13,0))-G148),"")</f>
        <v/>
      </c>
      <c r="O148" s="328" t="str">
        <f ca="1">IFERROR(IF(#REF!="","",INDEX(INDIRECT("'Annex 1 LV and HV charges"&amp;MID($A$2,FIND("_",$A$2),2)&amp;"'!$A$10:$K$51"),MATCH(MID($A148,FIND(":",$A148)+2,LEN($A148)-FIND(":",$A148)+2),INDIRECT("'Annex 1 LV and HV charges"&amp;MID($A$2,FIND("_",$A$2),2)&amp;"'!$A$10:$A$51"),0),MATCH(H$13,$A$13:$J$13,0))-H148),"")</f>
        <v/>
      </c>
      <c r="P148" s="328" t="str">
        <f ca="1">IFERROR(IF(#REF!="","",INDEX(INDIRECT("'Annex 1 LV and HV charges"&amp;MID($A$2,FIND("_",$A$2),2)&amp;"'!$A$10:$K$51"),MATCH(MID($A148,FIND(":",$A148)+2,LEN($A148)-FIND(":",$A148)+2),INDIRECT("'Annex 1 LV and HV charges"&amp;MID($A$2,FIND("_",$A$2),2)&amp;"'!$A$10:$A$51"),0),MATCH(I$13,$A$13:$J$13,0))-I148),"")</f>
        <v/>
      </c>
      <c r="Q148" s="328" t="str">
        <f ca="1">IFERROR(IF(#REF!="","",INDEX(INDIRECT("'Annex 1 LV and HV charges"&amp;MID($A$2,FIND("_",$A$2),2)&amp;"'!$A$10:$K$51"),MATCH(MID($A148,FIND(":",$A148)+2,LEN($A148)-FIND(":",$A148)+2),INDIRECT("'Annex 1 LV and HV charges"&amp;MID($A$2,FIND("_",$A$2),2)&amp;"'!$A$10:$A$51"),0),MATCH(J$13,$A$13:$J$13,0))-J148),"")</f>
        <v/>
      </c>
    </row>
    <row r="149" spans="1:17" ht="27.75" customHeight="1" x14ac:dyDescent="0.2">
      <c r="A149" s="324" t="s">
        <v>798</v>
      </c>
      <c r="B149" s="25"/>
      <c r="C149" s="327" t="s">
        <v>846</v>
      </c>
      <c r="D149" s="92">
        <v>0.83</v>
      </c>
      <c r="E149" s="93">
        <v>0.28999999999999998</v>
      </c>
      <c r="F149" s="94">
        <v>6.2E-2</v>
      </c>
      <c r="G149" s="319">
        <v>1.51</v>
      </c>
      <c r="H149" s="320" t="s">
        <v>840</v>
      </c>
      <c r="I149" s="321" t="s">
        <v>840</v>
      </c>
      <c r="J149" s="27" t="s">
        <v>840</v>
      </c>
      <c r="K149" s="328" t="str">
        <f ca="1">IFERROR(IF(#REF!="","",INDEX(INDIRECT("'Annex 1 LV and HV charges"&amp;MID($A$2,FIND("_",$A$2),2)&amp;"'!$A$10:$K$51"),MATCH(MID($A149,FIND(":",$A149)+2,LEN($A149)-FIND(":",$A149)+2),INDIRECT("'Annex 1 LV and HV charges"&amp;MID($A$2,FIND("_",$A$2),2)&amp;"'!$A$10:$A$51"),0),MATCH(D$13,$A$13:$J$13,0))-D149),"")</f>
        <v/>
      </c>
      <c r="L149" s="328" t="str">
        <f ca="1">IFERROR(IF(#REF!="","",INDEX(INDIRECT("'Annex 1 LV and HV charges"&amp;MID($A$2,FIND("_",$A$2),2)&amp;"'!$A$10:$K$51"),MATCH(MID($A149,FIND(":",$A149)+2,LEN($A149)-FIND(":",$A149)+2),INDIRECT("'Annex 1 LV and HV charges"&amp;MID($A$2,FIND("_",$A$2),2)&amp;"'!$A$10:$A$51"),0),MATCH(E$13,$A$13:$J$13,0))-E149),"")</f>
        <v/>
      </c>
      <c r="M149" s="328" t="str">
        <f ca="1">IFERROR(IF(#REF!="","",INDEX(INDIRECT("'Annex 1 LV and HV charges"&amp;MID($A$2,FIND("_",$A$2),2)&amp;"'!$A$10:$K$51"),MATCH(MID($A149,FIND(":",$A149)+2,LEN($A149)-FIND(":",$A149)+2),INDIRECT("'Annex 1 LV and HV charges"&amp;MID($A$2,FIND("_",$A$2),2)&amp;"'!$A$10:$A$51"),0),MATCH(F$13,$A$13:$J$13,0))-F149),"")</f>
        <v/>
      </c>
      <c r="N149" s="328" t="str">
        <f ca="1">IFERROR(IF(#REF!="","",INDEX(INDIRECT("'Annex 1 LV and HV charges"&amp;MID($A$2,FIND("_",$A$2),2)&amp;"'!$A$10:$K$51"),MATCH(MID($A149,FIND(":",$A149)+2,LEN($A149)-FIND(":",$A149)+2),INDIRECT("'Annex 1 LV and HV charges"&amp;MID($A$2,FIND("_",$A$2),2)&amp;"'!$A$10:$A$51"),0),MATCH(G$13,$A$13:$J$13,0))-G149),"")</f>
        <v/>
      </c>
      <c r="O149" s="328" t="str">
        <f ca="1">IFERROR(IF(#REF!="","",INDEX(INDIRECT("'Annex 1 LV and HV charges"&amp;MID($A$2,FIND("_",$A$2),2)&amp;"'!$A$10:$K$51"),MATCH(MID($A149,FIND(":",$A149)+2,LEN($A149)-FIND(":",$A149)+2),INDIRECT("'Annex 1 LV and HV charges"&amp;MID($A$2,FIND("_",$A$2),2)&amp;"'!$A$10:$A$51"),0),MATCH(H$13,$A$13:$J$13,0))-H149),"")</f>
        <v/>
      </c>
      <c r="P149" s="328" t="str">
        <f ca="1">IFERROR(IF(#REF!="","",INDEX(INDIRECT("'Annex 1 LV and HV charges"&amp;MID($A$2,FIND("_",$A$2),2)&amp;"'!$A$10:$K$51"),MATCH(MID($A149,FIND(":",$A149)+2,LEN($A149)-FIND(":",$A149)+2),INDIRECT("'Annex 1 LV and HV charges"&amp;MID($A$2,FIND("_",$A$2),2)&amp;"'!$A$10:$A$51"),0),MATCH(I$13,$A$13:$J$13,0))-I149),"")</f>
        <v/>
      </c>
      <c r="Q149" s="328" t="str">
        <f ca="1">IFERROR(IF(#REF!="","",INDEX(INDIRECT("'Annex 1 LV and HV charges"&amp;MID($A$2,FIND("_",$A$2),2)&amp;"'!$A$10:$K$51"),MATCH(MID($A149,FIND(":",$A149)+2,LEN($A149)-FIND(":",$A149)+2),INDIRECT("'Annex 1 LV and HV charges"&amp;MID($A$2,FIND("_",$A$2),2)&amp;"'!$A$10:$A$51"),0),MATCH(J$13,$A$13:$J$13,0))-J149),"")</f>
        <v/>
      </c>
    </row>
    <row r="150" spans="1:17" ht="27.75" customHeight="1" x14ac:dyDescent="0.2">
      <c r="A150" s="324" t="s">
        <v>805</v>
      </c>
      <c r="B150" s="18"/>
      <c r="C150" s="327" t="s">
        <v>846</v>
      </c>
      <c r="D150" s="92">
        <v>0.83</v>
      </c>
      <c r="E150" s="93">
        <v>0.28999999999999998</v>
      </c>
      <c r="F150" s="94">
        <v>6.2E-2</v>
      </c>
      <c r="G150" s="319">
        <v>0.82</v>
      </c>
      <c r="H150" s="320" t="s">
        <v>840</v>
      </c>
      <c r="I150" s="321" t="s">
        <v>840</v>
      </c>
      <c r="J150" s="27" t="s">
        <v>840</v>
      </c>
      <c r="K150" s="328" t="str">
        <f ca="1">IFERROR(IF(#REF!="","",INDEX(INDIRECT("'Annex 1 LV and HV charges"&amp;MID($A$2,FIND("_",$A$2),2)&amp;"'!$A$10:$K$51"),MATCH(MID($A150,FIND(":",$A150)+2,LEN($A150)-FIND(":",$A150)+2),INDIRECT("'Annex 1 LV and HV charges"&amp;MID($A$2,FIND("_",$A$2),2)&amp;"'!$A$10:$A$51"),0),MATCH(D$13,$A$13:$J$13,0))-D150),"")</f>
        <v/>
      </c>
      <c r="L150" s="328" t="str">
        <f ca="1">IFERROR(IF(#REF!="","",INDEX(INDIRECT("'Annex 1 LV and HV charges"&amp;MID($A$2,FIND("_",$A$2),2)&amp;"'!$A$10:$K$51"),MATCH(MID($A150,FIND(":",$A150)+2,LEN($A150)-FIND(":",$A150)+2),INDIRECT("'Annex 1 LV and HV charges"&amp;MID($A$2,FIND("_",$A$2),2)&amp;"'!$A$10:$A$51"),0),MATCH(E$13,$A$13:$J$13,0))-E150),"")</f>
        <v/>
      </c>
      <c r="M150" s="328" t="str">
        <f ca="1">IFERROR(IF(#REF!="","",INDEX(INDIRECT("'Annex 1 LV and HV charges"&amp;MID($A$2,FIND("_",$A$2),2)&amp;"'!$A$10:$K$51"),MATCH(MID($A150,FIND(":",$A150)+2,LEN($A150)-FIND(":",$A150)+2),INDIRECT("'Annex 1 LV and HV charges"&amp;MID($A$2,FIND("_",$A$2),2)&amp;"'!$A$10:$A$51"),0),MATCH(F$13,$A$13:$J$13,0))-F150),"")</f>
        <v/>
      </c>
      <c r="N150" s="328" t="str">
        <f ca="1">IFERROR(IF(#REF!="","",INDEX(INDIRECT("'Annex 1 LV and HV charges"&amp;MID($A$2,FIND("_",$A$2),2)&amp;"'!$A$10:$K$51"),MATCH(MID($A150,FIND(":",$A150)+2,LEN($A150)-FIND(":",$A150)+2),INDIRECT("'Annex 1 LV and HV charges"&amp;MID($A$2,FIND("_",$A$2),2)&amp;"'!$A$10:$A$51"),0),MATCH(G$13,$A$13:$J$13,0))-G150),"")</f>
        <v/>
      </c>
      <c r="O150" s="328" t="str">
        <f ca="1">IFERROR(IF(#REF!="","",INDEX(INDIRECT("'Annex 1 LV and HV charges"&amp;MID($A$2,FIND("_",$A$2),2)&amp;"'!$A$10:$K$51"),MATCH(MID($A150,FIND(":",$A150)+2,LEN($A150)-FIND(":",$A150)+2),INDIRECT("'Annex 1 LV and HV charges"&amp;MID($A$2,FIND("_",$A$2),2)&amp;"'!$A$10:$A$51"),0),MATCH(H$13,$A$13:$J$13,0))-H150),"")</f>
        <v/>
      </c>
      <c r="P150" s="328" t="str">
        <f ca="1">IFERROR(IF(#REF!="","",INDEX(INDIRECT("'Annex 1 LV and HV charges"&amp;MID($A$2,FIND("_",$A$2),2)&amp;"'!$A$10:$K$51"),MATCH(MID($A150,FIND(":",$A150)+2,LEN($A150)-FIND(":",$A150)+2),INDIRECT("'Annex 1 LV and HV charges"&amp;MID($A$2,FIND("_",$A$2),2)&amp;"'!$A$10:$A$51"),0),MATCH(I$13,$A$13:$J$13,0))-I150),"")</f>
        <v/>
      </c>
      <c r="Q150" s="328" t="str">
        <f ca="1">IFERROR(IF(#REF!="","",INDEX(INDIRECT("'Annex 1 LV and HV charges"&amp;MID($A$2,FIND("_",$A$2),2)&amp;"'!$A$10:$K$51"),MATCH(MID($A150,FIND(":",$A150)+2,LEN($A150)-FIND(":",$A150)+2),INDIRECT("'Annex 1 LV and HV charges"&amp;MID($A$2,FIND("_",$A$2),2)&amp;"'!$A$10:$A$51"),0),MATCH(J$13,$A$13:$J$13,0))-J150),"")</f>
        <v/>
      </c>
    </row>
    <row r="151" spans="1:17" ht="27.75" customHeight="1" x14ac:dyDescent="0.2">
      <c r="A151" s="324" t="s">
        <v>812</v>
      </c>
      <c r="B151" s="18"/>
      <c r="C151" s="327" t="s">
        <v>846</v>
      </c>
      <c r="D151" s="92">
        <v>0.82599999999999996</v>
      </c>
      <c r="E151" s="93">
        <v>0.28499999999999998</v>
      </c>
      <c r="F151" s="94">
        <v>5.7000000000000002E-2</v>
      </c>
      <c r="G151" s="319" t="s">
        <v>840</v>
      </c>
      <c r="H151" s="320" t="s">
        <v>840</v>
      </c>
      <c r="I151" s="321" t="s">
        <v>840</v>
      </c>
      <c r="J151" s="27" t="s">
        <v>840</v>
      </c>
      <c r="K151" s="328" t="str">
        <f ca="1">IFERROR(IF(#REF!="","",INDEX(INDIRECT("'Annex 1 LV and HV charges"&amp;MID($A$2,FIND("_",$A$2),2)&amp;"'!$A$10:$K$51"),MATCH(MID($A151,FIND(":",$A151)+2,LEN($A151)-FIND(":",$A151)+2),INDIRECT("'Annex 1 LV and HV charges"&amp;MID($A$2,FIND("_",$A$2),2)&amp;"'!$A$10:$A$51"),0),MATCH(D$13,$A$13:$J$13,0))-D151),"")</f>
        <v/>
      </c>
      <c r="L151" s="328" t="str">
        <f ca="1">IFERROR(IF(#REF!="","",INDEX(INDIRECT("'Annex 1 LV and HV charges"&amp;MID($A$2,FIND("_",$A$2),2)&amp;"'!$A$10:$K$51"),MATCH(MID($A151,FIND(":",$A151)+2,LEN($A151)-FIND(":",$A151)+2),INDIRECT("'Annex 1 LV and HV charges"&amp;MID($A$2,FIND("_",$A$2),2)&amp;"'!$A$10:$A$51"),0),MATCH(E$13,$A$13:$J$13,0))-E151),"")</f>
        <v/>
      </c>
      <c r="M151" s="328" t="str">
        <f ca="1">IFERROR(IF(#REF!="","",INDEX(INDIRECT("'Annex 1 LV and HV charges"&amp;MID($A$2,FIND("_",$A$2),2)&amp;"'!$A$10:$K$51"),MATCH(MID($A151,FIND(":",$A151)+2,LEN($A151)-FIND(":",$A151)+2),INDIRECT("'Annex 1 LV and HV charges"&amp;MID($A$2,FIND("_",$A$2),2)&amp;"'!$A$10:$A$51"),0),MATCH(F$13,$A$13:$J$13,0))-F151),"")</f>
        <v/>
      </c>
      <c r="N151" s="328" t="str">
        <f ca="1">IFERROR(IF(#REF!="","",INDEX(INDIRECT("'Annex 1 LV and HV charges"&amp;MID($A$2,FIND("_",$A$2),2)&amp;"'!$A$10:$K$51"),MATCH(MID($A151,FIND(":",$A151)+2,LEN($A151)-FIND(":",$A151)+2),INDIRECT("'Annex 1 LV and HV charges"&amp;MID($A$2,FIND("_",$A$2),2)&amp;"'!$A$10:$A$51"),0),MATCH(G$13,$A$13:$J$13,0))-G151),"")</f>
        <v/>
      </c>
      <c r="O151" s="328" t="str">
        <f ca="1">IFERROR(IF(#REF!="","",INDEX(INDIRECT("'Annex 1 LV and HV charges"&amp;MID($A$2,FIND("_",$A$2),2)&amp;"'!$A$10:$K$51"),MATCH(MID($A151,FIND(":",$A151)+2,LEN($A151)-FIND(":",$A151)+2),INDIRECT("'Annex 1 LV and HV charges"&amp;MID($A$2,FIND("_",$A$2),2)&amp;"'!$A$10:$A$51"),0),MATCH(H$13,$A$13:$J$13,0))-H151),"")</f>
        <v/>
      </c>
      <c r="P151" s="328" t="str">
        <f ca="1">IFERROR(IF(#REF!="","",INDEX(INDIRECT("'Annex 1 LV and HV charges"&amp;MID($A$2,FIND("_",$A$2),2)&amp;"'!$A$10:$K$51"),MATCH(MID($A151,FIND(":",$A151)+2,LEN($A151)-FIND(":",$A151)+2),INDIRECT("'Annex 1 LV and HV charges"&amp;MID($A$2,FIND("_",$A$2),2)&amp;"'!$A$10:$A$51"),0),MATCH(I$13,$A$13:$J$13,0))-I151),"")</f>
        <v/>
      </c>
      <c r="Q151" s="328" t="str">
        <f ca="1">IFERROR(IF(#REF!="","",INDEX(INDIRECT("'Annex 1 LV and HV charges"&amp;MID($A$2,FIND("_",$A$2),2)&amp;"'!$A$10:$K$51"),MATCH(MID($A151,FIND(":",$A151)+2,LEN($A151)-FIND(":",$A151)+2),INDIRECT("'Annex 1 LV and HV charges"&amp;MID($A$2,FIND("_",$A$2),2)&amp;"'!$A$10:$A$51"),0),MATCH(J$13,$A$13:$J$13,0))-J151),"")</f>
        <v/>
      </c>
    </row>
    <row r="152" spans="1:17" ht="27.75" customHeight="1" x14ac:dyDescent="0.2">
      <c r="A152" s="324" t="s">
        <v>819</v>
      </c>
      <c r="B152" s="18"/>
      <c r="C152" s="327" t="s">
        <v>846</v>
      </c>
      <c r="D152" s="92">
        <v>0.80300000000000005</v>
      </c>
      <c r="E152" s="93">
        <v>0.26200000000000001</v>
      </c>
      <c r="F152" s="94">
        <v>3.5000000000000003E-2</v>
      </c>
      <c r="G152" s="319" t="s">
        <v>840</v>
      </c>
      <c r="H152" s="320" t="s">
        <v>840</v>
      </c>
      <c r="I152" s="321" t="s">
        <v>840</v>
      </c>
      <c r="J152" s="27" t="s">
        <v>840</v>
      </c>
      <c r="K152" s="328" t="str">
        <f ca="1">IFERROR(IF(#REF!="","",INDEX(INDIRECT("'Annex 1 LV and HV charges"&amp;MID($A$2,FIND("_",$A$2),2)&amp;"'!$A$10:$K$51"),MATCH(MID($A152,FIND(":",$A152)+2,LEN($A152)-FIND(":",$A152)+2),INDIRECT("'Annex 1 LV and HV charges"&amp;MID($A$2,FIND("_",$A$2),2)&amp;"'!$A$10:$A$51"),0),MATCH(D$13,$A$13:$J$13,0))-D152),"")</f>
        <v/>
      </c>
      <c r="L152" s="328" t="str">
        <f ca="1">IFERROR(IF(#REF!="","",INDEX(INDIRECT("'Annex 1 LV and HV charges"&amp;MID($A$2,FIND("_",$A$2),2)&amp;"'!$A$10:$K$51"),MATCH(MID($A152,FIND(":",$A152)+2,LEN($A152)-FIND(":",$A152)+2),INDIRECT("'Annex 1 LV and HV charges"&amp;MID($A$2,FIND("_",$A$2),2)&amp;"'!$A$10:$A$51"),0),MATCH(E$13,$A$13:$J$13,0))-E152),"")</f>
        <v/>
      </c>
      <c r="M152" s="328" t="str">
        <f ca="1">IFERROR(IF(#REF!="","",INDEX(INDIRECT("'Annex 1 LV and HV charges"&amp;MID($A$2,FIND("_",$A$2),2)&amp;"'!$A$10:$K$51"),MATCH(MID($A152,FIND(":",$A152)+2,LEN($A152)-FIND(":",$A152)+2),INDIRECT("'Annex 1 LV and HV charges"&amp;MID($A$2,FIND("_",$A$2),2)&amp;"'!$A$10:$A$51"),0),MATCH(F$13,$A$13:$J$13,0))-F152),"")</f>
        <v/>
      </c>
      <c r="N152" s="328" t="str">
        <f ca="1">IFERROR(IF(#REF!="","",INDEX(INDIRECT("'Annex 1 LV and HV charges"&amp;MID($A$2,FIND("_",$A$2),2)&amp;"'!$A$10:$K$51"),MATCH(MID($A152,FIND(":",$A152)+2,LEN($A152)-FIND(":",$A152)+2),INDIRECT("'Annex 1 LV and HV charges"&amp;MID($A$2,FIND("_",$A$2),2)&amp;"'!$A$10:$A$51"),0),MATCH(G$13,$A$13:$J$13,0))-G152),"")</f>
        <v/>
      </c>
      <c r="O152" s="328" t="str">
        <f ca="1">IFERROR(IF(#REF!="","",INDEX(INDIRECT("'Annex 1 LV and HV charges"&amp;MID($A$2,FIND("_",$A$2),2)&amp;"'!$A$10:$K$51"),MATCH(MID($A152,FIND(":",$A152)+2,LEN($A152)-FIND(":",$A152)+2),INDIRECT("'Annex 1 LV and HV charges"&amp;MID($A$2,FIND("_",$A$2),2)&amp;"'!$A$10:$A$51"),0),MATCH(H$13,$A$13:$J$13,0))-H152),"")</f>
        <v/>
      </c>
      <c r="P152" s="328" t="str">
        <f ca="1">IFERROR(IF(#REF!="","",INDEX(INDIRECT("'Annex 1 LV and HV charges"&amp;MID($A$2,FIND("_",$A$2),2)&amp;"'!$A$10:$K$51"),MATCH(MID($A152,FIND(":",$A152)+2,LEN($A152)-FIND(":",$A152)+2),INDIRECT("'Annex 1 LV and HV charges"&amp;MID($A$2,FIND("_",$A$2),2)&amp;"'!$A$10:$A$51"),0),MATCH(I$13,$A$13:$J$13,0))-I152),"")</f>
        <v/>
      </c>
      <c r="Q152" s="328" t="str">
        <f ca="1">IFERROR(IF(#REF!="","",INDEX(INDIRECT("'Annex 1 LV and HV charges"&amp;MID($A$2,FIND("_",$A$2),2)&amp;"'!$A$10:$K$51"),MATCH(MID($A152,FIND(":",$A152)+2,LEN($A152)-FIND(":",$A152)+2),INDIRECT("'Annex 1 LV and HV charges"&amp;MID($A$2,FIND("_",$A$2),2)&amp;"'!$A$10:$A$51"),0),MATCH(J$13,$A$13:$J$13,0))-J152),"")</f>
        <v/>
      </c>
    </row>
    <row r="153" spans="1:17" ht="27.75" customHeight="1" x14ac:dyDescent="0.2">
      <c r="A153" s="324" t="s">
        <v>590</v>
      </c>
      <c r="B153" s="25"/>
      <c r="C153" s="327">
        <v>4</v>
      </c>
      <c r="D153" s="92">
        <v>0.83</v>
      </c>
      <c r="E153" s="93">
        <v>0.28999999999999998</v>
      </c>
      <c r="F153" s="94">
        <v>6.2E-2</v>
      </c>
      <c r="G153" s="320" t="s">
        <v>840</v>
      </c>
      <c r="H153" s="320" t="s">
        <v>840</v>
      </c>
      <c r="I153" s="321" t="s">
        <v>840</v>
      </c>
      <c r="J153" s="27" t="s">
        <v>840</v>
      </c>
      <c r="K153" s="328" t="str">
        <f ca="1">IFERROR(IF(#REF!="","",INDEX(INDIRECT("'Annex 1 LV and HV charges"&amp;MID($A$2,FIND("_",$A$2),2)&amp;"'!$A$10:$K$51"),MATCH(MID($A153,FIND(":",$A153)+2,LEN($A153)-FIND(":",$A153)+2),INDIRECT("'Annex 1 LV and HV charges"&amp;MID($A$2,FIND("_",$A$2),2)&amp;"'!$A$10:$A$51"),0),MATCH(D$13,$A$13:$J$13,0))-D153),"")</f>
        <v/>
      </c>
      <c r="L153" s="328" t="str">
        <f ca="1">IFERROR(IF(#REF!="","",INDEX(INDIRECT("'Annex 1 LV and HV charges"&amp;MID($A$2,FIND("_",$A$2),2)&amp;"'!$A$10:$K$51"),MATCH(MID($A153,FIND(":",$A153)+2,LEN($A153)-FIND(":",$A153)+2),INDIRECT("'Annex 1 LV and HV charges"&amp;MID($A$2,FIND("_",$A$2),2)&amp;"'!$A$10:$A$51"),0),MATCH(E$13,$A$13:$J$13,0))-E153),"")</f>
        <v/>
      </c>
      <c r="M153" s="328" t="str">
        <f ca="1">IFERROR(IF(#REF!="","",INDEX(INDIRECT("'Annex 1 LV and HV charges"&amp;MID($A$2,FIND("_",$A$2),2)&amp;"'!$A$10:$K$51"),MATCH(MID($A153,FIND(":",$A153)+2,LEN($A153)-FIND(":",$A153)+2),INDIRECT("'Annex 1 LV and HV charges"&amp;MID($A$2,FIND("_",$A$2),2)&amp;"'!$A$10:$A$51"),0),MATCH(F$13,$A$13:$J$13,0))-F153),"")</f>
        <v/>
      </c>
      <c r="N153" s="328" t="str">
        <f ca="1">IFERROR(IF(#REF!="","",INDEX(INDIRECT("'Annex 1 LV and HV charges"&amp;MID($A$2,FIND("_",$A$2),2)&amp;"'!$A$10:$K$51"),MATCH(MID($A153,FIND(":",$A153)+2,LEN($A153)-FIND(":",$A153)+2),INDIRECT("'Annex 1 LV and HV charges"&amp;MID($A$2,FIND("_",$A$2),2)&amp;"'!$A$10:$A$51"),0),MATCH(G$13,$A$13:$J$13,0))-G153),"")</f>
        <v/>
      </c>
      <c r="O153" s="328" t="str">
        <f ca="1">IFERROR(IF(#REF!="","",INDEX(INDIRECT("'Annex 1 LV and HV charges"&amp;MID($A$2,FIND("_",$A$2),2)&amp;"'!$A$10:$K$51"),MATCH(MID($A153,FIND(":",$A153)+2,LEN($A153)-FIND(":",$A153)+2),INDIRECT("'Annex 1 LV and HV charges"&amp;MID($A$2,FIND("_",$A$2),2)&amp;"'!$A$10:$A$51"),0),MATCH(H$13,$A$13:$J$13,0))-H153),"")</f>
        <v/>
      </c>
      <c r="P153" s="328" t="str">
        <f ca="1">IFERROR(IF(#REF!="","",INDEX(INDIRECT("'Annex 1 LV and HV charges"&amp;MID($A$2,FIND("_",$A$2),2)&amp;"'!$A$10:$K$51"),MATCH(MID($A153,FIND(":",$A153)+2,LEN($A153)-FIND(":",$A153)+2),INDIRECT("'Annex 1 LV and HV charges"&amp;MID($A$2,FIND("_",$A$2),2)&amp;"'!$A$10:$A$51"),0),MATCH(I$13,$A$13:$J$13,0))-I153),"")</f>
        <v/>
      </c>
      <c r="Q153" s="328" t="str">
        <f ca="1">IFERROR(IF(#REF!="","",INDEX(INDIRECT("'Annex 1 LV and HV charges"&amp;MID($A$2,FIND("_",$A$2),2)&amp;"'!$A$10:$K$51"),MATCH(MID($A153,FIND(":",$A153)+2,LEN($A153)-FIND(":",$A153)+2),INDIRECT("'Annex 1 LV and HV charges"&amp;MID($A$2,FIND("_",$A$2),2)&amp;"'!$A$10:$A$51"),0),MATCH(J$13,$A$13:$J$13,0))-J153),"")</f>
        <v/>
      </c>
    </row>
    <row r="154" spans="1:17" ht="27.75" customHeight="1" x14ac:dyDescent="0.2">
      <c r="A154" s="324" t="s">
        <v>713</v>
      </c>
      <c r="B154" s="18"/>
      <c r="C154" s="327">
        <v>0</v>
      </c>
      <c r="D154" s="92">
        <v>0.51300000000000001</v>
      </c>
      <c r="E154" s="93">
        <v>0.17</v>
      </c>
      <c r="F154" s="94">
        <v>4.1000000000000002E-2</v>
      </c>
      <c r="G154" s="319">
        <v>4.3899999999999997</v>
      </c>
      <c r="H154" s="319">
        <v>0.83</v>
      </c>
      <c r="I154" s="322">
        <v>0.83</v>
      </c>
      <c r="J154" s="26">
        <v>2.5999999999999999E-2</v>
      </c>
      <c r="K154" s="328" t="str">
        <f ca="1">IFERROR(IF(#REF!="","",INDEX(INDIRECT("'Annex 1 LV and HV charges"&amp;MID($A$2,FIND("_",$A$2),2)&amp;"'!$A$10:$K$51"),MATCH(MID($A154,FIND(":",$A154)+2,LEN($A154)-FIND(":",$A154)+2),INDIRECT("'Annex 1 LV and HV charges"&amp;MID($A$2,FIND("_",$A$2),2)&amp;"'!$A$10:$A$51"),0),MATCH(D$13,$A$13:$J$13,0))-D154),"")</f>
        <v/>
      </c>
      <c r="L154" s="328" t="str">
        <f ca="1">IFERROR(IF(#REF!="","",INDEX(INDIRECT("'Annex 1 LV and HV charges"&amp;MID($A$2,FIND("_",$A$2),2)&amp;"'!$A$10:$K$51"),MATCH(MID($A154,FIND(":",$A154)+2,LEN($A154)-FIND(":",$A154)+2),INDIRECT("'Annex 1 LV and HV charges"&amp;MID($A$2,FIND("_",$A$2),2)&amp;"'!$A$10:$A$51"),0),MATCH(E$13,$A$13:$J$13,0))-E154),"")</f>
        <v/>
      </c>
      <c r="M154" s="328" t="str">
        <f ca="1">IFERROR(IF(#REF!="","",INDEX(INDIRECT("'Annex 1 LV and HV charges"&amp;MID($A$2,FIND("_",$A$2),2)&amp;"'!$A$10:$K$51"),MATCH(MID($A154,FIND(":",$A154)+2,LEN($A154)-FIND(":",$A154)+2),INDIRECT("'Annex 1 LV and HV charges"&amp;MID($A$2,FIND("_",$A$2),2)&amp;"'!$A$10:$A$51"),0),MATCH(F$13,$A$13:$J$13,0))-F154),"")</f>
        <v/>
      </c>
      <c r="N154" s="328" t="str">
        <f ca="1">IFERROR(IF(#REF!="","",INDEX(INDIRECT("'Annex 1 LV and HV charges"&amp;MID($A$2,FIND("_",$A$2),2)&amp;"'!$A$10:$K$51"),MATCH(MID($A154,FIND(":",$A154)+2,LEN($A154)-FIND(":",$A154)+2),INDIRECT("'Annex 1 LV and HV charges"&amp;MID($A$2,FIND("_",$A$2),2)&amp;"'!$A$10:$A$51"),0),MATCH(G$13,$A$13:$J$13,0))-G154),"")</f>
        <v/>
      </c>
      <c r="O154" s="328" t="str">
        <f ca="1">IFERROR(IF(#REF!="","",INDEX(INDIRECT("'Annex 1 LV and HV charges"&amp;MID($A$2,FIND("_",$A$2),2)&amp;"'!$A$10:$K$51"),MATCH(MID($A154,FIND(":",$A154)+2,LEN($A154)-FIND(":",$A154)+2),INDIRECT("'Annex 1 LV and HV charges"&amp;MID($A$2,FIND("_",$A$2),2)&amp;"'!$A$10:$A$51"),0),MATCH(H$13,$A$13:$J$13,0))-H154),"")</f>
        <v/>
      </c>
      <c r="P154" s="328" t="str">
        <f ca="1">IFERROR(IF(#REF!="","",INDEX(INDIRECT("'Annex 1 LV and HV charges"&amp;MID($A$2,FIND("_",$A$2),2)&amp;"'!$A$10:$K$51"),MATCH(MID($A154,FIND(":",$A154)+2,LEN($A154)-FIND(":",$A154)+2),INDIRECT("'Annex 1 LV and HV charges"&amp;MID($A$2,FIND("_",$A$2),2)&amp;"'!$A$10:$A$51"),0),MATCH(I$13,$A$13:$J$13,0))-I154),"")</f>
        <v/>
      </c>
      <c r="Q154" s="328" t="str">
        <f ca="1">IFERROR(IF(#REF!="","",INDEX(INDIRECT("'Annex 1 LV and HV charges"&amp;MID($A$2,FIND("_",$A$2),2)&amp;"'!$A$10:$K$51"),MATCH(MID($A154,FIND(":",$A154)+2,LEN($A154)-FIND(":",$A154)+2),INDIRECT("'Annex 1 LV and HV charges"&amp;MID($A$2,FIND("_",$A$2),2)&amp;"'!$A$10:$A$51"),0),MATCH(J$13,$A$13:$J$13,0))-J154),"")</f>
        <v/>
      </c>
    </row>
    <row r="155" spans="1:17" ht="27.75" customHeight="1" x14ac:dyDescent="0.2">
      <c r="A155" s="324" t="s">
        <v>714</v>
      </c>
      <c r="B155" s="25"/>
      <c r="C155" s="327">
        <v>0</v>
      </c>
      <c r="D155" s="92">
        <v>0.49299999999999999</v>
      </c>
      <c r="E155" s="93">
        <v>0.15</v>
      </c>
      <c r="F155" s="94">
        <v>2.1000000000000001E-2</v>
      </c>
      <c r="G155" s="319" t="s">
        <v>840</v>
      </c>
      <c r="H155" s="319">
        <v>0.83</v>
      </c>
      <c r="I155" s="322">
        <v>0.83</v>
      </c>
      <c r="J155" s="26">
        <v>2.5999999999999999E-2</v>
      </c>
      <c r="K155" s="328" t="str">
        <f ca="1">IFERROR(IF(#REF!="","",INDEX(INDIRECT("'Annex 1 LV and HV charges"&amp;MID($A$2,FIND("_",$A$2),2)&amp;"'!$A$10:$K$51"),MATCH(MID($A155,FIND(":",$A155)+2,LEN($A155)-FIND(":",$A155)+2),INDIRECT("'Annex 1 LV and HV charges"&amp;MID($A$2,FIND("_",$A$2),2)&amp;"'!$A$10:$A$51"),0),MATCH(D$13,$A$13:$J$13,0))-D155),"")</f>
        <v/>
      </c>
      <c r="L155" s="328" t="str">
        <f ca="1">IFERROR(IF(#REF!="","",INDEX(INDIRECT("'Annex 1 LV and HV charges"&amp;MID($A$2,FIND("_",$A$2),2)&amp;"'!$A$10:$K$51"),MATCH(MID($A155,FIND(":",$A155)+2,LEN($A155)-FIND(":",$A155)+2),INDIRECT("'Annex 1 LV and HV charges"&amp;MID($A$2,FIND("_",$A$2),2)&amp;"'!$A$10:$A$51"),0),MATCH(E$13,$A$13:$J$13,0))-E155),"")</f>
        <v/>
      </c>
      <c r="M155" s="328" t="str">
        <f ca="1">IFERROR(IF(#REF!="","",INDEX(INDIRECT("'Annex 1 LV and HV charges"&amp;MID($A$2,FIND("_",$A$2),2)&amp;"'!$A$10:$K$51"),MATCH(MID($A155,FIND(":",$A155)+2,LEN($A155)-FIND(":",$A155)+2),INDIRECT("'Annex 1 LV and HV charges"&amp;MID($A$2,FIND("_",$A$2),2)&amp;"'!$A$10:$A$51"),0),MATCH(F$13,$A$13:$J$13,0))-F155),"")</f>
        <v/>
      </c>
      <c r="N155" s="328" t="str">
        <f ca="1">IFERROR(IF(#REF!="","",INDEX(INDIRECT("'Annex 1 LV and HV charges"&amp;MID($A$2,FIND("_",$A$2),2)&amp;"'!$A$10:$K$51"),MATCH(MID($A155,FIND(":",$A155)+2,LEN($A155)-FIND(":",$A155)+2),INDIRECT("'Annex 1 LV and HV charges"&amp;MID($A$2,FIND("_",$A$2),2)&amp;"'!$A$10:$A$51"),0),MATCH(G$13,$A$13:$J$13,0))-G155),"")</f>
        <v/>
      </c>
      <c r="O155" s="328" t="str">
        <f ca="1">IFERROR(IF(#REF!="","",INDEX(INDIRECT("'Annex 1 LV and HV charges"&amp;MID($A$2,FIND("_",$A$2),2)&amp;"'!$A$10:$K$51"),MATCH(MID($A155,FIND(":",$A155)+2,LEN($A155)-FIND(":",$A155)+2),INDIRECT("'Annex 1 LV and HV charges"&amp;MID($A$2,FIND("_",$A$2),2)&amp;"'!$A$10:$A$51"),0),MATCH(H$13,$A$13:$J$13,0))-H155),"")</f>
        <v/>
      </c>
      <c r="P155" s="328" t="str">
        <f ca="1">IFERROR(IF(#REF!="","",INDEX(INDIRECT("'Annex 1 LV and HV charges"&amp;MID($A$2,FIND("_",$A$2),2)&amp;"'!$A$10:$K$51"),MATCH(MID($A155,FIND(":",$A155)+2,LEN($A155)-FIND(":",$A155)+2),INDIRECT("'Annex 1 LV and HV charges"&amp;MID($A$2,FIND("_",$A$2),2)&amp;"'!$A$10:$A$51"),0),MATCH(I$13,$A$13:$J$13,0))-I155),"")</f>
        <v/>
      </c>
      <c r="Q155" s="328" t="str">
        <f ca="1">IFERROR(IF(#REF!="","",INDEX(INDIRECT("'Annex 1 LV and HV charges"&amp;MID($A$2,FIND("_",$A$2),2)&amp;"'!$A$10:$K$51"),MATCH(MID($A155,FIND(":",$A155)+2,LEN($A155)-FIND(":",$A155)+2),INDIRECT("'Annex 1 LV and HV charges"&amp;MID($A$2,FIND("_",$A$2),2)&amp;"'!$A$10:$A$51"),0),MATCH(J$13,$A$13:$J$13,0))-J155),"")</f>
        <v/>
      </c>
    </row>
    <row r="156" spans="1:17" ht="27.75" customHeight="1" x14ac:dyDescent="0.2">
      <c r="A156" s="324" t="s">
        <v>715</v>
      </c>
      <c r="B156" s="18"/>
      <c r="C156" s="327">
        <v>0</v>
      </c>
      <c r="D156" s="92">
        <v>0.48299999999999998</v>
      </c>
      <c r="E156" s="93">
        <v>0.13900000000000001</v>
      </c>
      <c r="F156" s="94">
        <v>1.7999999999999999E-2</v>
      </c>
      <c r="G156" s="319" t="s">
        <v>840</v>
      </c>
      <c r="H156" s="319">
        <v>0.83</v>
      </c>
      <c r="I156" s="322">
        <v>0.83</v>
      </c>
      <c r="J156" s="26">
        <v>2.5999999999999999E-2</v>
      </c>
      <c r="K156" s="328" t="str">
        <f ca="1">IFERROR(IF(#REF!="","",INDEX(INDIRECT("'Annex 1 LV and HV charges"&amp;MID($A$2,FIND("_",$A$2),2)&amp;"'!$A$10:$K$51"),MATCH(MID($A156,FIND(":",$A156)+2,LEN($A156)-FIND(":",$A156)+2),INDIRECT("'Annex 1 LV and HV charges"&amp;MID($A$2,FIND("_",$A$2),2)&amp;"'!$A$10:$A$51"),0),MATCH(D$13,$A$13:$J$13,0))-D156),"")</f>
        <v/>
      </c>
      <c r="L156" s="328" t="str">
        <f ca="1">IFERROR(IF(#REF!="","",INDEX(INDIRECT("'Annex 1 LV and HV charges"&amp;MID($A$2,FIND("_",$A$2),2)&amp;"'!$A$10:$K$51"),MATCH(MID($A156,FIND(":",$A156)+2,LEN($A156)-FIND(":",$A156)+2),INDIRECT("'Annex 1 LV and HV charges"&amp;MID($A$2,FIND("_",$A$2),2)&amp;"'!$A$10:$A$51"),0),MATCH(E$13,$A$13:$J$13,0))-E156),"")</f>
        <v/>
      </c>
      <c r="M156" s="328" t="str">
        <f ca="1">IFERROR(IF(#REF!="","",INDEX(INDIRECT("'Annex 1 LV and HV charges"&amp;MID($A$2,FIND("_",$A$2),2)&amp;"'!$A$10:$K$51"),MATCH(MID($A156,FIND(":",$A156)+2,LEN($A156)-FIND(":",$A156)+2),INDIRECT("'Annex 1 LV and HV charges"&amp;MID($A$2,FIND("_",$A$2),2)&amp;"'!$A$10:$A$51"),0),MATCH(F$13,$A$13:$J$13,0))-F156),"")</f>
        <v/>
      </c>
      <c r="N156" s="328" t="str">
        <f ca="1">IFERROR(IF(#REF!="","",INDEX(INDIRECT("'Annex 1 LV and HV charges"&amp;MID($A$2,FIND("_",$A$2),2)&amp;"'!$A$10:$K$51"),MATCH(MID($A156,FIND(":",$A156)+2,LEN($A156)-FIND(":",$A156)+2),INDIRECT("'Annex 1 LV and HV charges"&amp;MID($A$2,FIND("_",$A$2),2)&amp;"'!$A$10:$A$51"),0),MATCH(G$13,$A$13:$J$13,0))-G156),"")</f>
        <v/>
      </c>
      <c r="O156" s="328" t="str">
        <f ca="1">IFERROR(IF(#REF!="","",INDEX(INDIRECT("'Annex 1 LV and HV charges"&amp;MID($A$2,FIND("_",$A$2),2)&amp;"'!$A$10:$K$51"),MATCH(MID($A156,FIND(":",$A156)+2,LEN($A156)-FIND(":",$A156)+2),INDIRECT("'Annex 1 LV and HV charges"&amp;MID($A$2,FIND("_",$A$2),2)&amp;"'!$A$10:$A$51"),0),MATCH(H$13,$A$13:$J$13,0))-H156),"")</f>
        <v/>
      </c>
      <c r="P156" s="328" t="str">
        <f ca="1">IFERROR(IF(#REF!="","",INDEX(INDIRECT("'Annex 1 LV and HV charges"&amp;MID($A$2,FIND("_",$A$2),2)&amp;"'!$A$10:$K$51"),MATCH(MID($A156,FIND(":",$A156)+2,LEN($A156)-FIND(":",$A156)+2),INDIRECT("'Annex 1 LV and HV charges"&amp;MID($A$2,FIND("_",$A$2),2)&amp;"'!$A$10:$A$51"),0),MATCH(I$13,$A$13:$J$13,0))-I156),"")</f>
        <v/>
      </c>
      <c r="Q156" s="328" t="str">
        <f ca="1">IFERROR(IF(#REF!="","",INDEX(INDIRECT("'Annex 1 LV and HV charges"&amp;MID($A$2,FIND("_",$A$2),2)&amp;"'!$A$10:$K$51"),MATCH(MID($A156,FIND(":",$A156)+2,LEN($A156)-FIND(":",$A156)+2),INDIRECT("'Annex 1 LV and HV charges"&amp;MID($A$2,FIND("_",$A$2),2)&amp;"'!$A$10:$A$51"),0),MATCH(J$13,$A$13:$J$13,0))-J156),"")</f>
        <v/>
      </c>
    </row>
    <row r="157" spans="1:17" ht="27.75" customHeight="1" x14ac:dyDescent="0.2">
      <c r="A157" s="324" t="s">
        <v>716</v>
      </c>
      <c r="B157" s="18"/>
      <c r="C157" s="327">
        <v>0</v>
      </c>
      <c r="D157" s="92">
        <v>0.47699999999999998</v>
      </c>
      <c r="E157" s="93">
        <v>0.13300000000000001</v>
      </c>
      <c r="F157" s="94">
        <v>1.7999999999999999E-2</v>
      </c>
      <c r="G157" s="319" t="s">
        <v>840</v>
      </c>
      <c r="H157" s="319">
        <v>0.83</v>
      </c>
      <c r="I157" s="322">
        <v>0.83</v>
      </c>
      <c r="J157" s="26">
        <v>2.5999999999999999E-2</v>
      </c>
      <c r="K157" s="328" t="str">
        <f ca="1">IFERROR(IF(#REF!="","",INDEX(INDIRECT("'Annex 1 LV and HV charges"&amp;MID($A$2,FIND("_",$A$2),2)&amp;"'!$A$10:$K$51"),MATCH(MID($A157,FIND(":",$A157)+2,LEN($A157)-FIND(":",$A157)+2),INDIRECT("'Annex 1 LV and HV charges"&amp;MID($A$2,FIND("_",$A$2),2)&amp;"'!$A$10:$A$51"),0),MATCH(D$13,$A$13:$J$13,0))-D157),"")</f>
        <v/>
      </c>
      <c r="L157" s="328" t="str">
        <f ca="1">IFERROR(IF(#REF!="","",INDEX(INDIRECT("'Annex 1 LV and HV charges"&amp;MID($A$2,FIND("_",$A$2),2)&amp;"'!$A$10:$K$51"),MATCH(MID($A157,FIND(":",$A157)+2,LEN($A157)-FIND(":",$A157)+2),INDIRECT("'Annex 1 LV and HV charges"&amp;MID($A$2,FIND("_",$A$2),2)&amp;"'!$A$10:$A$51"),0),MATCH(E$13,$A$13:$J$13,0))-E157),"")</f>
        <v/>
      </c>
      <c r="M157" s="328" t="str">
        <f ca="1">IFERROR(IF(#REF!="","",INDEX(INDIRECT("'Annex 1 LV and HV charges"&amp;MID($A$2,FIND("_",$A$2),2)&amp;"'!$A$10:$K$51"),MATCH(MID($A157,FIND(":",$A157)+2,LEN($A157)-FIND(":",$A157)+2),INDIRECT("'Annex 1 LV and HV charges"&amp;MID($A$2,FIND("_",$A$2),2)&amp;"'!$A$10:$A$51"),0),MATCH(F$13,$A$13:$J$13,0))-F157),"")</f>
        <v/>
      </c>
      <c r="N157" s="328" t="str">
        <f ca="1">IFERROR(IF(#REF!="","",INDEX(INDIRECT("'Annex 1 LV and HV charges"&amp;MID($A$2,FIND("_",$A$2),2)&amp;"'!$A$10:$K$51"),MATCH(MID($A157,FIND(":",$A157)+2,LEN($A157)-FIND(":",$A157)+2),INDIRECT("'Annex 1 LV and HV charges"&amp;MID($A$2,FIND("_",$A$2),2)&amp;"'!$A$10:$A$51"),0),MATCH(G$13,$A$13:$J$13,0))-G157),"")</f>
        <v/>
      </c>
      <c r="O157" s="328" t="str">
        <f ca="1">IFERROR(IF(#REF!="","",INDEX(INDIRECT("'Annex 1 LV and HV charges"&amp;MID($A$2,FIND("_",$A$2),2)&amp;"'!$A$10:$K$51"),MATCH(MID($A157,FIND(":",$A157)+2,LEN($A157)-FIND(":",$A157)+2),INDIRECT("'Annex 1 LV and HV charges"&amp;MID($A$2,FIND("_",$A$2),2)&amp;"'!$A$10:$A$51"),0),MATCH(H$13,$A$13:$J$13,0))-H157),"")</f>
        <v/>
      </c>
      <c r="P157" s="328" t="str">
        <f ca="1">IFERROR(IF(#REF!="","",INDEX(INDIRECT("'Annex 1 LV and HV charges"&amp;MID($A$2,FIND("_",$A$2),2)&amp;"'!$A$10:$K$51"),MATCH(MID($A157,FIND(":",$A157)+2,LEN($A157)-FIND(":",$A157)+2),INDIRECT("'Annex 1 LV and HV charges"&amp;MID($A$2,FIND("_",$A$2),2)&amp;"'!$A$10:$A$51"),0),MATCH(I$13,$A$13:$J$13,0))-I157),"")</f>
        <v/>
      </c>
      <c r="Q157" s="328" t="str">
        <f ca="1">IFERROR(IF(#REF!="","",INDEX(INDIRECT("'Annex 1 LV and HV charges"&amp;MID($A$2,FIND("_",$A$2),2)&amp;"'!$A$10:$K$51"),MATCH(MID($A157,FIND(":",$A157)+2,LEN($A157)-FIND(":",$A157)+2),INDIRECT("'Annex 1 LV and HV charges"&amp;MID($A$2,FIND("_",$A$2),2)&amp;"'!$A$10:$A$51"),0),MATCH(J$13,$A$13:$J$13,0))-J157),"")</f>
        <v/>
      </c>
    </row>
    <row r="158" spans="1:17" ht="27.75" customHeight="1" x14ac:dyDescent="0.2">
      <c r="A158" s="324" t="s">
        <v>717</v>
      </c>
      <c r="B158" s="18"/>
      <c r="C158" s="327">
        <v>0</v>
      </c>
      <c r="D158" s="92">
        <v>0.47099999999999997</v>
      </c>
      <c r="E158" s="93">
        <v>0.127</v>
      </c>
      <c r="F158" s="94">
        <v>1.7999999999999999E-2</v>
      </c>
      <c r="G158" s="319" t="s">
        <v>840</v>
      </c>
      <c r="H158" s="319">
        <v>0.83</v>
      </c>
      <c r="I158" s="322">
        <v>0.83</v>
      </c>
      <c r="J158" s="26">
        <v>2.5999999999999999E-2</v>
      </c>
      <c r="K158" s="328" t="str">
        <f ca="1">IFERROR(IF(#REF!="","",INDEX(INDIRECT("'Annex 1 LV and HV charges"&amp;MID($A$2,FIND("_",$A$2),2)&amp;"'!$A$10:$K$51"),MATCH(MID($A158,FIND(":",$A158)+2,LEN($A158)-FIND(":",$A158)+2),INDIRECT("'Annex 1 LV and HV charges"&amp;MID($A$2,FIND("_",$A$2),2)&amp;"'!$A$10:$A$51"),0),MATCH(D$13,$A$13:$J$13,0))-D158),"")</f>
        <v/>
      </c>
      <c r="L158" s="328" t="str">
        <f ca="1">IFERROR(IF(#REF!="","",INDEX(INDIRECT("'Annex 1 LV and HV charges"&amp;MID($A$2,FIND("_",$A$2),2)&amp;"'!$A$10:$K$51"),MATCH(MID($A158,FIND(":",$A158)+2,LEN($A158)-FIND(":",$A158)+2),INDIRECT("'Annex 1 LV and HV charges"&amp;MID($A$2,FIND("_",$A$2),2)&amp;"'!$A$10:$A$51"),0),MATCH(E$13,$A$13:$J$13,0))-E158),"")</f>
        <v/>
      </c>
      <c r="M158" s="328" t="str">
        <f ca="1">IFERROR(IF(#REF!="","",INDEX(INDIRECT("'Annex 1 LV and HV charges"&amp;MID($A$2,FIND("_",$A$2),2)&amp;"'!$A$10:$K$51"),MATCH(MID($A158,FIND(":",$A158)+2,LEN($A158)-FIND(":",$A158)+2),INDIRECT("'Annex 1 LV and HV charges"&amp;MID($A$2,FIND("_",$A$2),2)&amp;"'!$A$10:$A$51"),0),MATCH(F$13,$A$13:$J$13,0))-F158),"")</f>
        <v/>
      </c>
      <c r="N158" s="328" t="str">
        <f ca="1">IFERROR(IF(#REF!="","",INDEX(INDIRECT("'Annex 1 LV and HV charges"&amp;MID($A$2,FIND("_",$A$2),2)&amp;"'!$A$10:$K$51"),MATCH(MID($A158,FIND(":",$A158)+2,LEN($A158)-FIND(":",$A158)+2),INDIRECT("'Annex 1 LV and HV charges"&amp;MID($A$2,FIND("_",$A$2),2)&amp;"'!$A$10:$A$51"),0),MATCH(G$13,$A$13:$J$13,0))-G158),"")</f>
        <v/>
      </c>
      <c r="O158" s="328" t="str">
        <f ca="1">IFERROR(IF(#REF!="","",INDEX(INDIRECT("'Annex 1 LV and HV charges"&amp;MID($A$2,FIND("_",$A$2),2)&amp;"'!$A$10:$K$51"),MATCH(MID($A158,FIND(":",$A158)+2,LEN($A158)-FIND(":",$A158)+2),INDIRECT("'Annex 1 LV and HV charges"&amp;MID($A$2,FIND("_",$A$2),2)&amp;"'!$A$10:$A$51"),0),MATCH(H$13,$A$13:$J$13,0))-H158),"")</f>
        <v/>
      </c>
      <c r="P158" s="328" t="str">
        <f ca="1">IFERROR(IF(#REF!="","",INDEX(INDIRECT("'Annex 1 LV and HV charges"&amp;MID($A$2,FIND("_",$A$2),2)&amp;"'!$A$10:$K$51"),MATCH(MID($A158,FIND(":",$A158)+2,LEN($A158)-FIND(":",$A158)+2),INDIRECT("'Annex 1 LV and HV charges"&amp;MID($A$2,FIND("_",$A$2),2)&amp;"'!$A$10:$A$51"),0),MATCH(I$13,$A$13:$J$13,0))-I158),"")</f>
        <v/>
      </c>
      <c r="Q158" s="328" t="str">
        <f ca="1">IFERROR(IF(#REF!="","",INDEX(INDIRECT("'Annex 1 LV and HV charges"&amp;MID($A$2,FIND("_",$A$2),2)&amp;"'!$A$10:$K$51"),MATCH(MID($A158,FIND(":",$A158)+2,LEN($A158)-FIND(":",$A158)+2),INDIRECT("'Annex 1 LV and HV charges"&amp;MID($A$2,FIND("_",$A$2),2)&amp;"'!$A$10:$A$51"),0),MATCH(J$13,$A$13:$J$13,0))-J158),"")</f>
        <v/>
      </c>
    </row>
    <row r="159" spans="1:17" ht="27.75" customHeight="1" x14ac:dyDescent="0.2">
      <c r="A159" s="324" t="s">
        <v>718</v>
      </c>
      <c r="B159" s="18"/>
      <c r="C159" s="327">
        <v>0</v>
      </c>
      <c r="D159" s="92">
        <v>0.32300000000000001</v>
      </c>
      <c r="E159" s="93">
        <v>8.2000000000000003E-2</v>
      </c>
      <c r="F159" s="94">
        <v>3.2000000000000001E-2</v>
      </c>
      <c r="G159" s="319">
        <v>15.68</v>
      </c>
      <c r="H159" s="319">
        <v>1.52</v>
      </c>
      <c r="I159" s="322">
        <v>1.52</v>
      </c>
      <c r="J159" s="26">
        <v>1.4999999999999999E-2</v>
      </c>
      <c r="K159" s="328" t="str">
        <f ca="1">IFERROR(IF(#REF!="","",INDEX(INDIRECT("'Annex 1 LV and HV charges"&amp;MID($A$2,FIND("_",$A$2),2)&amp;"'!$A$10:$K$51"),MATCH(MID($A159,FIND(":",$A159)+2,LEN($A159)-FIND(":",$A159)+2),INDIRECT("'Annex 1 LV and HV charges"&amp;MID($A$2,FIND("_",$A$2),2)&amp;"'!$A$10:$A$51"),0),MATCH(D$13,$A$13:$J$13,0))-D159),"")</f>
        <v/>
      </c>
      <c r="L159" s="328" t="str">
        <f ca="1">IFERROR(IF(#REF!="","",INDEX(INDIRECT("'Annex 1 LV and HV charges"&amp;MID($A$2,FIND("_",$A$2),2)&amp;"'!$A$10:$K$51"),MATCH(MID($A159,FIND(":",$A159)+2,LEN($A159)-FIND(":",$A159)+2),INDIRECT("'Annex 1 LV and HV charges"&amp;MID($A$2,FIND("_",$A$2),2)&amp;"'!$A$10:$A$51"),0),MATCH(E$13,$A$13:$J$13,0))-E159),"")</f>
        <v/>
      </c>
      <c r="M159" s="328" t="str">
        <f ca="1">IFERROR(IF(#REF!="","",INDEX(INDIRECT("'Annex 1 LV and HV charges"&amp;MID($A$2,FIND("_",$A$2),2)&amp;"'!$A$10:$K$51"),MATCH(MID($A159,FIND(":",$A159)+2,LEN($A159)-FIND(":",$A159)+2),INDIRECT("'Annex 1 LV and HV charges"&amp;MID($A$2,FIND("_",$A$2),2)&amp;"'!$A$10:$A$51"),0),MATCH(F$13,$A$13:$J$13,0))-F159),"")</f>
        <v/>
      </c>
      <c r="N159" s="328" t="str">
        <f ca="1">IFERROR(IF(#REF!="","",INDEX(INDIRECT("'Annex 1 LV and HV charges"&amp;MID($A$2,FIND("_",$A$2),2)&amp;"'!$A$10:$K$51"),MATCH(MID($A159,FIND(":",$A159)+2,LEN($A159)-FIND(":",$A159)+2),INDIRECT("'Annex 1 LV and HV charges"&amp;MID($A$2,FIND("_",$A$2),2)&amp;"'!$A$10:$A$51"),0),MATCH(G$13,$A$13:$J$13,0))-G159),"")</f>
        <v/>
      </c>
      <c r="O159" s="328" t="str">
        <f ca="1">IFERROR(IF(#REF!="","",INDEX(INDIRECT("'Annex 1 LV and HV charges"&amp;MID($A$2,FIND("_",$A$2),2)&amp;"'!$A$10:$K$51"),MATCH(MID($A159,FIND(":",$A159)+2,LEN($A159)-FIND(":",$A159)+2),INDIRECT("'Annex 1 LV and HV charges"&amp;MID($A$2,FIND("_",$A$2),2)&amp;"'!$A$10:$A$51"),0),MATCH(H$13,$A$13:$J$13,0))-H159),"")</f>
        <v/>
      </c>
      <c r="P159" s="328" t="str">
        <f ca="1">IFERROR(IF(#REF!="","",INDEX(INDIRECT("'Annex 1 LV and HV charges"&amp;MID($A$2,FIND("_",$A$2),2)&amp;"'!$A$10:$K$51"),MATCH(MID($A159,FIND(":",$A159)+2,LEN($A159)-FIND(":",$A159)+2),INDIRECT("'Annex 1 LV and HV charges"&amp;MID($A$2,FIND("_",$A$2),2)&amp;"'!$A$10:$A$51"),0),MATCH(I$13,$A$13:$J$13,0))-I159),"")</f>
        <v/>
      </c>
      <c r="Q159" s="328" t="str">
        <f ca="1">IFERROR(IF(#REF!="","",INDEX(INDIRECT("'Annex 1 LV and HV charges"&amp;MID($A$2,FIND("_",$A$2),2)&amp;"'!$A$10:$K$51"),MATCH(MID($A159,FIND(":",$A159)+2,LEN($A159)-FIND(":",$A159)+2),INDIRECT("'Annex 1 LV and HV charges"&amp;MID($A$2,FIND("_",$A$2),2)&amp;"'!$A$10:$A$51"),0),MATCH(J$13,$A$13:$J$13,0))-J159),"")</f>
        <v/>
      </c>
    </row>
    <row r="160" spans="1:17" ht="27.75" customHeight="1" x14ac:dyDescent="0.2">
      <c r="A160" s="324" t="s">
        <v>719</v>
      </c>
      <c r="B160" s="25"/>
      <c r="C160" s="327">
        <v>0</v>
      </c>
      <c r="D160" s="92">
        <v>0.29399999999999998</v>
      </c>
      <c r="E160" s="93">
        <v>5.3999999999999999E-2</v>
      </c>
      <c r="F160" s="94">
        <v>4.0000000000000001E-3</v>
      </c>
      <c r="G160" s="319">
        <v>9.49</v>
      </c>
      <c r="H160" s="319">
        <v>1.52</v>
      </c>
      <c r="I160" s="322">
        <v>1.52</v>
      </c>
      <c r="J160" s="26">
        <v>1.4999999999999999E-2</v>
      </c>
      <c r="K160" s="328" t="str">
        <f ca="1">IFERROR(IF(#REF!="","",INDEX(INDIRECT("'Annex 1 LV and HV charges"&amp;MID($A$2,FIND("_",$A$2),2)&amp;"'!$A$10:$K$51"),MATCH(MID($A160,FIND(":",$A160)+2,LEN($A160)-FIND(":",$A160)+2),INDIRECT("'Annex 1 LV and HV charges"&amp;MID($A$2,FIND("_",$A$2),2)&amp;"'!$A$10:$A$51"),0),MATCH(D$13,$A$13:$J$13,0))-D160),"")</f>
        <v/>
      </c>
      <c r="L160" s="328" t="str">
        <f ca="1">IFERROR(IF(#REF!="","",INDEX(INDIRECT("'Annex 1 LV and HV charges"&amp;MID($A$2,FIND("_",$A$2),2)&amp;"'!$A$10:$K$51"),MATCH(MID($A160,FIND(":",$A160)+2,LEN($A160)-FIND(":",$A160)+2),INDIRECT("'Annex 1 LV and HV charges"&amp;MID($A$2,FIND("_",$A$2),2)&amp;"'!$A$10:$A$51"),0),MATCH(E$13,$A$13:$J$13,0))-E160),"")</f>
        <v/>
      </c>
      <c r="M160" s="328" t="str">
        <f ca="1">IFERROR(IF(#REF!="","",INDEX(INDIRECT("'Annex 1 LV and HV charges"&amp;MID($A$2,FIND("_",$A$2),2)&amp;"'!$A$10:$K$51"),MATCH(MID($A160,FIND(":",$A160)+2,LEN($A160)-FIND(":",$A160)+2),INDIRECT("'Annex 1 LV and HV charges"&amp;MID($A$2,FIND("_",$A$2),2)&amp;"'!$A$10:$A$51"),0),MATCH(F$13,$A$13:$J$13,0))-F160),"")</f>
        <v/>
      </c>
      <c r="N160" s="328" t="str">
        <f ca="1">IFERROR(IF(#REF!="","",INDEX(INDIRECT("'Annex 1 LV and HV charges"&amp;MID($A$2,FIND("_",$A$2),2)&amp;"'!$A$10:$K$51"),MATCH(MID($A160,FIND(":",$A160)+2,LEN($A160)-FIND(":",$A160)+2),INDIRECT("'Annex 1 LV and HV charges"&amp;MID($A$2,FIND("_",$A$2),2)&amp;"'!$A$10:$A$51"),0),MATCH(G$13,$A$13:$J$13,0))-G160),"")</f>
        <v/>
      </c>
      <c r="O160" s="328" t="str">
        <f ca="1">IFERROR(IF(#REF!="","",INDEX(INDIRECT("'Annex 1 LV and HV charges"&amp;MID($A$2,FIND("_",$A$2),2)&amp;"'!$A$10:$K$51"),MATCH(MID($A160,FIND(":",$A160)+2,LEN($A160)-FIND(":",$A160)+2),INDIRECT("'Annex 1 LV and HV charges"&amp;MID($A$2,FIND("_",$A$2),2)&amp;"'!$A$10:$A$51"),0),MATCH(H$13,$A$13:$J$13,0))-H160),"")</f>
        <v/>
      </c>
      <c r="P160" s="328" t="str">
        <f ca="1">IFERROR(IF(#REF!="","",INDEX(INDIRECT("'Annex 1 LV and HV charges"&amp;MID($A$2,FIND("_",$A$2),2)&amp;"'!$A$10:$K$51"),MATCH(MID($A160,FIND(":",$A160)+2,LEN($A160)-FIND(":",$A160)+2),INDIRECT("'Annex 1 LV and HV charges"&amp;MID($A$2,FIND("_",$A$2),2)&amp;"'!$A$10:$A$51"),0),MATCH(I$13,$A$13:$J$13,0))-I160),"")</f>
        <v/>
      </c>
      <c r="Q160" s="328" t="str">
        <f ca="1">IFERROR(IF(#REF!="","",INDEX(INDIRECT("'Annex 1 LV and HV charges"&amp;MID($A$2,FIND("_",$A$2),2)&amp;"'!$A$10:$K$51"),MATCH(MID($A160,FIND(":",$A160)+2,LEN($A160)-FIND(":",$A160)+2),INDIRECT("'Annex 1 LV and HV charges"&amp;MID($A$2,FIND("_",$A$2),2)&amp;"'!$A$10:$A$51"),0),MATCH(J$13,$A$13:$J$13,0))-J160),"")</f>
        <v/>
      </c>
    </row>
    <row r="161" spans="1:17" ht="27.75" customHeight="1" x14ac:dyDescent="0.2">
      <c r="A161" s="324" t="s">
        <v>720</v>
      </c>
      <c r="B161" s="18"/>
      <c r="C161" s="327">
        <v>0</v>
      </c>
      <c r="D161" s="92">
        <v>0.28000000000000003</v>
      </c>
      <c r="E161" s="93">
        <v>3.9E-2</v>
      </c>
      <c r="F161" s="94" t="s">
        <v>840</v>
      </c>
      <c r="G161" s="319">
        <v>9.49</v>
      </c>
      <c r="H161" s="319">
        <v>1.52</v>
      </c>
      <c r="I161" s="322">
        <v>1.52</v>
      </c>
      <c r="J161" s="26">
        <v>1.4999999999999999E-2</v>
      </c>
      <c r="K161" s="328" t="str">
        <f ca="1">IFERROR(IF(#REF!="","",INDEX(INDIRECT("'Annex 1 LV and HV charges"&amp;MID($A$2,FIND("_",$A$2),2)&amp;"'!$A$10:$K$51"),MATCH(MID($A161,FIND(":",$A161)+2,LEN($A161)-FIND(":",$A161)+2),INDIRECT("'Annex 1 LV and HV charges"&amp;MID($A$2,FIND("_",$A$2),2)&amp;"'!$A$10:$A$51"),0),MATCH(D$13,$A$13:$J$13,0))-D161),"")</f>
        <v/>
      </c>
      <c r="L161" s="328" t="str">
        <f ca="1">IFERROR(IF(#REF!="","",INDEX(INDIRECT("'Annex 1 LV and HV charges"&amp;MID($A$2,FIND("_",$A$2),2)&amp;"'!$A$10:$K$51"),MATCH(MID($A161,FIND(":",$A161)+2,LEN($A161)-FIND(":",$A161)+2),INDIRECT("'Annex 1 LV and HV charges"&amp;MID($A$2,FIND("_",$A$2),2)&amp;"'!$A$10:$A$51"),0),MATCH(E$13,$A$13:$J$13,0))-E161),"")</f>
        <v/>
      </c>
      <c r="M161" s="328" t="str">
        <f ca="1">IFERROR(IF(#REF!="","",INDEX(INDIRECT("'Annex 1 LV and HV charges"&amp;MID($A$2,FIND("_",$A$2),2)&amp;"'!$A$10:$K$51"),MATCH(MID($A161,FIND(":",$A161)+2,LEN($A161)-FIND(":",$A161)+2),INDIRECT("'Annex 1 LV and HV charges"&amp;MID($A$2,FIND("_",$A$2),2)&amp;"'!$A$10:$A$51"),0),MATCH(F$13,$A$13:$J$13,0))-F161),"")</f>
        <v/>
      </c>
      <c r="N161" s="328" t="str">
        <f ca="1">IFERROR(IF(#REF!="","",INDEX(INDIRECT("'Annex 1 LV and HV charges"&amp;MID($A$2,FIND("_",$A$2),2)&amp;"'!$A$10:$K$51"),MATCH(MID($A161,FIND(":",$A161)+2,LEN($A161)-FIND(":",$A161)+2),INDIRECT("'Annex 1 LV and HV charges"&amp;MID($A$2,FIND("_",$A$2),2)&amp;"'!$A$10:$A$51"),0),MATCH(G$13,$A$13:$J$13,0))-G161),"")</f>
        <v/>
      </c>
      <c r="O161" s="328" t="str">
        <f ca="1">IFERROR(IF(#REF!="","",INDEX(INDIRECT("'Annex 1 LV and HV charges"&amp;MID($A$2,FIND("_",$A$2),2)&amp;"'!$A$10:$K$51"),MATCH(MID($A161,FIND(":",$A161)+2,LEN($A161)-FIND(":",$A161)+2),INDIRECT("'Annex 1 LV and HV charges"&amp;MID($A$2,FIND("_",$A$2),2)&amp;"'!$A$10:$A$51"),0),MATCH(H$13,$A$13:$J$13,0))-H161),"")</f>
        <v/>
      </c>
      <c r="P161" s="328" t="str">
        <f ca="1">IFERROR(IF(#REF!="","",INDEX(INDIRECT("'Annex 1 LV and HV charges"&amp;MID($A$2,FIND("_",$A$2),2)&amp;"'!$A$10:$K$51"),MATCH(MID($A161,FIND(":",$A161)+2,LEN($A161)-FIND(":",$A161)+2),INDIRECT("'Annex 1 LV and HV charges"&amp;MID($A$2,FIND("_",$A$2),2)&amp;"'!$A$10:$A$51"),0),MATCH(I$13,$A$13:$J$13,0))-I161),"")</f>
        <v/>
      </c>
      <c r="Q161" s="328" t="str">
        <f ca="1">IFERROR(IF(#REF!="","",INDEX(INDIRECT("'Annex 1 LV and HV charges"&amp;MID($A$2,FIND("_",$A$2),2)&amp;"'!$A$10:$K$51"),MATCH(MID($A161,FIND(":",$A161)+2,LEN($A161)-FIND(":",$A161)+2),INDIRECT("'Annex 1 LV and HV charges"&amp;MID($A$2,FIND("_",$A$2),2)&amp;"'!$A$10:$A$51"),0),MATCH(J$13,$A$13:$J$13,0))-J161),"")</f>
        <v/>
      </c>
    </row>
    <row r="162" spans="1:17" ht="27.75" customHeight="1" x14ac:dyDescent="0.2">
      <c r="A162" s="324" t="s">
        <v>721</v>
      </c>
      <c r="B162" s="18"/>
      <c r="C162" s="327">
        <v>0</v>
      </c>
      <c r="D162" s="92">
        <v>0.27100000000000002</v>
      </c>
      <c r="E162" s="93">
        <v>0.03</v>
      </c>
      <c r="F162" s="94" t="s">
        <v>840</v>
      </c>
      <c r="G162" s="319">
        <v>9.49</v>
      </c>
      <c r="H162" s="319">
        <v>1.52</v>
      </c>
      <c r="I162" s="322">
        <v>1.52</v>
      </c>
      <c r="J162" s="26">
        <v>1.4999999999999999E-2</v>
      </c>
      <c r="K162" s="328" t="str">
        <f ca="1">IFERROR(IF(#REF!="","",INDEX(INDIRECT("'Annex 1 LV and HV charges"&amp;MID($A$2,FIND("_",$A$2),2)&amp;"'!$A$10:$K$51"),MATCH(MID($A162,FIND(":",$A162)+2,LEN($A162)-FIND(":",$A162)+2),INDIRECT("'Annex 1 LV and HV charges"&amp;MID($A$2,FIND("_",$A$2),2)&amp;"'!$A$10:$A$51"),0),MATCH(D$13,$A$13:$J$13,0))-D162),"")</f>
        <v/>
      </c>
      <c r="L162" s="328" t="str">
        <f ca="1">IFERROR(IF(#REF!="","",INDEX(INDIRECT("'Annex 1 LV and HV charges"&amp;MID($A$2,FIND("_",$A$2),2)&amp;"'!$A$10:$K$51"),MATCH(MID($A162,FIND(":",$A162)+2,LEN($A162)-FIND(":",$A162)+2),INDIRECT("'Annex 1 LV and HV charges"&amp;MID($A$2,FIND("_",$A$2),2)&amp;"'!$A$10:$A$51"),0),MATCH(E$13,$A$13:$J$13,0))-E162),"")</f>
        <v/>
      </c>
      <c r="M162" s="328" t="str">
        <f ca="1">IFERROR(IF(#REF!="","",INDEX(INDIRECT("'Annex 1 LV and HV charges"&amp;MID($A$2,FIND("_",$A$2),2)&amp;"'!$A$10:$K$51"),MATCH(MID($A162,FIND(":",$A162)+2,LEN($A162)-FIND(":",$A162)+2),INDIRECT("'Annex 1 LV and HV charges"&amp;MID($A$2,FIND("_",$A$2),2)&amp;"'!$A$10:$A$51"),0),MATCH(F$13,$A$13:$J$13,0))-F162),"")</f>
        <v/>
      </c>
      <c r="N162" s="328" t="str">
        <f ca="1">IFERROR(IF(#REF!="","",INDEX(INDIRECT("'Annex 1 LV and HV charges"&amp;MID($A$2,FIND("_",$A$2),2)&amp;"'!$A$10:$K$51"),MATCH(MID($A162,FIND(":",$A162)+2,LEN($A162)-FIND(":",$A162)+2),INDIRECT("'Annex 1 LV and HV charges"&amp;MID($A$2,FIND("_",$A$2),2)&amp;"'!$A$10:$A$51"),0),MATCH(G$13,$A$13:$J$13,0))-G162),"")</f>
        <v/>
      </c>
      <c r="O162" s="328" t="str">
        <f ca="1">IFERROR(IF(#REF!="","",INDEX(INDIRECT("'Annex 1 LV and HV charges"&amp;MID($A$2,FIND("_",$A$2),2)&amp;"'!$A$10:$K$51"),MATCH(MID($A162,FIND(":",$A162)+2,LEN($A162)-FIND(":",$A162)+2),INDIRECT("'Annex 1 LV and HV charges"&amp;MID($A$2,FIND("_",$A$2),2)&amp;"'!$A$10:$A$51"),0),MATCH(H$13,$A$13:$J$13,0))-H162),"")</f>
        <v/>
      </c>
      <c r="P162" s="328" t="str">
        <f ca="1">IFERROR(IF(#REF!="","",INDEX(INDIRECT("'Annex 1 LV and HV charges"&amp;MID($A$2,FIND("_",$A$2),2)&amp;"'!$A$10:$K$51"),MATCH(MID($A162,FIND(":",$A162)+2,LEN($A162)-FIND(":",$A162)+2),INDIRECT("'Annex 1 LV and HV charges"&amp;MID($A$2,FIND("_",$A$2),2)&amp;"'!$A$10:$A$51"),0),MATCH(I$13,$A$13:$J$13,0))-I162),"")</f>
        <v/>
      </c>
      <c r="Q162" s="328" t="str">
        <f ca="1">IFERROR(IF(#REF!="","",INDEX(INDIRECT("'Annex 1 LV and HV charges"&amp;MID($A$2,FIND("_",$A$2),2)&amp;"'!$A$10:$K$51"),MATCH(MID($A162,FIND(":",$A162)+2,LEN($A162)-FIND(":",$A162)+2),INDIRECT("'Annex 1 LV and HV charges"&amp;MID($A$2,FIND("_",$A$2),2)&amp;"'!$A$10:$A$51"),0),MATCH(J$13,$A$13:$J$13,0))-J162),"")</f>
        <v/>
      </c>
    </row>
    <row r="163" spans="1:17" ht="27.75" customHeight="1" x14ac:dyDescent="0.2">
      <c r="A163" s="324" t="s">
        <v>722</v>
      </c>
      <c r="B163" s="18"/>
      <c r="C163" s="327">
        <v>0</v>
      </c>
      <c r="D163" s="92">
        <v>0.26300000000000001</v>
      </c>
      <c r="E163" s="93">
        <v>2.1999999999999999E-2</v>
      </c>
      <c r="F163" s="94" t="s">
        <v>840</v>
      </c>
      <c r="G163" s="319">
        <v>9.49</v>
      </c>
      <c r="H163" s="319">
        <v>1.52</v>
      </c>
      <c r="I163" s="322">
        <v>1.52</v>
      </c>
      <c r="J163" s="26">
        <v>1.4999999999999999E-2</v>
      </c>
      <c r="K163" s="328" t="str">
        <f ca="1">IFERROR(IF(#REF!="","",INDEX(INDIRECT("'Annex 1 LV and HV charges"&amp;MID($A$2,FIND("_",$A$2),2)&amp;"'!$A$10:$K$51"),MATCH(MID($A163,FIND(":",$A163)+2,LEN($A163)-FIND(":",$A163)+2),INDIRECT("'Annex 1 LV and HV charges"&amp;MID($A$2,FIND("_",$A$2),2)&amp;"'!$A$10:$A$51"),0),MATCH(D$13,$A$13:$J$13,0))-D163),"")</f>
        <v/>
      </c>
      <c r="L163" s="328" t="str">
        <f ca="1">IFERROR(IF(#REF!="","",INDEX(INDIRECT("'Annex 1 LV and HV charges"&amp;MID($A$2,FIND("_",$A$2),2)&amp;"'!$A$10:$K$51"),MATCH(MID($A163,FIND(":",$A163)+2,LEN($A163)-FIND(":",$A163)+2),INDIRECT("'Annex 1 LV and HV charges"&amp;MID($A$2,FIND("_",$A$2),2)&amp;"'!$A$10:$A$51"),0),MATCH(E$13,$A$13:$J$13,0))-E163),"")</f>
        <v/>
      </c>
      <c r="M163" s="328" t="str">
        <f ca="1">IFERROR(IF(#REF!="","",INDEX(INDIRECT("'Annex 1 LV and HV charges"&amp;MID($A$2,FIND("_",$A$2),2)&amp;"'!$A$10:$K$51"),MATCH(MID($A163,FIND(":",$A163)+2,LEN($A163)-FIND(":",$A163)+2),INDIRECT("'Annex 1 LV and HV charges"&amp;MID($A$2,FIND("_",$A$2),2)&amp;"'!$A$10:$A$51"),0),MATCH(F$13,$A$13:$J$13,0))-F163),"")</f>
        <v/>
      </c>
      <c r="N163" s="328" t="str">
        <f ca="1">IFERROR(IF(#REF!="","",INDEX(INDIRECT("'Annex 1 LV and HV charges"&amp;MID($A$2,FIND("_",$A$2),2)&amp;"'!$A$10:$K$51"),MATCH(MID($A163,FIND(":",$A163)+2,LEN($A163)-FIND(":",$A163)+2),INDIRECT("'Annex 1 LV and HV charges"&amp;MID($A$2,FIND("_",$A$2),2)&amp;"'!$A$10:$A$51"),0),MATCH(G$13,$A$13:$J$13,0))-G163),"")</f>
        <v/>
      </c>
      <c r="O163" s="328" t="str">
        <f ca="1">IFERROR(IF(#REF!="","",INDEX(INDIRECT("'Annex 1 LV and HV charges"&amp;MID($A$2,FIND("_",$A$2),2)&amp;"'!$A$10:$K$51"),MATCH(MID($A163,FIND(":",$A163)+2,LEN($A163)-FIND(":",$A163)+2),INDIRECT("'Annex 1 LV and HV charges"&amp;MID($A$2,FIND("_",$A$2),2)&amp;"'!$A$10:$A$51"),0),MATCH(H$13,$A$13:$J$13,0))-H163),"")</f>
        <v/>
      </c>
      <c r="P163" s="328" t="str">
        <f ca="1">IFERROR(IF(#REF!="","",INDEX(INDIRECT("'Annex 1 LV and HV charges"&amp;MID($A$2,FIND("_",$A$2),2)&amp;"'!$A$10:$K$51"),MATCH(MID($A163,FIND(":",$A163)+2,LEN($A163)-FIND(":",$A163)+2),INDIRECT("'Annex 1 LV and HV charges"&amp;MID($A$2,FIND("_",$A$2),2)&amp;"'!$A$10:$A$51"),0),MATCH(I$13,$A$13:$J$13,0))-I163),"")</f>
        <v/>
      </c>
      <c r="Q163" s="328" t="str">
        <f ca="1">IFERROR(IF(#REF!="","",INDEX(INDIRECT("'Annex 1 LV and HV charges"&amp;MID($A$2,FIND("_",$A$2),2)&amp;"'!$A$10:$K$51"),MATCH(MID($A163,FIND(":",$A163)+2,LEN($A163)-FIND(":",$A163)+2),INDIRECT("'Annex 1 LV and HV charges"&amp;MID($A$2,FIND("_",$A$2),2)&amp;"'!$A$10:$A$51"),0),MATCH(J$13,$A$13:$J$13,0))-J163),"")</f>
        <v/>
      </c>
    </row>
    <row r="164" spans="1:17" ht="27.75" customHeight="1" x14ac:dyDescent="0.2">
      <c r="A164" s="324" t="s">
        <v>723</v>
      </c>
      <c r="B164" s="18"/>
      <c r="C164" s="327">
        <v>0</v>
      </c>
      <c r="D164" s="92">
        <v>0.18</v>
      </c>
      <c r="E164" s="93">
        <v>4.8000000000000001E-2</v>
      </c>
      <c r="F164" s="94">
        <v>0.03</v>
      </c>
      <c r="G164" s="319">
        <v>75.3</v>
      </c>
      <c r="H164" s="319">
        <v>1.84</v>
      </c>
      <c r="I164" s="322">
        <v>1.84</v>
      </c>
      <c r="J164" s="26">
        <v>8.9999999999999993E-3</v>
      </c>
      <c r="K164" s="328" t="str">
        <f ca="1">IFERROR(IF(#REF!="","",INDEX(INDIRECT("'Annex 1 LV and HV charges"&amp;MID($A$2,FIND("_",$A$2),2)&amp;"'!$A$10:$K$51"),MATCH(MID($A164,FIND(":",$A164)+2,LEN($A164)-FIND(":",$A164)+2),INDIRECT("'Annex 1 LV and HV charges"&amp;MID($A$2,FIND("_",$A$2),2)&amp;"'!$A$10:$A$51"),0),MATCH(D$13,$A$13:$J$13,0))-D164),"")</f>
        <v/>
      </c>
      <c r="L164" s="328" t="str">
        <f ca="1">IFERROR(IF(#REF!="","",INDEX(INDIRECT("'Annex 1 LV and HV charges"&amp;MID($A$2,FIND("_",$A$2),2)&amp;"'!$A$10:$K$51"),MATCH(MID($A164,FIND(":",$A164)+2,LEN($A164)-FIND(":",$A164)+2),INDIRECT("'Annex 1 LV and HV charges"&amp;MID($A$2,FIND("_",$A$2),2)&amp;"'!$A$10:$A$51"),0),MATCH(E$13,$A$13:$J$13,0))-E164),"")</f>
        <v/>
      </c>
      <c r="M164" s="328" t="str">
        <f ca="1">IFERROR(IF(#REF!="","",INDEX(INDIRECT("'Annex 1 LV and HV charges"&amp;MID($A$2,FIND("_",$A$2),2)&amp;"'!$A$10:$K$51"),MATCH(MID($A164,FIND(":",$A164)+2,LEN($A164)-FIND(":",$A164)+2),INDIRECT("'Annex 1 LV and HV charges"&amp;MID($A$2,FIND("_",$A$2),2)&amp;"'!$A$10:$A$51"),0),MATCH(F$13,$A$13:$J$13,0))-F164),"")</f>
        <v/>
      </c>
      <c r="N164" s="328" t="str">
        <f ca="1">IFERROR(IF(#REF!="","",INDEX(INDIRECT("'Annex 1 LV and HV charges"&amp;MID($A$2,FIND("_",$A$2),2)&amp;"'!$A$10:$K$51"),MATCH(MID($A164,FIND(":",$A164)+2,LEN($A164)-FIND(":",$A164)+2),INDIRECT("'Annex 1 LV and HV charges"&amp;MID($A$2,FIND("_",$A$2),2)&amp;"'!$A$10:$A$51"),0),MATCH(G$13,$A$13:$J$13,0))-G164),"")</f>
        <v/>
      </c>
      <c r="O164" s="328" t="str">
        <f ca="1">IFERROR(IF(#REF!="","",INDEX(INDIRECT("'Annex 1 LV and HV charges"&amp;MID($A$2,FIND("_",$A$2),2)&amp;"'!$A$10:$K$51"),MATCH(MID($A164,FIND(":",$A164)+2,LEN($A164)-FIND(":",$A164)+2),INDIRECT("'Annex 1 LV and HV charges"&amp;MID($A$2,FIND("_",$A$2),2)&amp;"'!$A$10:$A$51"),0),MATCH(H$13,$A$13:$J$13,0))-H164),"")</f>
        <v/>
      </c>
      <c r="P164" s="328" t="str">
        <f ca="1">IFERROR(IF(#REF!="","",INDEX(INDIRECT("'Annex 1 LV and HV charges"&amp;MID($A$2,FIND("_",$A$2),2)&amp;"'!$A$10:$K$51"),MATCH(MID($A164,FIND(":",$A164)+2,LEN($A164)-FIND(":",$A164)+2),INDIRECT("'Annex 1 LV and HV charges"&amp;MID($A$2,FIND("_",$A$2),2)&amp;"'!$A$10:$A$51"),0),MATCH(I$13,$A$13:$J$13,0))-I164),"")</f>
        <v/>
      </c>
      <c r="Q164" s="328" t="str">
        <f ca="1">IFERROR(IF(#REF!="","",INDEX(INDIRECT("'Annex 1 LV and HV charges"&amp;MID($A$2,FIND("_",$A$2),2)&amp;"'!$A$10:$K$51"),MATCH(MID($A164,FIND(":",$A164)+2,LEN($A164)-FIND(":",$A164)+2),INDIRECT("'Annex 1 LV and HV charges"&amp;MID($A$2,FIND("_",$A$2),2)&amp;"'!$A$10:$A$51"),0),MATCH(J$13,$A$13:$J$13,0))-J164),"")</f>
        <v/>
      </c>
    </row>
    <row r="165" spans="1:17" ht="27.75" customHeight="1" x14ac:dyDescent="0.2">
      <c r="A165" s="324" t="s">
        <v>724</v>
      </c>
      <c r="B165" s="25"/>
      <c r="C165" s="327">
        <v>0</v>
      </c>
      <c r="D165" s="92">
        <v>0.18</v>
      </c>
      <c r="E165" s="93">
        <v>4.8000000000000001E-2</v>
      </c>
      <c r="F165" s="94">
        <v>0.03</v>
      </c>
      <c r="G165" s="319">
        <v>10.220000000000001</v>
      </c>
      <c r="H165" s="319">
        <v>1.84</v>
      </c>
      <c r="I165" s="322">
        <v>1.84</v>
      </c>
      <c r="J165" s="26">
        <v>8.9999999999999993E-3</v>
      </c>
      <c r="K165" s="328" t="str">
        <f ca="1">IFERROR(IF(#REF!="","",INDEX(INDIRECT("'Annex 1 LV and HV charges"&amp;MID($A$2,FIND("_",$A$2),2)&amp;"'!$A$10:$K$51"),MATCH(MID($A165,FIND(":",$A165)+2,LEN($A165)-FIND(":",$A165)+2),INDIRECT("'Annex 1 LV and HV charges"&amp;MID($A$2,FIND("_",$A$2),2)&amp;"'!$A$10:$A$51"),0),MATCH(D$13,$A$13:$J$13,0))-D165),"")</f>
        <v/>
      </c>
      <c r="L165" s="328" t="str">
        <f ca="1">IFERROR(IF(#REF!="","",INDEX(INDIRECT("'Annex 1 LV and HV charges"&amp;MID($A$2,FIND("_",$A$2),2)&amp;"'!$A$10:$K$51"),MATCH(MID($A165,FIND(":",$A165)+2,LEN($A165)-FIND(":",$A165)+2),INDIRECT("'Annex 1 LV and HV charges"&amp;MID($A$2,FIND("_",$A$2),2)&amp;"'!$A$10:$A$51"),0),MATCH(E$13,$A$13:$J$13,0))-E165),"")</f>
        <v/>
      </c>
      <c r="M165" s="328" t="str">
        <f ca="1">IFERROR(IF(#REF!="","",INDEX(INDIRECT("'Annex 1 LV and HV charges"&amp;MID($A$2,FIND("_",$A$2),2)&amp;"'!$A$10:$K$51"),MATCH(MID($A165,FIND(":",$A165)+2,LEN($A165)-FIND(":",$A165)+2),INDIRECT("'Annex 1 LV and HV charges"&amp;MID($A$2,FIND("_",$A$2),2)&amp;"'!$A$10:$A$51"),0),MATCH(F$13,$A$13:$J$13,0))-F165),"")</f>
        <v/>
      </c>
      <c r="N165" s="328" t="str">
        <f ca="1">IFERROR(IF(#REF!="","",INDEX(INDIRECT("'Annex 1 LV and HV charges"&amp;MID($A$2,FIND("_",$A$2),2)&amp;"'!$A$10:$K$51"),MATCH(MID($A165,FIND(":",$A165)+2,LEN($A165)-FIND(":",$A165)+2),INDIRECT("'Annex 1 LV and HV charges"&amp;MID($A$2,FIND("_",$A$2),2)&amp;"'!$A$10:$A$51"),0),MATCH(G$13,$A$13:$J$13,0))-G165),"")</f>
        <v/>
      </c>
      <c r="O165" s="328" t="str">
        <f ca="1">IFERROR(IF(#REF!="","",INDEX(INDIRECT("'Annex 1 LV and HV charges"&amp;MID($A$2,FIND("_",$A$2),2)&amp;"'!$A$10:$K$51"),MATCH(MID($A165,FIND(":",$A165)+2,LEN($A165)-FIND(":",$A165)+2),INDIRECT("'Annex 1 LV and HV charges"&amp;MID($A$2,FIND("_",$A$2),2)&amp;"'!$A$10:$A$51"),0),MATCH(H$13,$A$13:$J$13,0))-H165),"")</f>
        <v/>
      </c>
      <c r="P165" s="328" t="str">
        <f ca="1">IFERROR(IF(#REF!="","",INDEX(INDIRECT("'Annex 1 LV and HV charges"&amp;MID($A$2,FIND("_",$A$2),2)&amp;"'!$A$10:$K$51"),MATCH(MID($A165,FIND(":",$A165)+2,LEN($A165)-FIND(":",$A165)+2),INDIRECT("'Annex 1 LV and HV charges"&amp;MID($A$2,FIND("_",$A$2),2)&amp;"'!$A$10:$A$51"),0),MATCH(I$13,$A$13:$J$13,0))-I165),"")</f>
        <v/>
      </c>
      <c r="Q165" s="328" t="str">
        <f ca="1">IFERROR(IF(#REF!="","",INDEX(INDIRECT("'Annex 1 LV and HV charges"&amp;MID($A$2,FIND("_",$A$2),2)&amp;"'!$A$10:$K$51"),MATCH(MID($A165,FIND(":",$A165)+2,LEN($A165)-FIND(":",$A165)+2),INDIRECT("'Annex 1 LV and HV charges"&amp;MID($A$2,FIND("_",$A$2),2)&amp;"'!$A$10:$A$51"),0),MATCH(J$13,$A$13:$J$13,0))-J165),"")</f>
        <v/>
      </c>
    </row>
    <row r="166" spans="1:17" ht="27.75" customHeight="1" x14ac:dyDescent="0.2">
      <c r="A166" s="324" t="s">
        <v>725</v>
      </c>
      <c r="B166" s="18"/>
      <c r="C166" s="327">
        <v>0</v>
      </c>
      <c r="D166" s="92">
        <v>0.13400000000000001</v>
      </c>
      <c r="E166" s="93">
        <v>2E-3</v>
      </c>
      <c r="F166" s="94" t="s">
        <v>840</v>
      </c>
      <c r="G166" s="319" t="s">
        <v>840</v>
      </c>
      <c r="H166" s="319">
        <v>1.84</v>
      </c>
      <c r="I166" s="322">
        <v>1.84</v>
      </c>
      <c r="J166" s="26">
        <v>8.9999999999999993E-3</v>
      </c>
      <c r="K166" s="328" t="str">
        <f ca="1">IFERROR(IF(#REF!="","",INDEX(INDIRECT("'Annex 1 LV and HV charges"&amp;MID($A$2,FIND("_",$A$2),2)&amp;"'!$A$10:$K$51"),MATCH(MID($A166,FIND(":",$A166)+2,LEN($A166)-FIND(":",$A166)+2),INDIRECT("'Annex 1 LV and HV charges"&amp;MID($A$2,FIND("_",$A$2),2)&amp;"'!$A$10:$A$51"),0),MATCH(D$13,$A$13:$J$13,0))-D166),"")</f>
        <v/>
      </c>
      <c r="L166" s="328" t="str">
        <f ca="1">IFERROR(IF(#REF!="","",INDEX(INDIRECT("'Annex 1 LV and HV charges"&amp;MID($A$2,FIND("_",$A$2),2)&amp;"'!$A$10:$K$51"),MATCH(MID($A166,FIND(":",$A166)+2,LEN($A166)-FIND(":",$A166)+2),INDIRECT("'Annex 1 LV and HV charges"&amp;MID($A$2,FIND("_",$A$2),2)&amp;"'!$A$10:$A$51"),0),MATCH(E$13,$A$13:$J$13,0))-E166),"")</f>
        <v/>
      </c>
      <c r="M166" s="328" t="str">
        <f ca="1">IFERROR(IF(#REF!="","",INDEX(INDIRECT("'Annex 1 LV and HV charges"&amp;MID($A$2,FIND("_",$A$2),2)&amp;"'!$A$10:$K$51"),MATCH(MID($A166,FIND(":",$A166)+2,LEN($A166)-FIND(":",$A166)+2),INDIRECT("'Annex 1 LV and HV charges"&amp;MID($A$2,FIND("_",$A$2),2)&amp;"'!$A$10:$A$51"),0),MATCH(F$13,$A$13:$J$13,0))-F166),"")</f>
        <v/>
      </c>
      <c r="N166" s="328" t="str">
        <f ca="1">IFERROR(IF(#REF!="","",INDEX(INDIRECT("'Annex 1 LV and HV charges"&amp;MID($A$2,FIND("_",$A$2),2)&amp;"'!$A$10:$K$51"),MATCH(MID($A166,FIND(":",$A166)+2,LEN($A166)-FIND(":",$A166)+2),INDIRECT("'Annex 1 LV and HV charges"&amp;MID($A$2,FIND("_",$A$2),2)&amp;"'!$A$10:$A$51"),0),MATCH(G$13,$A$13:$J$13,0))-G166),"")</f>
        <v/>
      </c>
      <c r="O166" s="328" t="str">
        <f ca="1">IFERROR(IF(#REF!="","",INDEX(INDIRECT("'Annex 1 LV and HV charges"&amp;MID($A$2,FIND("_",$A$2),2)&amp;"'!$A$10:$K$51"),MATCH(MID($A166,FIND(":",$A166)+2,LEN($A166)-FIND(":",$A166)+2),INDIRECT("'Annex 1 LV and HV charges"&amp;MID($A$2,FIND("_",$A$2),2)&amp;"'!$A$10:$A$51"),0),MATCH(H$13,$A$13:$J$13,0))-H166),"")</f>
        <v/>
      </c>
      <c r="P166" s="328" t="str">
        <f ca="1">IFERROR(IF(#REF!="","",INDEX(INDIRECT("'Annex 1 LV and HV charges"&amp;MID($A$2,FIND("_",$A$2),2)&amp;"'!$A$10:$K$51"),MATCH(MID($A166,FIND(":",$A166)+2,LEN($A166)-FIND(":",$A166)+2),INDIRECT("'Annex 1 LV and HV charges"&amp;MID($A$2,FIND("_",$A$2),2)&amp;"'!$A$10:$A$51"),0),MATCH(I$13,$A$13:$J$13,0))-I166),"")</f>
        <v/>
      </c>
      <c r="Q166" s="328" t="str">
        <f ca="1">IFERROR(IF(#REF!="","",INDEX(INDIRECT("'Annex 1 LV and HV charges"&amp;MID($A$2,FIND("_",$A$2),2)&amp;"'!$A$10:$K$51"),MATCH(MID($A166,FIND(":",$A166)+2,LEN($A166)-FIND(":",$A166)+2),INDIRECT("'Annex 1 LV and HV charges"&amp;MID($A$2,FIND("_",$A$2),2)&amp;"'!$A$10:$A$51"),0),MATCH(J$13,$A$13:$J$13,0))-J166),"")</f>
        <v/>
      </c>
    </row>
    <row r="167" spans="1:17" ht="27.75" customHeight="1" x14ac:dyDescent="0.2">
      <c r="A167" s="324" t="s">
        <v>726</v>
      </c>
      <c r="B167" s="18"/>
      <c r="C167" s="327">
        <v>0</v>
      </c>
      <c r="D167" s="92">
        <v>0.06</v>
      </c>
      <c r="E167" s="93" t="s">
        <v>840</v>
      </c>
      <c r="F167" s="94" t="s">
        <v>840</v>
      </c>
      <c r="G167" s="319" t="s">
        <v>840</v>
      </c>
      <c r="H167" s="319">
        <v>1.84</v>
      </c>
      <c r="I167" s="322">
        <v>1.84</v>
      </c>
      <c r="J167" s="26">
        <v>8.9999999999999993E-3</v>
      </c>
      <c r="K167" s="328" t="str">
        <f ca="1">IFERROR(IF(#REF!="","",INDEX(INDIRECT("'Annex 1 LV and HV charges"&amp;MID($A$2,FIND("_",$A$2),2)&amp;"'!$A$10:$K$51"),MATCH(MID($A167,FIND(":",$A167)+2,LEN($A167)-FIND(":",$A167)+2),INDIRECT("'Annex 1 LV and HV charges"&amp;MID($A$2,FIND("_",$A$2),2)&amp;"'!$A$10:$A$51"),0),MATCH(D$13,$A$13:$J$13,0))-D167),"")</f>
        <v/>
      </c>
      <c r="L167" s="328" t="str">
        <f ca="1">IFERROR(IF(#REF!="","",INDEX(INDIRECT("'Annex 1 LV and HV charges"&amp;MID($A$2,FIND("_",$A$2),2)&amp;"'!$A$10:$K$51"),MATCH(MID($A167,FIND(":",$A167)+2,LEN($A167)-FIND(":",$A167)+2),INDIRECT("'Annex 1 LV and HV charges"&amp;MID($A$2,FIND("_",$A$2),2)&amp;"'!$A$10:$A$51"),0),MATCH(E$13,$A$13:$J$13,0))-E167),"")</f>
        <v/>
      </c>
      <c r="M167" s="328" t="str">
        <f ca="1">IFERROR(IF(#REF!="","",INDEX(INDIRECT("'Annex 1 LV and HV charges"&amp;MID($A$2,FIND("_",$A$2),2)&amp;"'!$A$10:$K$51"),MATCH(MID($A167,FIND(":",$A167)+2,LEN($A167)-FIND(":",$A167)+2),INDIRECT("'Annex 1 LV and HV charges"&amp;MID($A$2,FIND("_",$A$2),2)&amp;"'!$A$10:$A$51"),0),MATCH(F$13,$A$13:$J$13,0))-F167),"")</f>
        <v/>
      </c>
      <c r="N167" s="328" t="str">
        <f ca="1">IFERROR(IF(#REF!="","",INDEX(INDIRECT("'Annex 1 LV and HV charges"&amp;MID($A$2,FIND("_",$A$2),2)&amp;"'!$A$10:$K$51"),MATCH(MID($A167,FIND(":",$A167)+2,LEN($A167)-FIND(":",$A167)+2),INDIRECT("'Annex 1 LV and HV charges"&amp;MID($A$2,FIND("_",$A$2),2)&amp;"'!$A$10:$A$51"),0),MATCH(G$13,$A$13:$J$13,0))-G167),"")</f>
        <v/>
      </c>
      <c r="O167" s="328" t="str">
        <f ca="1">IFERROR(IF(#REF!="","",INDEX(INDIRECT("'Annex 1 LV and HV charges"&amp;MID($A$2,FIND("_",$A$2),2)&amp;"'!$A$10:$K$51"),MATCH(MID($A167,FIND(":",$A167)+2,LEN($A167)-FIND(":",$A167)+2),INDIRECT("'Annex 1 LV and HV charges"&amp;MID($A$2,FIND("_",$A$2),2)&amp;"'!$A$10:$A$51"),0),MATCH(H$13,$A$13:$J$13,0))-H167),"")</f>
        <v/>
      </c>
      <c r="P167" s="328" t="str">
        <f ca="1">IFERROR(IF(#REF!="","",INDEX(INDIRECT("'Annex 1 LV and HV charges"&amp;MID($A$2,FIND("_",$A$2),2)&amp;"'!$A$10:$K$51"),MATCH(MID($A167,FIND(":",$A167)+2,LEN($A167)-FIND(":",$A167)+2),INDIRECT("'Annex 1 LV and HV charges"&amp;MID($A$2,FIND("_",$A$2),2)&amp;"'!$A$10:$A$51"),0),MATCH(I$13,$A$13:$J$13,0))-I167),"")</f>
        <v/>
      </c>
      <c r="Q167" s="328" t="str">
        <f ca="1">IFERROR(IF(#REF!="","",INDEX(INDIRECT("'Annex 1 LV and HV charges"&amp;MID($A$2,FIND("_",$A$2),2)&amp;"'!$A$10:$K$51"),MATCH(MID($A167,FIND(":",$A167)+2,LEN($A167)-FIND(":",$A167)+2),INDIRECT("'Annex 1 LV and HV charges"&amp;MID($A$2,FIND("_",$A$2),2)&amp;"'!$A$10:$A$51"),0),MATCH(J$13,$A$13:$J$13,0))-J167),"")</f>
        <v/>
      </c>
    </row>
    <row r="168" spans="1:17" ht="27.75" customHeight="1" x14ac:dyDescent="0.2">
      <c r="A168" s="324" t="s">
        <v>727</v>
      </c>
      <c r="B168" s="18"/>
      <c r="C168" s="327">
        <v>0</v>
      </c>
      <c r="D168" s="92" t="s">
        <v>840</v>
      </c>
      <c r="E168" s="93" t="s">
        <v>840</v>
      </c>
      <c r="F168" s="94" t="s">
        <v>840</v>
      </c>
      <c r="G168" s="319" t="s">
        <v>840</v>
      </c>
      <c r="H168" s="319">
        <v>1.84</v>
      </c>
      <c r="I168" s="322">
        <v>1.84</v>
      </c>
      <c r="J168" s="26">
        <v>8.9999999999999993E-3</v>
      </c>
      <c r="K168" s="328" t="str">
        <f ca="1">IFERROR(IF(#REF!="","",INDEX(INDIRECT("'Annex 1 LV and HV charges"&amp;MID($A$2,FIND("_",$A$2),2)&amp;"'!$A$10:$K$51"),MATCH(MID($A168,FIND(":",$A168)+2,LEN($A168)-FIND(":",$A168)+2),INDIRECT("'Annex 1 LV and HV charges"&amp;MID($A$2,FIND("_",$A$2),2)&amp;"'!$A$10:$A$51"),0),MATCH(D$13,$A$13:$J$13,0))-D168),"")</f>
        <v/>
      </c>
      <c r="L168" s="328" t="str">
        <f ca="1">IFERROR(IF(#REF!="","",INDEX(INDIRECT("'Annex 1 LV and HV charges"&amp;MID($A$2,FIND("_",$A$2),2)&amp;"'!$A$10:$K$51"),MATCH(MID($A168,FIND(":",$A168)+2,LEN($A168)-FIND(":",$A168)+2),INDIRECT("'Annex 1 LV and HV charges"&amp;MID($A$2,FIND("_",$A$2),2)&amp;"'!$A$10:$A$51"),0),MATCH(E$13,$A$13:$J$13,0))-E168),"")</f>
        <v/>
      </c>
      <c r="M168" s="328" t="str">
        <f ca="1">IFERROR(IF(#REF!="","",INDEX(INDIRECT("'Annex 1 LV and HV charges"&amp;MID($A$2,FIND("_",$A$2),2)&amp;"'!$A$10:$K$51"),MATCH(MID($A168,FIND(":",$A168)+2,LEN($A168)-FIND(":",$A168)+2),INDIRECT("'Annex 1 LV and HV charges"&amp;MID($A$2,FIND("_",$A$2),2)&amp;"'!$A$10:$A$51"),0),MATCH(F$13,$A$13:$J$13,0))-F168),"")</f>
        <v/>
      </c>
      <c r="N168" s="328" t="str">
        <f ca="1">IFERROR(IF(#REF!="","",INDEX(INDIRECT("'Annex 1 LV and HV charges"&amp;MID($A$2,FIND("_",$A$2),2)&amp;"'!$A$10:$K$51"),MATCH(MID($A168,FIND(":",$A168)+2,LEN($A168)-FIND(":",$A168)+2),INDIRECT("'Annex 1 LV and HV charges"&amp;MID($A$2,FIND("_",$A$2),2)&amp;"'!$A$10:$A$51"),0),MATCH(G$13,$A$13:$J$13,0))-G168),"")</f>
        <v/>
      </c>
      <c r="O168" s="328" t="str">
        <f ca="1">IFERROR(IF(#REF!="","",INDEX(INDIRECT("'Annex 1 LV and HV charges"&amp;MID($A$2,FIND("_",$A$2),2)&amp;"'!$A$10:$K$51"),MATCH(MID($A168,FIND(":",$A168)+2,LEN($A168)-FIND(":",$A168)+2),INDIRECT("'Annex 1 LV and HV charges"&amp;MID($A$2,FIND("_",$A$2),2)&amp;"'!$A$10:$A$51"),0),MATCH(H$13,$A$13:$J$13,0))-H168),"")</f>
        <v/>
      </c>
      <c r="P168" s="328" t="str">
        <f ca="1">IFERROR(IF(#REF!="","",INDEX(INDIRECT("'Annex 1 LV and HV charges"&amp;MID($A$2,FIND("_",$A$2),2)&amp;"'!$A$10:$K$51"),MATCH(MID($A168,FIND(":",$A168)+2,LEN($A168)-FIND(":",$A168)+2),INDIRECT("'Annex 1 LV and HV charges"&amp;MID($A$2,FIND("_",$A$2),2)&amp;"'!$A$10:$A$51"),0),MATCH(I$13,$A$13:$J$13,0))-I168),"")</f>
        <v/>
      </c>
      <c r="Q168" s="328" t="str">
        <f ca="1">IFERROR(IF(#REF!="","",INDEX(INDIRECT("'Annex 1 LV and HV charges"&amp;MID($A$2,FIND("_",$A$2),2)&amp;"'!$A$10:$K$51"),MATCH(MID($A168,FIND(":",$A168)+2,LEN($A168)-FIND(":",$A168)+2),INDIRECT("'Annex 1 LV and HV charges"&amp;MID($A$2,FIND("_",$A$2),2)&amp;"'!$A$10:$A$51"),0),MATCH(J$13,$A$13:$J$13,0))-J168),"")</f>
        <v/>
      </c>
    </row>
    <row r="169" spans="1:17" ht="27.75" customHeight="1" x14ac:dyDescent="0.2">
      <c r="A169" s="324" t="s">
        <v>591</v>
      </c>
      <c r="B169" s="25"/>
      <c r="C169" s="327" t="s">
        <v>847</v>
      </c>
      <c r="D169" s="95">
        <v>1.659</v>
      </c>
      <c r="E169" s="96">
        <v>0.53800000000000003</v>
      </c>
      <c r="F169" s="94">
        <v>0.41099999999999998</v>
      </c>
      <c r="G169" s="320" t="s">
        <v>840</v>
      </c>
      <c r="H169" s="320" t="s">
        <v>840</v>
      </c>
      <c r="I169" s="321" t="s">
        <v>840</v>
      </c>
      <c r="J169" s="27" t="s">
        <v>840</v>
      </c>
      <c r="K169" s="328" t="str">
        <f ca="1">IFERROR(IF(#REF!="","",INDEX(INDIRECT("'Annex 1 LV and HV charges"&amp;MID($A$2,FIND("_",$A$2),2)&amp;"'!$A$10:$K$51"),MATCH(MID($A169,FIND(":",$A169)+2,LEN($A169)-FIND(":",$A169)+2),INDIRECT("'Annex 1 LV and HV charges"&amp;MID($A$2,FIND("_",$A$2),2)&amp;"'!$A$10:$A$51"),0),MATCH(D$13,$A$13:$J$13,0))-D169),"")</f>
        <v/>
      </c>
      <c r="L169" s="328" t="str">
        <f ca="1">IFERROR(IF(#REF!="","",INDEX(INDIRECT("'Annex 1 LV and HV charges"&amp;MID($A$2,FIND("_",$A$2),2)&amp;"'!$A$10:$K$51"),MATCH(MID($A169,FIND(":",$A169)+2,LEN($A169)-FIND(":",$A169)+2),INDIRECT("'Annex 1 LV and HV charges"&amp;MID($A$2,FIND("_",$A$2),2)&amp;"'!$A$10:$A$51"),0),MATCH(E$13,$A$13:$J$13,0))-E169),"")</f>
        <v/>
      </c>
      <c r="M169" s="328" t="str">
        <f ca="1">IFERROR(IF(#REF!="","",INDEX(INDIRECT("'Annex 1 LV and HV charges"&amp;MID($A$2,FIND("_",$A$2),2)&amp;"'!$A$10:$K$51"),MATCH(MID($A169,FIND(":",$A169)+2,LEN($A169)-FIND(":",$A169)+2),INDIRECT("'Annex 1 LV and HV charges"&amp;MID($A$2,FIND("_",$A$2),2)&amp;"'!$A$10:$A$51"),0),MATCH(F$13,$A$13:$J$13,0))-F169),"")</f>
        <v/>
      </c>
      <c r="N169" s="328" t="str">
        <f ca="1">IFERROR(IF(#REF!="","",INDEX(INDIRECT("'Annex 1 LV and HV charges"&amp;MID($A$2,FIND("_",$A$2),2)&amp;"'!$A$10:$K$51"),MATCH(MID($A169,FIND(":",$A169)+2,LEN($A169)-FIND(":",$A169)+2),INDIRECT("'Annex 1 LV and HV charges"&amp;MID($A$2,FIND("_",$A$2),2)&amp;"'!$A$10:$A$51"),0),MATCH(G$13,$A$13:$J$13,0))-G169),"")</f>
        <v/>
      </c>
      <c r="O169" s="328" t="str">
        <f ca="1">IFERROR(IF(#REF!="","",INDEX(INDIRECT("'Annex 1 LV and HV charges"&amp;MID($A$2,FIND("_",$A$2),2)&amp;"'!$A$10:$K$51"),MATCH(MID($A169,FIND(":",$A169)+2,LEN($A169)-FIND(":",$A169)+2),INDIRECT("'Annex 1 LV and HV charges"&amp;MID($A$2,FIND("_",$A$2),2)&amp;"'!$A$10:$A$51"),0),MATCH(H$13,$A$13:$J$13,0))-H169),"")</f>
        <v/>
      </c>
      <c r="P169" s="328" t="str">
        <f ca="1">IFERROR(IF(#REF!="","",INDEX(INDIRECT("'Annex 1 LV and HV charges"&amp;MID($A$2,FIND("_",$A$2),2)&amp;"'!$A$10:$K$51"),MATCH(MID($A169,FIND(":",$A169)+2,LEN($A169)-FIND(":",$A169)+2),INDIRECT("'Annex 1 LV and HV charges"&amp;MID($A$2,FIND("_",$A$2),2)&amp;"'!$A$10:$A$51"),0),MATCH(I$13,$A$13:$J$13,0))-I169),"")</f>
        <v/>
      </c>
      <c r="Q169" s="328" t="str">
        <f ca="1">IFERROR(IF(#REF!="","",INDEX(INDIRECT("'Annex 1 LV and HV charges"&amp;MID($A$2,FIND("_",$A$2),2)&amp;"'!$A$10:$K$51"),MATCH(MID($A169,FIND(":",$A169)+2,LEN($A169)-FIND(":",$A169)+2),INDIRECT("'Annex 1 LV and HV charges"&amp;MID($A$2,FIND("_",$A$2),2)&amp;"'!$A$10:$A$51"),0),MATCH(J$13,$A$13:$J$13,0))-J169),"")</f>
        <v/>
      </c>
    </row>
    <row r="170" spans="1:17" ht="27.75" customHeight="1" x14ac:dyDescent="0.2">
      <c r="A170" s="324" t="s">
        <v>632</v>
      </c>
      <c r="B170" s="25"/>
      <c r="C170" s="327" t="s">
        <v>2118</v>
      </c>
      <c r="D170" s="92">
        <v>-0.71</v>
      </c>
      <c r="E170" s="93">
        <v>-0.248</v>
      </c>
      <c r="F170" s="94">
        <v>-5.2999999999999999E-2</v>
      </c>
      <c r="G170" s="319" t="s">
        <v>840</v>
      </c>
      <c r="H170" s="320" t="s">
        <v>840</v>
      </c>
      <c r="I170" s="321" t="s">
        <v>840</v>
      </c>
      <c r="J170" s="27" t="s">
        <v>840</v>
      </c>
      <c r="K170" s="328" t="str">
        <f ca="1">IFERROR(IF(#REF!="","",INDEX(INDIRECT("'Annex 1 LV and HV charges"&amp;MID($A$2,FIND("_",$A$2),2)&amp;"'!$A$10:$K$51"),MATCH(MID($A170,FIND(":",$A170)+2,LEN($A170)-FIND(":",$A170)+2),INDIRECT("'Annex 1 LV and HV charges"&amp;MID($A$2,FIND("_",$A$2),2)&amp;"'!$A$10:$A$51"),0),MATCH(D$13,$A$13:$J$13,0))-D170),"")</f>
        <v/>
      </c>
      <c r="L170" s="328" t="str">
        <f ca="1">IFERROR(IF(#REF!="","",INDEX(INDIRECT("'Annex 1 LV and HV charges"&amp;MID($A$2,FIND("_",$A$2),2)&amp;"'!$A$10:$K$51"),MATCH(MID($A170,FIND(":",$A170)+2,LEN($A170)-FIND(":",$A170)+2),INDIRECT("'Annex 1 LV and HV charges"&amp;MID($A$2,FIND("_",$A$2),2)&amp;"'!$A$10:$A$51"),0),MATCH(E$13,$A$13:$J$13,0))-E170),"")</f>
        <v/>
      </c>
      <c r="M170" s="328" t="str">
        <f ca="1">IFERROR(IF(#REF!="","",INDEX(INDIRECT("'Annex 1 LV and HV charges"&amp;MID($A$2,FIND("_",$A$2),2)&amp;"'!$A$10:$K$51"),MATCH(MID($A170,FIND(":",$A170)+2,LEN($A170)-FIND(":",$A170)+2),INDIRECT("'Annex 1 LV and HV charges"&amp;MID($A$2,FIND("_",$A$2),2)&amp;"'!$A$10:$A$51"),0),MATCH(F$13,$A$13:$J$13,0))-F170),"")</f>
        <v/>
      </c>
      <c r="N170" s="328" t="str">
        <f ca="1">IFERROR(IF(#REF!="","",INDEX(INDIRECT("'Annex 1 LV and HV charges"&amp;MID($A$2,FIND("_",$A$2),2)&amp;"'!$A$10:$K$51"),MATCH(MID($A170,FIND(":",$A170)+2,LEN($A170)-FIND(":",$A170)+2),INDIRECT("'Annex 1 LV and HV charges"&amp;MID($A$2,FIND("_",$A$2),2)&amp;"'!$A$10:$A$51"),0),MATCH(G$13,$A$13:$J$13,0))-G170),"")</f>
        <v/>
      </c>
      <c r="O170" s="328" t="str">
        <f ca="1">IFERROR(IF(#REF!="","",INDEX(INDIRECT("'Annex 1 LV and HV charges"&amp;MID($A$2,FIND("_",$A$2),2)&amp;"'!$A$10:$K$51"),MATCH(MID($A170,FIND(":",$A170)+2,LEN($A170)-FIND(":",$A170)+2),INDIRECT("'Annex 1 LV and HV charges"&amp;MID($A$2,FIND("_",$A$2),2)&amp;"'!$A$10:$A$51"),0),MATCH(H$13,$A$13:$J$13,0))-H170),"")</f>
        <v/>
      </c>
      <c r="P170" s="328" t="str">
        <f ca="1">IFERROR(IF(#REF!="","",INDEX(INDIRECT("'Annex 1 LV and HV charges"&amp;MID($A$2,FIND("_",$A$2),2)&amp;"'!$A$10:$K$51"),MATCH(MID($A170,FIND(":",$A170)+2,LEN($A170)-FIND(":",$A170)+2),INDIRECT("'Annex 1 LV and HV charges"&amp;MID($A$2,FIND("_",$A$2),2)&amp;"'!$A$10:$A$51"),0),MATCH(I$13,$A$13:$J$13,0))-I170),"")</f>
        <v/>
      </c>
      <c r="Q170" s="328" t="str">
        <f ca="1">IFERROR(IF(#REF!="","",INDEX(INDIRECT("'Annex 1 LV and HV charges"&amp;MID($A$2,FIND("_",$A$2),2)&amp;"'!$A$10:$K$51"),MATCH(MID($A170,FIND(":",$A170)+2,LEN($A170)-FIND(":",$A170)+2),INDIRECT("'Annex 1 LV and HV charges"&amp;MID($A$2,FIND("_",$A$2),2)&amp;"'!$A$10:$A$51"),0),MATCH(J$13,$A$13:$J$13,0))-J170),"")</f>
        <v/>
      </c>
    </row>
    <row r="171" spans="1:17" ht="27.75" customHeight="1" x14ac:dyDescent="0.2">
      <c r="A171" s="324" t="s">
        <v>633</v>
      </c>
      <c r="B171" s="323"/>
      <c r="C171" s="327" t="s">
        <v>2118</v>
      </c>
      <c r="D171" s="92">
        <v>-0.66600000000000004</v>
      </c>
      <c r="E171" s="93">
        <v>-0.22600000000000001</v>
      </c>
      <c r="F171" s="94">
        <v>-5.0999999999999997E-2</v>
      </c>
      <c r="G171" s="319" t="s">
        <v>840</v>
      </c>
      <c r="H171" s="320" t="s">
        <v>840</v>
      </c>
      <c r="I171" s="321" t="s">
        <v>840</v>
      </c>
      <c r="J171" s="27" t="s">
        <v>840</v>
      </c>
      <c r="K171" s="328" t="str">
        <f ca="1">IFERROR(IF(#REF!="","",INDEX(INDIRECT("'Annex 1 LV and HV charges"&amp;MID($A$2,FIND("_",$A$2),2)&amp;"'!$A$10:$K$51"),MATCH(MID($A171,FIND(":",$A171)+2,LEN($A171)-FIND(":",$A171)+2),INDIRECT("'Annex 1 LV and HV charges"&amp;MID($A$2,FIND("_",$A$2),2)&amp;"'!$A$10:$A$51"),0),MATCH(D$13,$A$13:$J$13,0))-D171),"")</f>
        <v/>
      </c>
      <c r="L171" s="328" t="str">
        <f ca="1">IFERROR(IF(#REF!="","",INDEX(INDIRECT("'Annex 1 LV and HV charges"&amp;MID($A$2,FIND("_",$A$2),2)&amp;"'!$A$10:$K$51"),MATCH(MID($A171,FIND(":",$A171)+2,LEN($A171)-FIND(":",$A171)+2),INDIRECT("'Annex 1 LV and HV charges"&amp;MID($A$2,FIND("_",$A$2),2)&amp;"'!$A$10:$A$51"),0),MATCH(E$13,$A$13:$J$13,0))-E171),"")</f>
        <v/>
      </c>
      <c r="M171" s="328" t="str">
        <f ca="1">IFERROR(IF(#REF!="","",INDEX(INDIRECT("'Annex 1 LV and HV charges"&amp;MID($A$2,FIND("_",$A$2),2)&amp;"'!$A$10:$K$51"),MATCH(MID($A171,FIND(":",$A171)+2,LEN($A171)-FIND(":",$A171)+2),INDIRECT("'Annex 1 LV and HV charges"&amp;MID($A$2,FIND("_",$A$2),2)&amp;"'!$A$10:$A$51"),0),MATCH(F$13,$A$13:$J$13,0))-F171),"")</f>
        <v/>
      </c>
      <c r="N171" s="328" t="str">
        <f ca="1">IFERROR(IF(#REF!="","",INDEX(INDIRECT("'Annex 1 LV and HV charges"&amp;MID($A$2,FIND("_",$A$2),2)&amp;"'!$A$10:$K$51"),MATCH(MID($A171,FIND(":",$A171)+2,LEN($A171)-FIND(":",$A171)+2),INDIRECT("'Annex 1 LV and HV charges"&amp;MID($A$2,FIND("_",$A$2),2)&amp;"'!$A$10:$A$51"),0),MATCH(G$13,$A$13:$J$13,0))-G171),"")</f>
        <v/>
      </c>
      <c r="O171" s="328" t="str">
        <f ca="1">IFERROR(IF(#REF!="","",INDEX(INDIRECT("'Annex 1 LV and HV charges"&amp;MID($A$2,FIND("_",$A$2),2)&amp;"'!$A$10:$K$51"),MATCH(MID($A171,FIND(":",$A171)+2,LEN($A171)-FIND(":",$A171)+2),INDIRECT("'Annex 1 LV and HV charges"&amp;MID($A$2,FIND("_",$A$2),2)&amp;"'!$A$10:$A$51"),0),MATCH(H$13,$A$13:$J$13,0))-H171),"")</f>
        <v/>
      </c>
      <c r="P171" s="328" t="str">
        <f ca="1">IFERROR(IF(#REF!="","",INDEX(INDIRECT("'Annex 1 LV and HV charges"&amp;MID($A$2,FIND("_",$A$2),2)&amp;"'!$A$10:$K$51"),MATCH(MID($A171,FIND(":",$A171)+2,LEN($A171)-FIND(":",$A171)+2),INDIRECT("'Annex 1 LV and HV charges"&amp;MID($A$2,FIND("_",$A$2),2)&amp;"'!$A$10:$A$51"),0),MATCH(I$13,$A$13:$J$13,0))-I171),"")</f>
        <v/>
      </c>
      <c r="Q171" s="328" t="str">
        <f ca="1">IFERROR(IF(#REF!="","",INDEX(INDIRECT("'Annex 1 LV and HV charges"&amp;MID($A$2,FIND("_",$A$2),2)&amp;"'!$A$10:$K$51"),MATCH(MID($A171,FIND(":",$A171)+2,LEN($A171)-FIND(":",$A171)+2),INDIRECT("'Annex 1 LV and HV charges"&amp;MID($A$2,FIND("_",$A$2),2)&amp;"'!$A$10:$A$51"),0),MATCH(J$13,$A$13:$J$13,0))-J171),"")</f>
        <v/>
      </c>
    </row>
    <row r="172" spans="1:17" ht="27.75" customHeight="1" x14ac:dyDescent="0.2">
      <c r="A172" s="324" t="s">
        <v>634</v>
      </c>
      <c r="B172" s="25"/>
      <c r="C172" s="327">
        <v>0</v>
      </c>
      <c r="D172" s="92">
        <v>-0.71</v>
      </c>
      <c r="E172" s="93">
        <v>-0.248</v>
      </c>
      <c r="F172" s="94">
        <v>-5.2999999999999999E-2</v>
      </c>
      <c r="G172" s="319" t="s">
        <v>840</v>
      </c>
      <c r="H172" s="320" t="s">
        <v>840</v>
      </c>
      <c r="I172" s="321" t="s">
        <v>840</v>
      </c>
      <c r="J172" s="26">
        <v>4.2000000000000003E-2</v>
      </c>
      <c r="K172" s="328" t="str">
        <f ca="1">IFERROR(IF(#REF!="","",INDEX(INDIRECT("'Annex 1 LV and HV charges"&amp;MID($A$2,FIND("_",$A$2),2)&amp;"'!$A$10:$K$51"),MATCH(MID($A172,FIND(":",$A172)+2,LEN($A172)-FIND(":",$A172)+2),INDIRECT("'Annex 1 LV and HV charges"&amp;MID($A$2,FIND("_",$A$2),2)&amp;"'!$A$10:$A$51"),0),MATCH(D$13,$A$13:$J$13,0))-D172),"")</f>
        <v/>
      </c>
      <c r="L172" s="328" t="str">
        <f ca="1">IFERROR(IF(#REF!="","",INDEX(INDIRECT("'Annex 1 LV and HV charges"&amp;MID($A$2,FIND("_",$A$2),2)&amp;"'!$A$10:$K$51"),MATCH(MID($A172,FIND(":",$A172)+2,LEN($A172)-FIND(":",$A172)+2),INDIRECT("'Annex 1 LV and HV charges"&amp;MID($A$2,FIND("_",$A$2),2)&amp;"'!$A$10:$A$51"),0),MATCH(E$13,$A$13:$J$13,0))-E172),"")</f>
        <v/>
      </c>
      <c r="M172" s="328" t="str">
        <f ca="1">IFERROR(IF(#REF!="","",INDEX(INDIRECT("'Annex 1 LV and HV charges"&amp;MID($A$2,FIND("_",$A$2),2)&amp;"'!$A$10:$K$51"),MATCH(MID($A172,FIND(":",$A172)+2,LEN($A172)-FIND(":",$A172)+2),INDIRECT("'Annex 1 LV and HV charges"&amp;MID($A$2,FIND("_",$A$2),2)&amp;"'!$A$10:$A$51"),0),MATCH(F$13,$A$13:$J$13,0))-F172),"")</f>
        <v/>
      </c>
      <c r="N172" s="328" t="str">
        <f ca="1">IFERROR(IF(#REF!="","",INDEX(INDIRECT("'Annex 1 LV and HV charges"&amp;MID($A$2,FIND("_",$A$2),2)&amp;"'!$A$10:$K$51"),MATCH(MID($A172,FIND(":",$A172)+2,LEN($A172)-FIND(":",$A172)+2),INDIRECT("'Annex 1 LV and HV charges"&amp;MID($A$2,FIND("_",$A$2),2)&amp;"'!$A$10:$A$51"),0),MATCH(G$13,$A$13:$J$13,0))-G172),"")</f>
        <v/>
      </c>
      <c r="O172" s="328" t="str">
        <f ca="1">IFERROR(IF(#REF!="","",INDEX(INDIRECT("'Annex 1 LV and HV charges"&amp;MID($A$2,FIND("_",$A$2),2)&amp;"'!$A$10:$K$51"),MATCH(MID($A172,FIND(":",$A172)+2,LEN($A172)-FIND(":",$A172)+2),INDIRECT("'Annex 1 LV and HV charges"&amp;MID($A$2,FIND("_",$A$2),2)&amp;"'!$A$10:$A$51"),0),MATCH(H$13,$A$13:$J$13,0))-H172),"")</f>
        <v/>
      </c>
      <c r="P172" s="328" t="str">
        <f ca="1">IFERROR(IF(#REF!="","",INDEX(INDIRECT("'Annex 1 LV and HV charges"&amp;MID($A$2,FIND("_",$A$2),2)&amp;"'!$A$10:$K$51"),MATCH(MID($A172,FIND(":",$A172)+2,LEN($A172)-FIND(":",$A172)+2),INDIRECT("'Annex 1 LV and HV charges"&amp;MID($A$2,FIND("_",$A$2),2)&amp;"'!$A$10:$A$51"),0),MATCH(I$13,$A$13:$J$13,0))-I172),"")</f>
        <v/>
      </c>
      <c r="Q172" s="328" t="str">
        <f ca="1">IFERROR(IF(#REF!="","",INDEX(INDIRECT("'Annex 1 LV and HV charges"&amp;MID($A$2,FIND("_",$A$2),2)&amp;"'!$A$10:$K$51"),MATCH(MID($A172,FIND(":",$A172)+2,LEN($A172)-FIND(":",$A172)+2),INDIRECT("'Annex 1 LV and HV charges"&amp;MID($A$2,FIND("_",$A$2),2)&amp;"'!$A$10:$A$51"),0),MATCH(J$13,$A$13:$J$13,0))-J172),"")</f>
        <v/>
      </c>
    </row>
    <row r="173" spans="1:17" ht="27.75" customHeight="1" x14ac:dyDescent="0.2">
      <c r="A173" s="324" t="s">
        <v>635</v>
      </c>
      <c r="B173" s="25"/>
      <c r="C173" s="327">
        <v>0</v>
      </c>
      <c r="D173" s="92">
        <v>-0.66600000000000004</v>
      </c>
      <c r="E173" s="93">
        <v>-0.22600000000000001</v>
      </c>
      <c r="F173" s="94">
        <v>-5.0999999999999997E-2</v>
      </c>
      <c r="G173" s="319" t="s">
        <v>840</v>
      </c>
      <c r="H173" s="320" t="s">
        <v>840</v>
      </c>
      <c r="I173" s="321" t="s">
        <v>840</v>
      </c>
      <c r="J173" s="26">
        <v>3.5000000000000003E-2</v>
      </c>
      <c r="K173" s="328" t="str">
        <f ca="1">IFERROR(IF(#REF!="","",INDEX(INDIRECT("'Annex 1 LV and HV charges"&amp;MID($A$2,FIND("_",$A$2),2)&amp;"'!$A$10:$K$51"),MATCH(MID($A173,FIND(":",$A173)+2,LEN($A173)-FIND(":",$A173)+2),INDIRECT("'Annex 1 LV and HV charges"&amp;MID($A$2,FIND("_",$A$2),2)&amp;"'!$A$10:$A$51"),0),MATCH(D$13,$A$13:$J$13,0))-D173),"")</f>
        <v/>
      </c>
      <c r="L173" s="328" t="str">
        <f ca="1">IFERROR(IF(#REF!="","",INDEX(INDIRECT("'Annex 1 LV and HV charges"&amp;MID($A$2,FIND("_",$A$2),2)&amp;"'!$A$10:$K$51"),MATCH(MID($A173,FIND(":",$A173)+2,LEN($A173)-FIND(":",$A173)+2),INDIRECT("'Annex 1 LV and HV charges"&amp;MID($A$2,FIND("_",$A$2),2)&amp;"'!$A$10:$A$51"),0),MATCH(E$13,$A$13:$J$13,0))-E173),"")</f>
        <v/>
      </c>
      <c r="M173" s="328" t="str">
        <f ca="1">IFERROR(IF(#REF!="","",INDEX(INDIRECT("'Annex 1 LV and HV charges"&amp;MID($A$2,FIND("_",$A$2),2)&amp;"'!$A$10:$K$51"),MATCH(MID($A173,FIND(":",$A173)+2,LEN($A173)-FIND(":",$A173)+2),INDIRECT("'Annex 1 LV and HV charges"&amp;MID($A$2,FIND("_",$A$2),2)&amp;"'!$A$10:$A$51"),0),MATCH(F$13,$A$13:$J$13,0))-F173),"")</f>
        <v/>
      </c>
      <c r="N173" s="328" t="str">
        <f ca="1">IFERROR(IF(#REF!="","",INDEX(INDIRECT("'Annex 1 LV and HV charges"&amp;MID($A$2,FIND("_",$A$2),2)&amp;"'!$A$10:$K$51"),MATCH(MID($A173,FIND(":",$A173)+2,LEN($A173)-FIND(":",$A173)+2),INDIRECT("'Annex 1 LV and HV charges"&amp;MID($A$2,FIND("_",$A$2),2)&amp;"'!$A$10:$A$51"),0),MATCH(G$13,$A$13:$J$13,0))-G173),"")</f>
        <v/>
      </c>
      <c r="O173" s="328" t="str">
        <f ca="1">IFERROR(IF(#REF!="","",INDEX(INDIRECT("'Annex 1 LV and HV charges"&amp;MID($A$2,FIND("_",$A$2),2)&amp;"'!$A$10:$K$51"),MATCH(MID($A173,FIND(":",$A173)+2,LEN($A173)-FIND(":",$A173)+2),INDIRECT("'Annex 1 LV and HV charges"&amp;MID($A$2,FIND("_",$A$2),2)&amp;"'!$A$10:$A$51"),0),MATCH(H$13,$A$13:$J$13,0))-H173),"")</f>
        <v/>
      </c>
      <c r="P173" s="328" t="str">
        <f ca="1">IFERROR(IF(#REF!="","",INDEX(INDIRECT("'Annex 1 LV and HV charges"&amp;MID($A$2,FIND("_",$A$2),2)&amp;"'!$A$10:$K$51"),MATCH(MID($A173,FIND(":",$A173)+2,LEN($A173)-FIND(":",$A173)+2),INDIRECT("'Annex 1 LV and HV charges"&amp;MID($A$2,FIND("_",$A$2),2)&amp;"'!$A$10:$A$51"),0),MATCH(I$13,$A$13:$J$13,0))-I173),"")</f>
        <v/>
      </c>
      <c r="Q173" s="328" t="str">
        <f ca="1">IFERROR(IF(#REF!="","",INDEX(INDIRECT("'Annex 1 LV and HV charges"&amp;MID($A$2,FIND("_",$A$2),2)&amp;"'!$A$10:$K$51"),MATCH(MID($A173,FIND(":",$A173)+2,LEN($A173)-FIND(":",$A173)+2),INDIRECT("'Annex 1 LV and HV charges"&amp;MID($A$2,FIND("_",$A$2),2)&amp;"'!$A$10:$A$51"),0),MATCH(J$13,$A$13:$J$13,0))-J173),"")</f>
        <v/>
      </c>
    </row>
    <row r="174" spans="1:17" ht="27.75" customHeight="1" x14ac:dyDescent="0.2">
      <c r="A174" s="324" t="s">
        <v>636</v>
      </c>
      <c r="B174" s="25"/>
      <c r="C174" s="327">
        <v>0</v>
      </c>
      <c r="D174" s="92">
        <v>-0.67100000000000004</v>
      </c>
      <c r="E174" s="93">
        <v>-0.17</v>
      </c>
      <c r="F174" s="94">
        <v>-6.7000000000000004E-2</v>
      </c>
      <c r="G174" s="319">
        <v>213.57</v>
      </c>
      <c r="H174" s="320" t="s">
        <v>840</v>
      </c>
      <c r="I174" s="321" t="s">
        <v>840</v>
      </c>
      <c r="J174" s="26">
        <v>6.5000000000000002E-2</v>
      </c>
      <c r="K174" s="328" t="str">
        <f ca="1">IFERROR(IF(#REF!="","",INDEX(INDIRECT("'Annex 1 LV and HV charges"&amp;MID($A$2,FIND("_",$A$2),2)&amp;"'!$A$10:$K$51"),MATCH(MID($A174,FIND(":",$A174)+2,LEN($A174)-FIND(":",$A174)+2),INDIRECT("'Annex 1 LV and HV charges"&amp;MID($A$2,FIND("_",$A$2),2)&amp;"'!$A$10:$A$51"),0),MATCH(D$13,$A$13:$J$13,0))-D174),"")</f>
        <v/>
      </c>
      <c r="L174" s="328" t="str">
        <f ca="1">IFERROR(IF(#REF!="","",INDEX(INDIRECT("'Annex 1 LV and HV charges"&amp;MID($A$2,FIND("_",$A$2),2)&amp;"'!$A$10:$K$51"),MATCH(MID($A174,FIND(":",$A174)+2,LEN($A174)-FIND(":",$A174)+2),INDIRECT("'Annex 1 LV and HV charges"&amp;MID($A$2,FIND("_",$A$2),2)&amp;"'!$A$10:$A$51"),0),MATCH(E$13,$A$13:$J$13,0))-E174),"")</f>
        <v/>
      </c>
      <c r="M174" s="328" t="str">
        <f ca="1">IFERROR(IF(#REF!="","",INDEX(INDIRECT("'Annex 1 LV and HV charges"&amp;MID($A$2,FIND("_",$A$2),2)&amp;"'!$A$10:$K$51"),MATCH(MID($A174,FIND(":",$A174)+2,LEN($A174)-FIND(":",$A174)+2),INDIRECT("'Annex 1 LV and HV charges"&amp;MID($A$2,FIND("_",$A$2),2)&amp;"'!$A$10:$A$51"),0),MATCH(F$13,$A$13:$J$13,0))-F174),"")</f>
        <v/>
      </c>
      <c r="N174" s="328" t="str">
        <f ca="1">IFERROR(IF(#REF!="","",INDEX(INDIRECT("'Annex 1 LV and HV charges"&amp;MID($A$2,FIND("_",$A$2),2)&amp;"'!$A$10:$K$51"),MATCH(MID($A174,FIND(":",$A174)+2,LEN($A174)-FIND(":",$A174)+2),INDIRECT("'Annex 1 LV and HV charges"&amp;MID($A$2,FIND("_",$A$2),2)&amp;"'!$A$10:$A$51"),0),MATCH(G$13,$A$13:$J$13,0))-G174),"")</f>
        <v/>
      </c>
      <c r="O174" s="328" t="str">
        <f ca="1">IFERROR(IF(#REF!="","",INDEX(INDIRECT("'Annex 1 LV and HV charges"&amp;MID($A$2,FIND("_",$A$2),2)&amp;"'!$A$10:$K$51"),MATCH(MID($A174,FIND(":",$A174)+2,LEN($A174)-FIND(":",$A174)+2),INDIRECT("'Annex 1 LV and HV charges"&amp;MID($A$2,FIND("_",$A$2),2)&amp;"'!$A$10:$A$51"),0),MATCH(H$13,$A$13:$J$13,0))-H174),"")</f>
        <v/>
      </c>
      <c r="P174" s="328" t="str">
        <f ca="1">IFERROR(IF(#REF!="","",INDEX(INDIRECT("'Annex 1 LV and HV charges"&amp;MID($A$2,FIND("_",$A$2),2)&amp;"'!$A$10:$K$51"),MATCH(MID($A174,FIND(":",$A174)+2,LEN($A174)-FIND(":",$A174)+2),INDIRECT("'Annex 1 LV and HV charges"&amp;MID($A$2,FIND("_",$A$2),2)&amp;"'!$A$10:$A$51"),0),MATCH(I$13,$A$13:$J$13,0))-I174),"")</f>
        <v/>
      </c>
      <c r="Q174" s="328" t="str">
        <f ca="1">IFERROR(IF(#REF!="","",INDEX(INDIRECT("'Annex 1 LV and HV charges"&amp;MID($A$2,FIND("_",$A$2),2)&amp;"'!$A$10:$K$51"),MATCH(MID($A174,FIND(":",$A174)+2,LEN($A174)-FIND(":",$A174)+2),INDIRECT("'Annex 1 LV and HV charges"&amp;MID($A$2,FIND("_",$A$2),2)&amp;"'!$A$10:$A$51"),0),MATCH(J$13,$A$13:$J$13,0))-J174),"")</f>
        <v/>
      </c>
    </row>
    <row r="175" spans="1:17" ht="27.75" customHeight="1" x14ac:dyDescent="0.2">
      <c r="A175" s="324" t="s">
        <v>785</v>
      </c>
      <c r="B175" s="25"/>
      <c r="C175" s="327" t="s">
        <v>845</v>
      </c>
      <c r="D175" s="92">
        <v>0.68700000000000006</v>
      </c>
      <c r="E175" s="93">
        <v>0.24</v>
      </c>
      <c r="F175" s="94">
        <v>5.0999999999999997E-2</v>
      </c>
      <c r="G175" s="319">
        <v>0.71</v>
      </c>
      <c r="H175" s="320" t="s">
        <v>840</v>
      </c>
      <c r="I175" s="321" t="s">
        <v>840</v>
      </c>
      <c r="J175" s="27" t="s">
        <v>840</v>
      </c>
      <c r="K175" s="328" t="str">
        <f ca="1">IFERROR(IF(#REF!="","",INDEX(INDIRECT("'Annex 1 LV and HV charges"&amp;MID($A$2,FIND("_",$A$2),2)&amp;"'!$A$10:$K$51"),MATCH(MID($A175,FIND(":",$A175)+2,LEN($A175)-FIND(":",$A175)+2),INDIRECT("'Annex 1 LV and HV charges"&amp;MID($A$2,FIND("_",$A$2),2)&amp;"'!$A$10:$A$51"),0),MATCH(D$13,$A$13:$J$13,0))-D175),"")</f>
        <v/>
      </c>
      <c r="L175" s="328" t="str">
        <f ca="1">IFERROR(IF(#REF!="","",INDEX(INDIRECT("'Annex 1 LV and HV charges"&amp;MID($A$2,FIND("_",$A$2),2)&amp;"'!$A$10:$K$51"),MATCH(MID($A175,FIND(":",$A175)+2,LEN($A175)-FIND(":",$A175)+2),INDIRECT("'Annex 1 LV and HV charges"&amp;MID($A$2,FIND("_",$A$2),2)&amp;"'!$A$10:$A$51"),0),MATCH(E$13,$A$13:$J$13,0))-E175),"")</f>
        <v/>
      </c>
      <c r="M175" s="328" t="str">
        <f ca="1">IFERROR(IF(#REF!="","",INDEX(INDIRECT("'Annex 1 LV and HV charges"&amp;MID($A$2,FIND("_",$A$2),2)&amp;"'!$A$10:$K$51"),MATCH(MID($A175,FIND(":",$A175)+2,LEN($A175)-FIND(":",$A175)+2),INDIRECT("'Annex 1 LV and HV charges"&amp;MID($A$2,FIND("_",$A$2),2)&amp;"'!$A$10:$A$51"),0),MATCH(F$13,$A$13:$J$13,0))-F175),"")</f>
        <v/>
      </c>
      <c r="N175" s="328" t="str">
        <f ca="1">IFERROR(IF(#REF!="","",INDEX(INDIRECT("'Annex 1 LV and HV charges"&amp;MID($A$2,FIND("_",$A$2),2)&amp;"'!$A$10:$K$51"),MATCH(MID($A175,FIND(":",$A175)+2,LEN($A175)-FIND(":",$A175)+2),INDIRECT("'Annex 1 LV and HV charges"&amp;MID($A$2,FIND("_",$A$2),2)&amp;"'!$A$10:$A$51"),0),MATCH(G$13,$A$13:$J$13,0))-G175),"")</f>
        <v/>
      </c>
      <c r="O175" s="328" t="str">
        <f ca="1">IFERROR(IF(#REF!="","",INDEX(INDIRECT("'Annex 1 LV and HV charges"&amp;MID($A$2,FIND("_",$A$2),2)&amp;"'!$A$10:$K$51"),MATCH(MID($A175,FIND(":",$A175)+2,LEN($A175)-FIND(":",$A175)+2),INDIRECT("'Annex 1 LV and HV charges"&amp;MID($A$2,FIND("_",$A$2),2)&amp;"'!$A$10:$A$51"),0),MATCH(H$13,$A$13:$J$13,0))-H175),"")</f>
        <v/>
      </c>
      <c r="P175" s="328" t="str">
        <f ca="1">IFERROR(IF(#REF!="","",INDEX(INDIRECT("'Annex 1 LV and HV charges"&amp;MID($A$2,FIND("_",$A$2),2)&amp;"'!$A$10:$K$51"),MATCH(MID($A175,FIND(":",$A175)+2,LEN($A175)-FIND(":",$A175)+2),INDIRECT("'Annex 1 LV and HV charges"&amp;MID($A$2,FIND("_",$A$2),2)&amp;"'!$A$10:$A$51"),0),MATCH(I$13,$A$13:$J$13,0))-I175),"")</f>
        <v/>
      </c>
      <c r="Q175" s="328" t="str">
        <f ca="1">IFERROR(IF(#REF!="","",INDEX(INDIRECT("'Annex 1 LV and HV charges"&amp;MID($A$2,FIND("_",$A$2),2)&amp;"'!$A$10:$K$51"),MATCH(MID($A175,FIND(":",$A175)+2,LEN($A175)-FIND(":",$A175)+2),INDIRECT("'Annex 1 LV and HV charges"&amp;MID($A$2,FIND("_",$A$2),2)&amp;"'!$A$10:$A$51"),0),MATCH(J$13,$A$13:$J$13,0))-J175),"")</f>
        <v/>
      </c>
    </row>
    <row r="176" spans="1:17" ht="27.75" customHeight="1" x14ac:dyDescent="0.2">
      <c r="A176" s="324" t="s">
        <v>728</v>
      </c>
      <c r="B176" s="25"/>
      <c r="C176" s="327">
        <v>2</v>
      </c>
      <c r="D176" s="92">
        <v>0.68700000000000006</v>
      </c>
      <c r="E176" s="93">
        <v>0.24</v>
      </c>
      <c r="F176" s="94">
        <v>5.0999999999999997E-2</v>
      </c>
      <c r="G176" s="320" t="s">
        <v>840</v>
      </c>
      <c r="H176" s="320" t="s">
        <v>840</v>
      </c>
      <c r="I176" s="321" t="s">
        <v>840</v>
      </c>
      <c r="J176" s="27" t="s">
        <v>840</v>
      </c>
      <c r="K176" s="328" t="str">
        <f ca="1">IFERROR(IF(#REF!="","",INDEX(INDIRECT("'Annex 1 LV and HV charges"&amp;MID($A$2,FIND("_",$A$2),2)&amp;"'!$A$10:$K$51"),MATCH(MID($A176,FIND(":",$A176)+2,LEN($A176)-FIND(":",$A176)+2),INDIRECT("'Annex 1 LV and HV charges"&amp;MID($A$2,FIND("_",$A$2),2)&amp;"'!$A$10:$A$51"),0),MATCH(D$13,$A$13:$J$13,0))-D176),"")</f>
        <v/>
      </c>
      <c r="L176" s="328" t="str">
        <f ca="1">IFERROR(IF(#REF!="","",INDEX(INDIRECT("'Annex 1 LV and HV charges"&amp;MID($A$2,FIND("_",$A$2),2)&amp;"'!$A$10:$K$51"),MATCH(MID($A176,FIND(":",$A176)+2,LEN($A176)-FIND(":",$A176)+2),INDIRECT("'Annex 1 LV and HV charges"&amp;MID($A$2,FIND("_",$A$2),2)&amp;"'!$A$10:$A$51"),0),MATCH(E$13,$A$13:$J$13,0))-E176),"")</f>
        <v/>
      </c>
      <c r="M176" s="328" t="str">
        <f ca="1">IFERROR(IF(#REF!="","",INDEX(INDIRECT("'Annex 1 LV and HV charges"&amp;MID($A$2,FIND("_",$A$2),2)&amp;"'!$A$10:$K$51"),MATCH(MID($A176,FIND(":",$A176)+2,LEN($A176)-FIND(":",$A176)+2),INDIRECT("'Annex 1 LV and HV charges"&amp;MID($A$2,FIND("_",$A$2),2)&amp;"'!$A$10:$A$51"),0),MATCH(F$13,$A$13:$J$13,0))-F176),"")</f>
        <v/>
      </c>
      <c r="N176" s="328" t="str">
        <f ca="1">IFERROR(IF(#REF!="","",INDEX(INDIRECT("'Annex 1 LV and HV charges"&amp;MID($A$2,FIND("_",$A$2),2)&amp;"'!$A$10:$K$51"),MATCH(MID($A176,FIND(":",$A176)+2,LEN($A176)-FIND(":",$A176)+2),INDIRECT("'Annex 1 LV and HV charges"&amp;MID($A$2,FIND("_",$A$2),2)&amp;"'!$A$10:$A$51"),0),MATCH(G$13,$A$13:$J$13,0))-G176),"")</f>
        <v/>
      </c>
      <c r="O176" s="328" t="str">
        <f ca="1">IFERROR(IF(#REF!="","",INDEX(INDIRECT("'Annex 1 LV and HV charges"&amp;MID($A$2,FIND("_",$A$2),2)&amp;"'!$A$10:$K$51"),MATCH(MID($A176,FIND(":",$A176)+2,LEN($A176)-FIND(":",$A176)+2),INDIRECT("'Annex 1 LV and HV charges"&amp;MID($A$2,FIND("_",$A$2),2)&amp;"'!$A$10:$A$51"),0),MATCH(H$13,$A$13:$J$13,0))-H176),"")</f>
        <v/>
      </c>
      <c r="P176" s="328" t="str">
        <f ca="1">IFERROR(IF(#REF!="","",INDEX(INDIRECT("'Annex 1 LV and HV charges"&amp;MID($A$2,FIND("_",$A$2),2)&amp;"'!$A$10:$K$51"),MATCH(MID($A176,FIND(":",$A176)+2,LEN($A176)-FIND(":",$A176)+2),INDIRECT("'Annex 1 LV and HV charges"&amp;MID($A$2,FIND("_",$A$2),2)&amp;"'!$A$10:$A$51"),0),MATCH(I$13,$A$13:$J$13,0))-I176),"")</f>
        <v/>
      </c>
      <c r="Q176" s="328" t="str">
        <f ca="1">IFERROR(IF(#REF!="","",INDEX(INDIRECT("'Annex 1 LV and HV charges"&amp;MID($A$2,FIND("_",$A$2),2)&amp;"'!$A$10:$K$51"),MATCH(MID($A176,FIND(":",$A176)+2,LEN($A176)-FIND(":",$A176)+2),INDIRECT("'Annex 1 LV and HV charges"&amp;MID($A$2,FIND("_",$A$2),2)&amp;"'!$A$10:$A$51"),0),MATCH(J$13,$A$13:$J$13,0))-J176),"")</f>
        <v/>
      </c>
    </row>
    <row r="177" spans="1:17" ht="27.75" customHeight="1" x14ac:dyDescent="0.2">
      <c r="A177" s="324" t="s">
        <v>792</v>
      </c>
      <c r="B177" s="18"/>
      <c r="C177" s="327" t="s">
        <v>846</v>
      </c>
      <c r="D177" s="92">
        <v>0.83</v>
      </c>
      <c r="E177" s="93">
        <v>0.28999999999999998</v>
      </c>
      <c r="F177" s="94">
        <v>6.2E-2</v>
      </c>
      <c r="G177" s="319">
        <v>1.66</v>
      </c>
      <c r="H177" s="320" t="s">
        <v>840</v>
      </c>
      <c r="I177" s="321" t="s">
        <v>840</v>
      </c>
      <c r="J177" s="27" t="s">
        <v>840</v>
      </c>
      <c r="K177" s="328" t="str">
        <f ca="1">IFERROR(IF(#REF!="","",INDEX(INDIRECT("'Annex 1 LV and HV charges"&amp;MID($A$2,FIND("_",$A$2),2)&amp;"'!$A$10:$K$51"),MATCH(MID($A177,FIND(":",$A177)+2,LEN($A177)-FIND(":",$A177)+2),INDIRECT("'Annex 1 LV and HV charges"&amp;MID($A$2,FIND("_",$A$2),2)&amp;"'!$A$10:$A$51"),0),MATCH(D$13,$A$13:$J$13,0))-D177),"")</f>
        <v/>
      </c>
      <c r="L177" s="328" t="str">
        <f ca="1">IFERROR(IF(#REF!="","",INDEX(INDIRECT("'Annex 1 LV and HV charges"&amp;MID($A$2,FIND("_",$A$2),2)&amp;"'!$A$10:$K$51"),MATCH(MID($A177,FIND(":",$A177)+2,LEN($A177)-FIND(":",$A177)+2),INDIRECT("'Annex 1 LV and HV charges"&amp;MID($A$2,FIND("_",$A$2),2)&amp;"'!$A$10:$A$51"),0),MATCH(E$13,$A$13:$J$13,0))-E177),"")</f>
        <v/>
      </c>
      <c r="M177" s="328" t="str">
        <f ca="1">IFERROR(IF(#REF!="","",INDEX(INDIRECT("'Annex 1 LV and HV charges"&amp;MID($A$2,FIND("_",$A$2),2)&amp;"'!$A$10:$K$51"),MATCH(MID($A177,FIND(":",$A177)+2,LEN($A177)-FIND(":",$A177)+2),INDIRECT("'Annex 1 LV and HV charges"&amp;MID($A$2,FIND("_",$A$2),2)&amp;"'!$A$10:$A$51"),0),MATCH(F$13,$A$13:$J$13,0))-F177),"")</f>
        <v/>
      </c>
      <c r="N177" s="328" t="str">
        <f ca="1">IFERROR(IF(#REF!="","",INDEX(INDIRECT("'Annex 1 LV and HV charges"&amp;MID($A$2,FIND("_",$A$2),2)&amp;"'!$A$10:$K$51"),MATCH(MID($A177,FIND(":",$A177)+2,LEN($A177)-FIND(":",$A177)+2),INDIRECT("'Annex 1 LV and HV charges"&amp;MID($A$2,FIND("_",$A$2),2)&amp;"'!$A$10:$A$51"),0),MATCH(G$13,$A$13:$J$13,0))-G177),"")</f>
        <v/>
      </c>
      <c r="O177" s="328" t="str">
        <f ca="1">IFERROR(IF(#REF!="","",INDEX(INDIRECT("'Annex 1 LV and HV charges"&amp;MID($A$2,FIND("_",$A$2),2)&amp;"'!$A$10:$K$51"),MATCH(MID($A177,FIND(":",$A177)+2,LEN($A177)-FIND(":",$A177)+2),INDIRECT("'Annex 1 LV and HV charges"&amp;MID($A$2,FIND("_",$A$2),2)&amp;"'!$A$10:$A$51"),0),MATCH(H$13,$A$13:$J$13,0))-H177),"")</f>
        <v/>
      </c>
      <c r="P177" s="328" t="str">
        <f ca="1">IFERROR(IF(#REF!="","",INDEX(INDIRECT("'Annex 1 LV and HV charges"&amp;MID($A$2,FIND("_",$A$2),2)&amp;"'!$A$10:$K$51"),MATCH(MID($A177,FIND(":",$A177)+2,LEN($A177)-FIND(":",$A177)+2),INDIRECT("'Annex 1 LV and HV charges"&amp;MID($A$2,FIND("_",$A$2),2)&amp;"'!$A$10:$A$51"),0),MATCH(I$13,$A$13:$J$13,0))-I177),"")</f>
        <v/>
      </c>
      <c r="Q177" s="328" t="str">
        <f ca="1">IFERROR(IF(#REF!="","",INDEX(INDIRECT("'Annex 1 LV and HV charges"&amp;MID($A$2,FIND("_",$A$2),2)&amp;"'!$A$10:$K$51"),MATCH(MID($A177,FIND(":",$A177)+2,LEN($A177)-FIND(":",$A177)+2),INDIRECT("'Annex 1 LV and HV charges"&amp;MID($A$2,FIND("_",$A$2),2)&amp;"'!$A$10:$A$51"),0),MATCH(J$13,$A$13:$J$13,0))-J177),"")</f>
        <v/>
      </c>
    </row>
    <row r="178" spans="1:17" ht="27.75" customHeight="1" x14ac:dyDescent="0.2">
      <c r="A178" s="324" t="s">
        <v>799</v>
      </c>
      <c r="B178" s="25"/>
      <c r="C178" s="327" t="s">
        <v>846</v>
      </c>
      <c r="D178" s="92">
        <v>0.83</v>
      </c>
      <c r="E178" s="93">
        <v>0.28999999999999998</v>
      </c>
      <c r="F178" s="94">
        <v>6.2E-2</v>
      </c>
      <c r="G178" s="319">
        <v>1.51</v>
      </c>
      <c r="H178" s="320" t="s">
        <v>840</v>
      </c>
      <c r="I178" s="321" t="s">
        <v>840</v>
      </c>
      <c r="J178" s="27" t="s">
        <v>840</v>
      </c>
      <c r="K178" s="328" t="str">
        <f ca="1">IFERROR(IF(#REF!="","",INDEX(INDIRECT("'Annex 1 LV and HV charges"&amp;MID($A$2,FIND("_",$A$2),2)&amp;"'!$A$10:$K$51"),MATCH(MID($A178,FIND(":",$A178)+2,LEN($A178)-FIND(":",$A178)+2),INDIRECT("'Annex 1 LV and HV charges"&amp;MID($A$2,FIND("_",$A$2),2)&amp;"'!$A$10:$A$51"),0),MATCH(D$13,$A$13:$J$13,0))-D178),"")</f>
        <v/>
      </c>
      <c r="L178" s="328" t="str">
        <f ca="1">IFERROR(IF(#REF!="","",INDEX(INDIRECT("'Annex 1 LV and HV charges"&amp;MID($A$2,FIND("_",$A$2),2)&amp;"'!$A$10:$K$51"),MATCH(MID($A178,FIND(":",$A178)+2,LEN($A178)-FIND(":",$A178)+2),INDIRECT("'Annex 1 LV and HV charges"&amp;MID($A$2,FIND("_",$A$2),2)&amp;"'!$A$10:$A$51"),0),MATCH(E$13,$A$13:$J$13,0))-E178),"")</f>
        <v/>
      </c>
      <c r="M178" s="328" t="str">
        <f ca="1">IFERROR(IF(#REF!="","",INDEX(INDIRECT("'Annex 1 LV and HV charges"&amp;MID($A$2,FIND("_",$A$2),2)&amp;"'!$A$10:$K$51"),MATCH(MID($A178,FIND(":",$A178)+2,LEN($A178)-FIND(":",$A178)+2),INDIRECT("'Annex 1 LV and HV charges"&amp;MID($A$2,FIND("_",$A$2),2)&amp;"'!$A$10:$A$51"),0),MATCH(F$13,$A$13:$J$13,0))-F178),"")</f>
        <v/>
      </c>
      <c r="N178" s="328" t="str">
        <f ca="1">IFERROR(IF(#REF!="","",INDEX(INDIRECT("'Annex 1 LV and HV charges"&amp;MID($A$2,FIND("_",$A$2),2)&amp;"'!$A$10:$K$51"),MATCH(MID($A178,FIND(":",$A178)+2,LEN($A178)-FIND(":",$A178)+2),INDIRECT("'Annex 1 LV and HV charges"&amp;MID($A$2,FIND("_",$A$2),2)&amp;"'!$A$10:$A$51"),0),MATCH(G$13,$A$13:$J$13,0))-G178),"")</f>
        <v/>
      </c>
      <c r="O178" s="328" t="str">
        <f ca="1">IFERROR(IF(#REF!="","",INDEX(INDIRECT("'Annex 1 LV and HV charges"&amp;MID($A$2,FIND("_",$A$2),2)&amp;"'!$A$10:$K$51"),MATCH(MID($A178,FIND(":",$A178)+2,LEN($A178)-FIND(":",$A178)+2),INDIRECT("'Annex 1 LV and HV charges"&amp;MID($A$2,FIND("_",$A$2),2)&amp;"'!$A$10:$A$51"),0),MATCH(H$13,$A$13:$J$13,0))-H178),"")</f>
        <v/>
      </c>
      <c r="P178" s="328" t="str">
        <f ca="1">IFERROR(IF(#REF!="","",INDEX(INDIRECT("'Annex 1 LV and HV charges"&amp;MID($A$2,FIND("_",$A$2),2)&amp;"'!$A$10:$K$51"),MATCH(MID($A178,FIND(":",$A178)+2,LEN($A178)-FIND(":",$A178)+2),INDIRECT("'Annex 1 LV and HV charges"&amp;MID($A$2,FIND("_",$A$2),2)&amp;"'!$A$10:$A$51"),0),MATCH(I$13,$A$13:$J$13,0))-I178),"")</f>
        <v/>
      </c>
      <c r="Q178" s="328" t="str">
        <f ca="1">IFERROR(IF(#REF!="","",INDEX(INDIRECT("'Annex 1 LV and HV charges"&amp;MID($A$2,FIND("_",$A$2),2)&amp;"'!$A$10:$K$51"),MATCH(MID($A178,FIND(":",$A178)+2,LEN($A178)-FIND(":",$A178)+2),INDIRECT("'Annex 1 LV and HV charges"&amp;MID($A$2,FIND("_",$A$2),2)&amp;"'!$A$10:$A$51"),0),MATCH(J$13,$A$13:$J$13,0))-J178),"")</f>
        <v/>
      </c>
    </row>
    <row r="179" spans="1:17" ht="27.75" customHeight="1" x14ac:dyDescent="0.2">
      <c r="A179" s="324" t="s">
        <v>806</v>
      </c>
      <c r="B179" s="18"/>
      <c r="C179" s="327" t="s">
        <v>846</v>
      </c>
      <c r="D179" s="92">
        <v>0.83</v>
      </c>
      <c r="E179" s="93">
        <v>0.28999999999999998</v>
      </c>
      <c r="F179" s="94">
        <v>6.2E-2</v>
      </c>
      <c r="G179" s="319">
        <v>0.82</v>
      </c>
      <c r="H179" s="320" t="s">
        <v>840</v>
      </c>
      <c r="I179" s="321" t="s">
        <v>840</v>
      </c>
      <c r="J179" s="27" t="s">
        <v>840</v>
      </c>
      <c r="K179" s="328" t="str">
        <f ca="1">IFERROR(IF(#REF!="","",INDEX(INDIRECT("'Annex 1 LV and HV charges"&amp;MID($A$2,FIND("_",$A$2),2)&amp;"'!$A$10:$K$51"),MATCH(MID($A179,FIND(":",$A179)+2,LEN($A179)-FIND(":",$A179)+2),INDIRECT("'Annex 1 LV and HV charges"&amp;MID($A$2,FIND("_",$A$2),2)&amp;"'!$A$10:$A$51"),0),MATCH(D$13,$A$13:$J$13,0))-D179),"")</f>
        <v/>
      </c>
      <c r="L179" s="328" t="str">
        <f ca="1">IFERROR(IF(#REF!="","",INDEX(INDIRECT("'Annex 1 LV and HV charges"&amp;MID($A$2,FIND("_",$A$2),2)&amp;"'!$A$10:$K$51"),MATCH(MID($A179,FIND(":",$A179)+2,LEN($A179)-FIND(":",$A179)+2),INDIRECT("'Annex 1 LV and HV charges"&amp;MID($A$2,FIND("_",$A$2),2)&amp;"'!$A$10:$A$51"),0),MATCH(E$13,$A$13:$J$13,0))-E179),"")</f>
        <v/>
      </c>
      <c r="M179" s="328" t="str">
        <f ca="1">IFERROR(IF(#REF!="","",INDEX(INDIRECT("'Annex 1 LV and HV charges"&amp;MID($A$2,FIND("_",$A$2),2)&amp;"'!$A$10:$K$51"),MATCH(MID($A179,FIND(":",$A179)+2,LEN($A179)-FIND(":",$A179)+2),INDIRECT("'Annex 1 LV and HV charges"&amp;MID($A$2,FIND("_",$A$2),2)&amp;"'!$A$10:$A$51"),0),MATCH(F$13,$A$13:$J$13,0))-F179),"")</f>
        <v/>
      </c>
      <c r="N179" s="328" t="str">
        <f ca="1">IFERROR(IF(#REF!="","",INDEX(INDIRECT("'Annex 1 LV and HV charges"&amp;MID($A$2,FIND("_",$A$2),2)&amp;"'!$A$10:$K$51"),MATCH(MID($A179,FIND(":",$A179)+2,LEN($A179)-FIND(":",$A179)+2),INDIRECT("'Annex 1 LV and HV charges"&amp;MID($A$2,FIND("_",$A$2),2)&amp;"'!$A$10:$A$51"),0),MATCH(G$13,$A$13:$J$13,0))-G179),"")</f>
        <v/>
      </c>
      <c r="O179" s="328" t="str">
        <f ca="1">IFERROR(IF(#REF!="","",INDEX(INDIRECT("'Annex 1 LV and HV charges"&amp;MID($A$2,FIND("_",$A$2),2)&amp;"'!$A$10:$K$51"),MATCH(MID($A179,FIND(":",$A179)+2,LEN($A179)-FIND(":",$A179)+2),INDIRECT("'Annex 1 LV and HV charges"&amp;MID($A$2,FIND("_",$A$2),2)&amp;"'!$A$10:$A$51"),0),MATCH(H$13,$A$13:$J$13,0))-H179),"")</f>
        <v/>
      </c>
      <c r="P179" s="328" t="str">
        <f ca="1">IFERROR(IF(#REF!="","",INDEX(INDIRECT("'Annex 1 LV and HV charges"&amp;MID($A$2,FIND("_",$A$2),2)&amp;"'!$A$10:$K$51"),MATCH(MID($A179,FIND(":",$A179)+2,LEN($A179)-FIND(":",$A179)+2),INDIRECT("'Annex 1 LV and HV charges"&amp;MID($A$2,FIND("_",$A$2),2)&amp;"'!$A$10:$A$51"),0),MATCH(I$13,$A$13:$J$13,0))-I179),"")</f>
        <v/>
      </c>
      <c r="Q179" s="328" t="str">
        <f ca="1">IFERROR(IF(#REF!="","",INDEX(INDIRECT("'Annex 1 LV and HV charges"&amp;MID($A$2,FIND("_",$A$2),2)&amp;"'!$A$10:$K$51"),MATCH(MID($A179,FIND(":",$A179)+2,LEN($A179)-FIND(":",$A179)+2),INDIRECT("'Annex 1 LV and HV charges"&amp;MID($A$2,FIND("_",$A$2),2)&amp;"'!$A$10:$A$51"),0),MATCH(J$13,$A$13:$J$13,0))-J179),"")</f>
        <v/>
      </c>
    </row>
    <row r="180" spans="1:17" ht="27.75" customHeight="1" x14ac:dyDescent="0.2">
      <c r="A180" s="324" t="s">
        <v>813</v>
      </c>
      <c r="B180" s="18"/>
      <c r="C180" s="327" t="s">
        <v>846</v>
      </c>
      <c r="D180" s="92">
        <v>0.82599999999999996</v>
      </c>
      <c r="E180" s="93">
        <v>0.28499999999999998</v>
      </c>
      <c r="F180" s="94">
        <v>5.7000000000000002E-2</v>
      </c>
      <c r="G180" s="319" t="s">
        <v>840</v>
      </c>
      <c r="H180" s="320" t="s">
        <v>840</v>
      </c>
      <c r="I180" s="321" t="s">
        <v>840</v>
      </c>
      <c r="J180" s="27" t="s">
        <v>840</v>
      </c>
      <c r="K180" s="328" t="str">
        <f ca="1">IFERROR(IF(#REF!="","",INDEX(INDIRECT("'Annex 1 LV and HV charges"&amp;MID($A$2,FIND("_",$A$2),2)&amp;"'!$A$10:$K$51"),MATCH(MID($A180,FIND(":",$A180)+2,LEN($A180)-FIND(":",$A180)+2),INDIRECT("'Annex 1 LV and HV charges"&amp;MID($A$2,FIND("_",$A$2),2)&amp;"'!$A$10:$A$51"),0),MATCH(D$13,$A$13:$J$13,0))-D180),"")</f>
        <v/>
      </c>
      <c r="L180" s="328" t="str">
        <f ca="1">IFERROR(IF(#REF!="","",INDEX(INDIRECT("'Annex 1 LV and HV charges"&amp;MID($A$2,FIND("_",$A$2),2)&amp;"'!$A$10:$K$51"),MATCH(MID($A180,FIND(":",$A180)+2,LEN($A180)-FIND(":",$A180)+2),INDIRECT("'Annex 1 LV and HV charges"&amp;MID($A$2,FIND("_",$A$2),2)&amp;"'!$A$10:$A$51"),0),MATCH(E$13,$A$13:$J$13,0))-E180),"")</f>
        <v/>
      </c>
      <c r="M180" s="328" t="str">
        <f ca="1">IFERROR(IF(#REF!="","",INDEX(INDIRECT("'Annex 1 LV and HV charges"&amp;MID($A$2,FIND("_",$A$2),2)&amp;"'!$A$10:$K$51"),MATCH(MID($A180,FIND(":",$A180)+2,LEN($A180)-FIND(":",$A180)+2),INDIRECT("'Annex 1 LV and HV charges"&amp;MID($A$2,FIND("_",$A$2),2)&amp;"'!$A$10:$A$51"),0),MATCH(F$13,$A$13:$J$13,0))-F180),"")</f>
        <v/>
      </c>
      <c r="N180" s="328" t="str">
        <f ca="1">IFERROR(IF(#REF!="","",INDEX(INDIRECT("'Annex 1 LV and HV charges"&amp;MID($A$2,FIND("_",$A$2),2)&amp;"'!$A$10:$K$51"),MATCH(MID($A180,FIND(":",$A180)+2,LEN($A180)-FIND(":",$A180)+2),INDIRECT("'Annex 1 LV and HV charges"&amp;MID($A$2,FIND("_",$A$2),2)&amp;"'!$A$10:$A$51"),0),MATCH(G$13,$A$13:$J$13,0))-G180),"")</f>
        <v/>
      </c>
      <c r="O180" s="328" t="str">
        <f ca="1">IFERROR(IF(#REF!="","",INDEX(INDIRECT("'Annex 1 LV and HV charges"&amp;MID($A$2,FIND("_",$A$2),2)&amp;"'!$A$10:$K$51"),MATCH(MID($A180,FIND(":",$A180)+2,LEN($A180)-FIND(":",$A180)+2),INDIRECT("'Annex 1 LV and HV charges"&amp;MID($A$2,FIND("_",$A$2),2)&amp;"'!$A$10:$A$51"),0),MATCH(H$13,$A$13:$J$13,0))-H180),"")</f>
        <v/>
      </c>
      <c r="P180" s="328" t="str">
        <f ca="1">IFERROR(IF(#REF!="","",INDEX(INDIRECT("'Annex 1 LV and HV charges"&amp;MID($A$2,FIND("_",$A$2),2)&amp;"'!$A$10:$K$51"),MATCH(MID($A180,FIND(":",$A180)+2,LEN($A180)-FIND(":",$A180)+2),INDIRECT("'Annex 1 LV and HV charges"&amp;MID($A$2,FIND("_",$A$2),2)&amp;"'!$A$10:$A$51"),0),MATCH(I$13,$A$13:$J$13,0))-I180),"")</f>
        <v/>
      </c>
      <c r="Q180" s="328" t="str">
        <f ca="1">IFERROR(IF(#REF!="","",INDEX(INDIRECT("'Annex 1 LV and HV charges"&amp;MID($A$2,FIND("_",$A$2),2)&amp;"'!$A$10:$K$51"),MATCH(MID($A180,FIND(":",$A180)+2,LEN($A180)-FIND(":",$A180)+2),INDIRECT("'Annex 1 LV and HV charges"&amp;MID($A$2,FIND("_",$A$2),2)&amp;"'!$A$10:$A$51"),0),MATCH(J$13,$A$13:$J$13,0))-J180),"")</f>
        <v/>
      </c>
    </row>
    <row r="181" spans="1:17" ht="27.75" customHeight="1" x14ac:dyDescent="0.2">
      <c r="A181" s="324" t="s">
        <v>820</v>
      </c>
      <c r="B181" s="18"/>
      <c r="C181" s="327" t="s">
        <v>846</v>
      </c>
      <c r="D181" s="92">
        <v>0.80300000000000005</v>
      </c>
      <c r="E181" s="93">
        <v>0.26200000000000001</v>
      </c>
      <c r="F181" s="94">
        <v>3.5000000000000003E-2</v>
      </c>
      <c r="G181" s="319" t="s">
        <v>840</v>
      </c>
      <c r="H181" s="320" t="s">
        <v>840</v>
      </c>
      <c r="I181" s="321" t="s">
        <v>840</v>
      </c>
      <c r="J181" s="27" t="s">
        <v>840</v>
      </c>
      <c r="K181" s="328" t="str">
        <f ca="1">IFERROR(IF(#REF!="","",INDEX(INDIRECT("'Annex 1 LV and HV charges"&amp;MID($A$2,FIND("_",$A$2),2)&amp;"'!$A$10:$K$51"),MATCH(MID($A181,FIND(":",$A181)+2,LEN($A181)-FIND(":",$A181)+2),INDIRECT("'Annex 1 LV and HV charges"&amp;MID($A$2,FIND("_",$A$2),2)&amp;"'!$A$10:$A$51"),0),MATCH(D$13,$A$13:$J$13,0))-D181),"")</f>
        <v/>
      </c>
      <c r="L181" s="328" t="str">
        <f ca="1">IFERROR(IF(#REF!="","",INDEX(INDIRECT("'Annex 1 LV and HV charges"&amp;MID($A$2,FIND("_",$A$2),2)&amp;"'!$A$10:$K$51"),MATCH(MID($A181,FIND(":",$A181)+2,LEN($A181)-FIND(":",$A181)+2),INDIRECT("'Annex 1 LV and HV charges"&amp;MID($A$2,FIND("_",$A$2),2)&amp;"'!$A$10:$A$51"),0),MATCH(E$13,$A$13:$J$13,0))-E181),"")</f>
        <v/>
      </c>
      <c r="M181" s="328" t="str">
        <f ca="1">IFERROR(IF(#REF!="","",INDEX(INDIRECT("'Annex 1 LV and HV charges"&amp;MID($A$2,FIND("_",$A$2),2)&amp;"'!$A$10:$K$51"),MATCH(MID($A181,FIND(":",$A181)+2,LEN($A181)-FIND(":",$A181)+2),INDIRECT("'Annex 1 LV and HV charges"&amp;MID($A$2,FIND("_",$A$2),2)&amp;"'!$A$10:$A$51"),0),MATCH(F$13,$A$13:$J$13,0))-F181),"")</f>
        <v/>
      </c>
      <c r="N181" s="328" t="str">
        <f ca="1">IFERROR(IF(#REF!="","",INDEX(INDIRECT("'Annex 1 LV and HV charges"&amp;MID($A$2,FIND("_",$A$2),2)&amp;"'!$A$10:$K$51"),MATCH(MID($A181,FIND(":",$A181)+2,LEN($A181)-FIND(":",$A181)+2),INDIRECT("'Annex 1 LV and HV charges"&amp;MID($A$2,FIND("_",$A$2),2)&amp;"'!$A$10:$A$51"),0),MATCH(G$13,$A$13:$J$13,0))-G181),"")</f>
        <v/>
      </c>
      <c r="O181" s="328" t="str">
        <f ca="1">IFERROR(IF(#REF!="","",INDEX(INDIRECT("'Annex 1 LV and HV charges"&amp;MID($A$2,FIND("_",$A$2),2)&amp;"'!$A$10:$K$51"),MATCH(MID($A181,FIND(":",$A181)+2,LEN($A181)-FIND(":",$A181)+2),INDIRECT("'Annex 1 LV and HV charges"&amp;MID($A$2,FIND("_",$A$2),2)&amp;"'!$A$10:$A$51"),0),MATCH(H$13,$A$13:$J$13,0))-H181),"")</f>
        <v/>
      </c>
      <c r="P181" s="328" t="str">
        <f ca="1">IFERROR(IF(#REF!="","",INDEX(INDIRECT("'Annex 1 LV and HV charges"&amp;MID($A$2,FIND("_",$A$2),2)&amp;"'!$A$10:$K$51"),MATCH(MID($A181,FIND(":",$A181)+2,LEN($A181)-FIND(":",$A181)+2),INDIRECT("'Annex 1 LV and HV charges"&amp;MID($A$2,FIND("_",$A$2),2)&amp;"'!$A$10:$A$51"),0),MATCH(I$13,$A$13:$J$13,0))-I181),"")</f>
        <v/>
      </c>
      <c r="Q181" s="328" t="str">
        <f ca="1">IFERROR(IF(#REF!="","",INDEX(INDIRECT("'Annex 1 LV and HV charges"&amp;MID($A$2,FIND("_",$A$2),2)&amp;"'!$A$10:$K$51"),MATCH(MID($A181,FIND(":",$A181)+2,LEN($A181)-FIND(":",$A181)+2),INDIRECT("'Annex 1 LV and HV charges"&amp;MID($A$2,FIND("_",$A$2),2)&amp;"'!$A$10:$A$51"),0),MATCH(J$13,$A$13:$J$13,0))-J181),"")</f>
        <v/>
      </c>
    </row>
    <row r="182" spans="1:17" ht="27.75" customHeight="1" x14ac:dyDescent="0.2">
      <c r="A182" s="324" t="s">
        <v>592</v>
      </c>
      <c r="B182" s="25"/>
      <c r="C182" s="327">
        <v>4</v>
      </c>
      <c r="D182" s="92">
        <v>0.83</v>
      </c>
      <c r="E182" s="93">
        <v>0.28999999999999998</v>
      </c>
      <c r="F182" s="94">
        <v>6.2E-2</v>
      </c>
      <c r="G182" s="320" t="s">
        <v>840</v>
      </c>
      <c r="H182" s="320" t="s">
        <v>840</v>
      </c>
      <c r="I182" s="321" t="s">
        <v>840</v>
      </c>
      <c r="J182" s="27" t="s">
        <v>840</v>
      </c>
      <c r="K182" s="328" t="str">
        <f ca="1">IFERROR(IF(#REF!="","",INDEX(INDIRECT("'Annex 1 LV and HV charges"&amp;MID($A$2,FIND("_",$A$2),2)&amp;"'!$A$10:$K$51"),MATCH(MID($A182,FIND(":",$A182)+2,LEN($A182)-FIND(":",$A182)+2),INDIRECT("'Annex 1 LV and HV charges"&amp;MID($A$2,FIND("_",$A$2),2)&amp;"'!$A$10:$A$51"),0),MATCH(D$13,$A$13:$J$13,0))-D182),"")</f>
        <v/>
      </c>
      <c r="L182" s="328" t="str">
        <f ca="1">IFERROR(IF(#REF!="","",INDEX(INDIRECT("'Annex 1 LV and HV charges"&amp;MID($A$2,FIND("_",$A$2),2)&amp;"'!$A$10:$K$51"),MATCH(MID($A182,FIND(":",$A182)+2,LEN($A182)-FIND(":",$A182)+2),INDIRECT("'Annex 1 LV and HV charges"&amp;MID($A$2,FIND("_",$A$2),2)&amp;"'!$A$10:$A$51"),0),MATCH(E$13,$A$13:$J$13,0))-E182),"")</f>
        <v/>
      </c>
      <c r="M182" s="328" t="str">
        <f ca="1">IFERROR(IF(#REF!="","",INDEX(INDIRECT("'Annex 1 LV and HV charges"&amp;MID($A$2,FIND("_",$A$2),2)&amp;"'!$A$10:$K$51"),MATCH(MID($A182,FIND(":",$A182)+2,LEN($A182)-FIND(":",$A182)+2),INDIRECT("'Annex 1 LV and HV charges"&amp;MID($A$2,FIND("_",$A$2),2)&amp;"'!$A$10:$A$51"),0),MATCH(F$13,$A$13:$J$13,0))-F182),"")</f>
        <v/>
      </c>
      <c r="N182" s="328" t="str">
        <f ca="1">IFERROR(IF(#REF!="","",INDEX(INDIRECT("'Annex 1 LV and HV charges"&amp;MID($A$2,FIND("_",$A$2),2)&amp;"'!$A$10:$K$51"),MATCH(MID($A182,FIND(":",$A182)+2,LEN($A182)-FIND(":",$A182)+2),INDIRECT("'Annex 1 LV and HV charges"&amp;MID($A$2,FIND("_",$A$2),2)&amp;"'!$A$10:$A$51"),0),MATCH(G$13,$A$13:$J$13,0))-G182),"")</f>
        <v/>
      </c>
      <c r="O182" s="328" t="str">
        <f ca="1">IFERROR(IF(#REF!="","",INDEX(INDIRECT("'Annex 1 LV and HV charges"&amp;MID($A$2,FIND("_",$A$2),2)&amp;"'!$A$10:$K$51"),MATCH(MID($A182,FIND(":",$A182)+2,LEN($A182)-FIND(":",$A182)+2),INDIRECT("'Annex 1 LV and HV charges"&amp;MID($A$2,FIND("_",$A$2),2)&amp;"'!$A$10:$A$51"),0),MATCH(H$13,$A$13:$J$13,0))-H182),"")</f>
        <v/>
      </c>
      <c r="P182" s="328" t="str">
        <f ca="1">IFERROR(IF(#REF!="","",INDEX(INDIRECT("'Annex 1 LV and HV charges"&amp;MID($A$2,FIND("_",$A$2),2)&amp;"'!$A$10:$K$51"),MATCH(MID($A182,FIND(":",$A182)+2,LEN($A182)-FIND(":",$A182)+2),INDIRECT("'Annex 1 LV and HV charges"&amp;MID($A$2,FIND("_",$A$2),2)&amp;"'!$A$10:$A$51"),0),MATCH(I$13,$A$13:$J$13,0))-I182),"")</f>
        <v/>
      </c>
      <c r="Q182" s="328" t="str">
        <f ca="1">IFERROR(IF(#REF!="","",INDEX(INDIRECT("'Annex 1 LV and HV charges"&amp;MID($A$2,FIND("_",$A$2),2)&amp;"'!$A$10:$K$51"),MATCH(MID($A182,FIND(":",$A182)+2,LEN($A182)-FIND(":",$A182)+2),INDIRECT("'Annex 1 LV and HV charges"&amp;MID($A$2,FIND("_",$A$2),2)&amp;"'!$A$10:$A$51"),0),MATCH(J$13,$A$13:$J$13,0))-J182),"")</f>
        <v/>
      </c>
    </row>
    <row r="183" spans="1:17" ht="27.75" customHeight="1" x14ac:dyDescent="0.2">
      <c r="A183" s="324" t="s">
        <v>729</v>
      </c>
      <c r="B183" s="18"/>
      <c r="C183" s="327">
        <v>0</v>
      </c>
      <c r="D183" s="92">
        <v>0.51300000000000001</v>
      </c>
      <c r="E183" s="93">
        <v>0.17</v>
      </c>
      <c r="F183" s="94">
        <v>4.1000000000000002E-2</v>
      </c>
      <c r="G183" s="319">
        <v>4.3899999999999997</v>
      </c>
      <c r="H183" s="319">
        <v>0.83</v>
      </c>
      <c r="I183" s="322">
        <v>0.83</v>
      </c>
      <c r="J183" s="26">
        <v>2.5999999999999999E-2</v>
      </c>
      <c r="K183" s="328" t="str">
        <f ca="1">IFERROR(IF(#REF!="","",INDEX(INDIRECT("'Annex 1 LV and HV charges"&amp;MID($A$2,FIND("_",$A$2),2)&amp;"'!$A$10:$K$51"),MATCH(MID($A183,FIND(":",$A183)+2,LEN($A183)-FIND(":",$A183)+2),INDIRECT("'Annex 1 LV and HV charges"&amp;MID($A$2,FIND("_",$A$2),2)&amp;"'!$A$10:$A$51"),0),MATCH(D$13,$A$13:$J$13,0))-D183),"")</f>
        <v/>
      </c>
      <c r="L183" s="328" t="str">
        <f ca="1">IFERROR(IF(#REF!="","",INDEX(INDIRECT("'Annex 1 LV and HV charges"&amp;MID($A$2,FIND("_",$A$2),2)&amp;"'!$A$10:$K$51"),MATCH(MID($A183,FIND(":",$A183)+2,LEN($A183)-FIND(":",$A183)+2),INDIRECT("'Annex 1 LV and HV charges"&amp;MID($A$2,FIND("_",$A$2),2)&amp;"'!$A$10:$A$51"),0),MATCH(E$13,$A$13:$J$13,0))-E183),"")</f>
        <v/>
      </c>
      <c r="M183" s="328" t="str">
        <f ca="1">IFERROR(IF(#REF!="","",INDEX(INDIRECT("'Annex 1 LV and HV charges"&amp;MID($A$2,FIND("_",$A$2),2)&amp;"'!$A$10:$K$51"),MATCH(MID($A183,FIND(":",$A183)+2,LEN($A183)-FIND(":",$A183)+2),INDIRECT("'Annex 1 LV and HV charges"&amp;MID($A$2,FIND("_",$A$2),2)&amp;"'!$A$10:$A$51"),0),MATCH(F$13,$A$13:$J$13,0))-F183),"")</f>
        <v/>
      </c>
      <c r="N183" s="328" t="str">
        <f ca="1">IFERROR(IF(#REF!="","",INDEX(INDIRECT("'Annex 1 LV and HV charges"&amp;MID($A$2,FIND("_",$A$2),2)&amp;"'!$A$10:$K$51"),MATCH(MID($A183,FIND(":",$A183)+2,LEN($A183)-FIND(":",$A183)+2),INDIRECT("'Annex 1 LV and HV charges"&amp;MID($A$2,FIND("_",$A$2),2)&amp;"'!$A$10:$A$51"),0),MATCH(G$13,$A$13:$J$13,0))-G183),"")</f>
        <v/>
      </c>
      <c r="O183" s="328" t="str">
        <f ca="1">IFERROR(IF(#REF!="","",INDEX(INDIRECT("'Annex 1 LV and HV charges"&amp;MID($A$2,FIND("_",$A$2),2)&amp;"'!$A$10:$K$51"),MATCH(MID($A183,FIND(":",$A183)+2,LEN($A183)-FIND(":",$A183)+2),INDIRECT("'Annex 1 LV and HV charges"&amp;MID($A$2,FIND("_",$A$2),2)&amp;"'!$A$10:$A$51"),0),MATCH(H$13,$A$13:$J$13,0))-H183),"")</f>
        <v/>
      </c>
      <c r="P183" s="328" t="str">
        <f ca="1">IFERROR(IF(#REF!="","",INDEX(INDIRECT("'Annex 1 LV and HV charges"&amp;MID($A$2,FIND("_",$A$2),2)&amp;"'!$A$10:$K$51"),MATCH(MID($A183,FIND(":",$A183)+2,LEN($A183)-FIND(":",$A183)+2),INDIRECT("'Annex 1 LV and HV charges"&amp;MID($A$2,FIND("_",$A$2),2)&amp;"'!$A$10:$A$51"),0),MATCH(I$13,$A$13:$J$13,0))-I183),"")</f>
        <v/>
      </c>
      <c r="Q183" s="328" t="str">
        <f ca="1">IFERROR(IF(#REF!="","",INDEX(INDIRECT("'Annex 1 LV and HV charges"&amp;MID($A$2,FIND("_",$A$2),2)&amp;"'!$A$10:$K$51"),MATCH(MID($A183,FIND(":",$A183)+2,LEN($A183)-FIND(":",$A183)+2),INDIRECT("'Annex 1 LV and HV charges"&amp;MID($A$2,FIND("_",$A$2),2)&amp;"'!$A$10:$A$51"),0),MATCH(J$13,$A$13:$J$13,0))-J183),"")</f>
        <v/>
      </c>
    </row>
    <row r="184" spans="1:17" ht="27.75" customHeight="1" x14ac:dyDescent="0.2">
      <c r="A184" s="324" t="s">
        <v>730</v>
      </c>
      <c r="B184" s="25"/>
      <c r="C184" s="327">
        <v>0</v>
      </c>
      <c r="D184" s="92">
        <v>0.49299999999999999</v>
      </c>
      <c r="E184" s="93">
        <v>0.15</v>
      </c>
      <c r="F184" s="94">
        <v>2.1000000000000001E-2</v>
      </c>
      <c r="G184" s="319" t="s">
        <v>840</v>
      </c>
      <c r="H184" s="319">
        <v>0.83</v>
      </c>
      <c r="I184" s="322">
        <v>0.83</v>
      </c>
      <c r="J184" s="26">
        <v>2.5999999999999999E-2</v>
      </c>
      <c r="K184" s="328" t="str">
        <f ca="1">IFERROR(IF(#REF!="","",INDEX(INDIRECT("'Annex 1 LV and HV charges"&amp;MID($A$2,FIND("_",$A$2),2)&amp;"'!$A$10:$K$51"),MATCH(MID($A184,FIND(":",$A184)+2,LEN($A184)-FIND(":",$A184)+2),INDIRECT("'Annex 1 LV and HV charges"&amp;MID($A$2,FIND("_",$A$2),2)&amp;"'!$A$10:$A$51"),0),MATCH(D$13,$A$13:$J$13,0))-D184),"")</f>
        <v/>
      </c>
      <c r="L184" s="328" t="str">
        <f ca="1">IFERROR(IF(#REF!="","",INDEX(INDIRECT("'Annex 1 LV and HV charges"&amp;MID($A$2,FIND("_",$A$2),2)&amp;"'!$A$10:$K$51"),MATCH(MID($A184,FIND(":",$A184)+2,LEN($A184)-FIND(":",$A184)+2),INDIRECT("'Annex 1 LV and HV charges"&amp;MID($A$2,FIND("_",$A$2),2)&amp;"'!$A$10:$A$51"),0),MATCH(E$13,$A$13:$J$13,0))-E184),"")</f>
        <v/>
      </c>
      <c r="M184" s="328" t="str">
        <f ca="1">IFERROR(IF(#REF!="","",INDEX(INDIRECT("'Annex 1 LV and HV charges"&amp;MID($A$2,FIND("_",$A$2),2)&amp;"'!$A$10:$K$51"),MATCH(MID($A184,FIND(":",$A184)+2,LEN($A184)-FIND(":",$A184)+2),INDIRECT("'Annex 1 LV and HV charges"&amp;MID($A$2,FIND("_",$A$2),2)&amp;"'!$A$10:$A$51"),0),MATCH(F$13,$A$13:$J$13,0))-F184),"")</f>
        <v/>
      </c>
      <c r="N184" s="328" t="str">
        <f ca="1">IFERROR(IF(#REF!="","",INDEX(INDIRECT("'Annex 1 LV and HV charges"&amp;MID($A$2,FIND("_",$A$2),2)&amp;"'!$A$10:$K$51"),MATCH(MID($A184,FIND(":",$A184)+2,LEN($A184)-FIND(":",$A184)+2),INDIRECT("'Annex 1 LV and HV charges"&amp;MID($A$2,FIND("_",$A$2),2)&amp;"'!$A$10:$A$51"),0),MATCH(G$13,$A$13:$J$13,0))-G184),"")</f>
        <v/>
      </c>
      <c r="O184" s="328" t="str">
        <f ca="1">IFERROR(IF(#REF!="","",INDEX(INDIRECT("'Annex 1 LV and HV charges"&amp;MID($A$2,FIND("_",$A$2),2)&amp;"'!$A$10:$K$51"),MATCH(MID($A184,FIND(":",$A184)+2,LEN($A184)-FIND(":",$A184)+2),INDIRECT("'Annex 1 LV and HV charges"&amp;MID($A$2,FIND("_",$A$2),2)&amp;"'!$A$10:$A$51"),0),MATCH(H$13,$A$13:$J$13,0))-H184),"")</f>
        <v/>
      </c>
      <c r="P184" s="328" t="str">
        <f ca="1">IFERROR(IF(#REF!="","",INDEX(INDIRECT("'Annex 1 LV and HV charges"&amp;MID($A$2,FIND("_",$A$2),2)&amp;"'!$A$10:$K$51"),MATCH(MID($A184,FIND(":",$A184)+2,LEN($A184)-FIND(":",$A184)+2),INDIRECT("'Annex 1 LV and HV charges"&amp;MID($A$2,FIND("_",$A$2),2)&amp;"'!$A$10:$A$51"),0),MATCH(I$13,$A$13:$J$13,0))-I184),"")</f>
        <v/>
      </c>
      <c r="Q184" s="328" t="str">
        <f ca="1">IFERROR(IF(#REF!="","",INDEX(INDIRECT("'Annex 1 LV and HV charges"&amp;MID($A$2,FIND("_",$A$2),2)&amp;"'!$A$10:$K$51"),MATCH(MID($A184,FIND(":",$A184)+2,LEN($A184)-FIND(":",$A184)+2),INDIRECT("'Annex 1 LV and HV charges"&amp;MID($A$2,FIND("_",$A$2),2)&amp;"'!$A$10:$A$51"),0),MATCH(J$13,$A$13:$J$13,0))-J184),"")</f>
        <v/>
      </c>
    </row>
    <row r="185" spans="1:17" ht="27.75" customHeight="1" x14ac:dyDescent="0.2">
      <c r="A185" s="324" t="s">
        <v>731</v>
      </c>
      <c r="B185" s="18"/>
      <c r="C185" s="327">
        <v>0</v>
      </c>
      <c r="D185" s="92">
        <v>0.48299999999999998</v>
      </c>
      <c r="E185" s="93">
        <v>0.13900000000000001</v>
      </c>
      <c r="F185" s="94">
        <v>1.7999999999999999E-2</v>
      </c>
      <c r="G185" s="319" t="s">
        <v>840</v>
      </c>
      <c r="H185" s="319">
        <v>0.83</v>
      </c>
      <c r="I185" s="322">
        <v>0.83</v>
      </c>
      <c r="J185" s="26">
        <v>2.5999999999999999E-2</v>
      </c>
      <c r="K185" s="328" t="str">
        <f ca="1">IFERROR(IF(#REF!="","",INDEX(INDIRECT("'Annex 1 LV and HV charges"&amp;MID($A$2,FIND("_",$A$2),2)&amp;"'!$A$10:$K$51"),MATCH(MID($A185,FIND(":",$A185)+2,LEN($A185)-FIND(":",$A185)+2),INDIRECT("'Annex 1 LV and HV charges"&amp;MID($A$2,FIND("_",$A$2),2)&amp;"'!$A$10:$A$51"),0),MATCH(D$13,$A$13:$J$13,0))-D185),"")</f>
        <v/>
      </c>
      <c r="L185" s="328" t="str">
        <f ca="1">IFERROR(IF(#REF!="","",INDEX(INDIRECT("'Annex 1 LV and HV charges"&amp;MID($A$2,FIND("_",$A$2),2)&amp;"'!$A$10:$K$51"),MATCH(MID($A185,FIND(":",$A185)+2,LEN($A185)-FIND(":",$A185)+2),INDIRECT("'Annex 1 LV and HV charges"&amp;MID($A$2,FIND("_",$A$2),2)&amp;"'!$A$10:$A$51"),0),MATCH(E$13,$A$13:$J$13,0))-E185),"")</f>
        <v/>
      </c>
      <c r="M185" s="328" t="str">
        <f ca="1">IFERROR(IF(#REF!="","",INDEX(INDIRECT("'Annex 1 LV and HV charges"&amp;MID($A$2,FIND("_",$A$2),2)&amp;"'!$A$10:$K$51"),MATCH(MID($A185,FIND(":",$A185)+2,LEN($A185)-FIND(":",$A185)+2),INDIRECT("'Annex 1 LV and HV charges"&amp;MID($A$2,FIND("_",$A$2),2)&amp;"'!$A$10:$A$51"),0),MATCH(F$13,$A$13:$J$13,0))-F185),"")</f>
        <v/>
      </c>
      <c r="N185" s="328" t="str">
        <f ca="1">IFERROR(IF(#REF!="","",INDEX(INDIRECT("'Annex 1 LV and HV charges"&amp;MID($A$2,FIND("_",$A$2),2)&amp;"'!$A$10:$K$51"),MATCH(MID($A185,FIND(":",$A185)+2,LEN($A185)-FIND(":",$A185)+2),INDIRECT("'Annex 1 LV and HV charges"&amp;MID($A$2,FIND("_",$A$2),2)&amp;"'!$A$10:$A$51"),0),MATCH(G$13,$A$13:$J$13,0))-G185),"")</f>
        <v/>
      </c>
      <c r="O185" s="328" t="str">
        <f ca="1">IFERROR(IF(#REF!="","",INDEX(INDIRECT("'Annex 1 LV and HV charges"&amp;MID($A$2,FIND("_",$A$2),2)&amp;"'!$A$10:$K$51"),MATCH(MID($A185,FIND(":",$A185)+2,LEN($A185)-FIND(":",$A185)+2),INDIRECT("'Annex 1 LV and HV charges"&amp;MID($A$2,FIND("_",$A$2),2)&amp;"'!$A$10:$A$51"),0),MATCH(H$13,$A$13:$J$13,0))-H185),"")</f>
        <v/>
      </c>
      <c r="P185" s="328" t="str">
        <f ca="1">IFERROR(IF(#REF!="","",INDEX(INDIRECT("'Annex 1 LV and HV charges"&amp;MID($A$2,FIND("_",$A$2),2)&amp;"'!$A$10:$K$51"),MATCH(MID($A185,FIND(":",$A185)+2,LEN($A185)-FIND(":",$A185)+2),INDIRECT("'Annex 1 LV and HV charges"&amp;MID($A$2,FIND("_",$A$2),2)&amp;"'!$A$10:$A$51"),0),MATCH(I$13,$A$13:$J$13,0))-I185),"")</f>
        <v/>
      </c>
      <c r="Q185" s="328" t="str">
        <f ca="1">IFERROR(IF(#REF!="","",INDEX(INDIRECT("'Annex 1 LV and HV charges"&amp;MID($A$2,FIND("_",$A$2),2)&amp;"'!$A$10:$K$51"),MATCH(MID($A185,FIND(":",$A185)+2,LEN($A185)-FIND(":",$A185)+2),INDIRECT("'Annex 1 LV and HV charges"&amp;MID($A$2,FIND("_",$A$2),2)&amp;"'!$A$10:$A$51"),0),MATCH(J$13,$A$13:$J$13,0))-J185),"")</f>
        <v/>
      </c>
    </row>
    <row r="186" spans="1:17" ht="27.75" customHeight="1" x14ac:dyDescent="0.2">
      <c r="A186" s="324" t="s">
        <v>732</v>
      </c>
      <c r="B186" s="18"/>
      <c r="C186" s="327">
        <v>0</v>
      </c>
      <c r="D186" s="92">
        <v>0.47699999999999998</v>
      </c>
      <c r="E186" s="93">
        <v>0.13300000000000001</v>
      </c>
      <c r="F186" s="94">
        <v>1.7999999999999999E-2</v>
      </c>
      <c r="G186" s="319" t="s">
        <v>840</v>
      </c>
      <c r="H186" s="319">
        <v>0.83</v>
      </c>
      <c r="I186" s="322">
        <v>0.83</v>
      </c>
      <c r="J186" s="26">
        <v>2.5999999999999999E-2</v>
      </c>
      <c r="K186" s="328" t="str">
        <f ca="1">IFERROR(IF(#REF!="","",INDEX(INDIRECT("'Annex 1 LV and HV charges"&amp;MID($A$2,FIND("_",$A$2),2)&amp;"'!$A$10:$K$51"),MATCH(MID($A186,FIND(":",$A186)+2,LEN($A186)-FIND(":",$A186)+2),INDIRECT("'Annex 1 LV and HV charges"&amp;MID($A$2,FIND("_",$A$2),2)&amp;"'!$A$10:$A$51"),0),MATCH(D$13,$A$13:$J$13,0))-D186),"")</f>
        <v/>
      </c>
      <c r="L186" s="328" t="str">
        <f ca="1">IFERROR(IF(#REF!="","",INDEX(INDIRECT("'Annex 1 LV and HV charges"&amp;MID($A$2,FIND("_",$A$2),2)&amp;"'!$A$10:$K$51"),MATCH(MID($A186,FIND(":",$A186)+2,LEN($A186)-FIND(":",$A186)+2),INDIRECT("'Annex 1 LV and HV charges"&amp;MID($A$2,FIND("_",$A$2),2)&amp;"'!$A$10:$A$51"),0),MATCH(E$13,$A$13:$J$13,0))-E186),"")</f>
        <v/>
      </c>
      <c r="M186" s="328" t="str">
        <f ca="1">IFERROR(IF(#REF!="","",INDEX(INDIRECT("'Annex 1 LV and HV charges"&amp;MID($A$2,FIND("_",$A$2),2)&amp;"'!$A$10:$K$51"),MATCH(MID($A186,FIND(":",$A186)+2,LEN($A186)-FIND(":",$A186)+2),INDIRECT("'Annex 1 LV and HV charges"&amp;MID($A$2,FIND("_",$A$2),2)&amp;"'!$A$10:$A$51"),0),MATCH(F$13,$A$13:$J$13,0))-F186),"")</f>
        <v/>
      </c>
      <c r="N186" s="328" t="str">
        <f ca="1">IFERROR(IF(#REF!="","",INDEX(INDIRECT("'Annex 1 LV and HV charges"&amp;MID($A$2,FIND("_",$A$2),2)&amp;"'!$A$10:$K$51"),MATCH(MID($A186,FIND(":",$A186)+2,LEN($A186)-FIND(":",$A186)+2),INDIRECT("'Annex 1 LV and HV charges"&amp;MID($A$2,FIND("_",$A$2),2)&amp;"'!$A$10:$A$51"),0),MATCH(G$13,$A$13:$J$13,0))-G186),"")</f>
        <v/>
      </c>
      <c r="O186" s="328" t="str">
        <f ca="1">IFERROR(IF(#REF!="","",INDEX(INDIRECT("'Annex 1 LV and HV charges"&amp;MID($A$2,FIND("_",$A$2),2)&amp;"'!$A$10:$K$51"),MATCH(MID($A186,FIND(":",$A186)+2,LEN($A186)-FIND(":",$A186)+2),INDIRECT("'Annex 1 LV and HV charges"&amp;MID($A$2,FIND("_",$A$2),2)&amp;"'!$A$10:$A$51"),0),MATCH(H$13,$A$13:$J$13,0))-H186),"")</f>
        <v/>
      </c>
      <c r="P186" s="328" t="str">
        <f ca="1">IFERROR(IF(#REF!="","",INDEX(INDIRECT("'Annex 1 LV and HV charges"&amp;MID($A$2,FIND("_",$A$2),2)&amp;"'!$A$10:$K$51"),MATCH(MID($A186,FIND(":",$A186)+2,LEN($A186)-FIND(":",$A186)+2),INDIRECT("'Annex 1 LV and HV charges"&amp;MID($A$2,FIND("_",$A$2),2)&amp;"'!$A$10:$A$51"),0),MATCH(I$13,$A$13:$J$13,0))-I186),"")</f>
        <v/>
      </c>
      <c r="Q186" s="328" t="str">
        <f ca="1">IFERROR(IF(#REF!="","",INDEX(INDIRECT("'Annex 1 LV and HV charges"&amp;MID($A$2,FIND("_",$A$2),2)&amp;"'!$A$10:$K$51"),MATCH(MID($A186,FIND(":",$A186)+2,LEN($A186)-FIND(":",$A186)+2),INDIRECT("'Annex 1 LV and HV charges"&amp;MID($A$2,FIND("_",$A$2),2)&amp;"'!$A$10:$A$51"),0),MATCH(J$13,$A$13:$J$13,0))-J186),"")</f>
        <v/>
      </c>
    </row>
    <row r="187" spans="1:17" ht="27.75" customHeight="1" x14ac:dyDescent="0.2">
      <c r="A187" s="324" t="s">
        <v>733</v>
      </c>
      <c r="B187" s="18"/>
      <c r="C187" s="327">
        <v>0</v>
      </c>
      <c r="D187" s="92">
        <v>0.47099999999999997</v>
      </c>
      <c r="E187" s="93">
        <v>0.127</v>
      </c>
      <c r="F187" s="94">
        <v>1.7999999999999999E-2</v>
      </c>
      <c r="G187" s="319" t="s">
        <v>840</v>
      </c>
      <c r="H187" s="319">
        <v>0.83</v>
      </c>
      <c r="I187" s="322">
        <v>0.83</v>
      </c>
      <c r="J187" s="26">
        <v>2.5999999999999999E-2</v>
      </c>
      <c r="K187" s="328" t="str">
        <f ca="1">IFERROR(IF(#REF!="","",INDEX(INDIRECT("'Annex 1 LV and HV charges"&amp;MID($A$2,FIND("_",$A$2),2)&amp;"'!$A$10:$K$51"),MATCH(MID($A187,FIND(":",$A187)+2,LEN($A187)-FIND(":",$A187)+2),INDIRECT("'Annex 1 LV and HV charges"&amp;MID($A$2,FIND("_",$A$2),2)&amp;"'!$A$10:$A$51"),0),MATCH(D$13,$A$13:$J$13,0))-D187),"")</f>
        <v/>
      </c>
      <c r="L187" s="328" t="str">
        <f ca="1">IFERROR(IF(#REF!="","",INDEX(INDIRECT("'Annex 1 LV and HV charges"&amp;MID($A$2,FIND("_",$A$2),2)&amp;"'!$A$10:$K$51"),MATCH(MID($A187,FIND(":",$A187)+2,LEN($A187)-FIND(":",$A187)+2),INDIRECT("'Annex 1 LV and HV charges"&amp;MID($A$2,FIND("_",$A$2),2)&amp;"'!$A$10:$A$51"),0),MATCH(E$13,$A$13:$J$13,0))-E187),"")</f>
        <v/>
      </c>
      <c r="M187" s="328" t="str">
        <f ca="1">IFERROR(IF(#REF!="","",INDEX(INDIRECT("'Annex 1 LV and HV charges"&amp;MID($A$2,FIND("_",$A$2),2)&amp;"'!$A$10:$K$51"),MATCH(MID($A187,FIND(":",$A187)+2,LEN($A187)-FIND(":",$A187)+2),INDIRECT("'Annex 1 LV and HV charges"&amp;MID($A$2,FIND("_",$A$2),2)&amp;"'!$A$10:$A$51"),0),MATCH(F$13,$A$13:$J$13,0))-F187),"")</f>
        <v/>
      </c>
      <c r="N187" s="328" t="str">
        <f ca="1">IFERROR(IF(#REF!="","",INDEX(INDIRECT("'Annex 1 LV and HV charges"&amp;MID($A$2,FIND("_",$A$2),2)&amp;"'!$A$10:$K$51"),MATCH(MID($A187,FIND(":",$A187)+2,LEN($A187)-FIND(":",$A187)+2),INDIRECT("'Annex 1 LV and HV charges"&amp;MID($A$2,FIND("_",$A$2),2)&amp;"'!$A$10:$A$51"),0),MATCH(G$13,$A$13:$J$13,0))-G187),"")</f>
        <v/>
      </c>
      <c r="O187" s="328" t="str">
        <f ca="1">IFERROR(IF(#REF!="","",INDEX(INDIRECT("'Annex 1 LV and HV charges"&amp;MID($A$2,FIND("_",$A$2),2)&amp;"'!$A$10:$K$51"),MATCH(MID($A187,FIND(":",$A187)+2,LEN($A187)-FIND(":",$A187)+2),INDIRECT("'Annex 1 LV and HV charges"&amp;MID($A$2,FIND("_",$A$2),2)&amp;"'!$A$10:$A$51"),0),MATCH(H$13,$A$13:$J$13,0))-H187),"")</f>
        <v/>
      </c>
      <c r="P187" s="328" t="str">
        <f ca="1">IFERROR(IF(#REF!="","",INDEX(INDIRECT("'Annex 1 LV and HV charges"&amp;MID($A$2,FIND("_",$A$2),2)&amp;"'!$A$10:$K$51"),MATCH(MID($A187,FIND(":",$A187)+2,LEN($A187)-FIND(":",$A187)+2),INDIRECT("'Annex 1 LV and HV charges"&amp;MID($A$2,FIND("_",$A$2),2)&amp;"'!$A$10:$A$51"),0),MATCH(I$13,$A$13:$J$13,0))-I187),"")</f>
        <v/>
      </c>
      <c r="Q187" s="328" t="str">
        <f ca="1">IFERROR(IF(#REF!="","",INDEX(INDIRECT("'Annex 1 LV and HV charges"&amp;MID($A$2,FIND("_",$A$2),2)&amp;"'!$A$10:$K$51"),MATCH(MID($A187,FIND(":",$A187)+2,LEN($A187)-FIND(":",$A187)+2),INDIRECT("'Annex 1 LV and HV charges"&amp;MID($A$2,FIND("_",$A$2),2)&amp;"'!$A$10:$A$51"),0),MATCH(J$13,$A$13:$J$13,0))-J187),"")</f>
        <v/>
      </c>
    </row>
    <row r="188" spans="1:17" ht="27.75" customHeight="1" x14ac:dyDescent="0.2">
      <c r="A188" s="324" t="s">
        <v>734</v>
      </c>
      <c r="B188" s="18"/>
      <c r="C188" s="327">
        <v>0</v>
      </c>
      <c r="D188" s="92">
        <v>0.32300000000000001</v>
      </c>
      <c r="E188" s="93">
        <v>8.2000000000000003E-2</v>
      </c>
      <c r="F188" s="94">
        <v>3.2000000000000001E-2</v>
      </c>
      <c r="G188" s="319">
        <v>15.68</v>
      </c>
      <c r="H188" s="319">
        <v>1.52</v>
      </c>
      <c r="I188" s="322">
        <v>1.52</v>
      </c>
      <c r="J188" s="26">
        <v>1.4999999999999999E-2</v>
      </c>
      <c r="K188" s="328" t="str">
        <f ca="1">IFERROR(IF(#REF!="","",INDEX(INDIRECT("'Annex 1 LV and HV charges"&amp;MID($A$2,FIND("_",$A$2),2)&amp;"'!$A$10:$K$51"),MATCH(MID($A188,FIND(":",$A188)+2,LEN($A188)-FIND(":",$A188)+2),INDIRECT("'Annex 1 LV and HV charges"&amp;MID($A$2,FIND("_",$A$2),2)&amp;"'!$A$10:$A$51"),0),MATCH(D$13,$A$13:$J$13,0))-D188),"")</f>
        <v/>
      </c>
      <c r="L188" s="328" t="str">
        <f ca="1">IFERROR(IF(#REF!="","",INDEX(INDIRECT("'Annex 1 LV and HV charges"&amp;MID($A$2,FIND("_",$A$2),2)&amp;"'!$A$10:$K$51"),MATCH(MID($A188,FIND(":",$A188)+2,LEN($A188)-FIND(":",$A188)+2),INDIRECT("'Annex 1 LV and HV charges"&amp;MID($A$2,FIND("_",$A$2),2)&amp;"'!$A$10:$A$51"),0),MATCH(E$13,$A$13:$J$13,0))-E188),"")</f>
        <v/>
      </c>
      <c r="M188" s="328" t="str">
        <f ca="1">IFERROR(IF(#REF!="","",INDEX(INDIRECT("'Annex 1 LV and HV charges"&amp;MID($A$2,FIND("_",$A$2),2)&amp;"'!$A$10:$K$51"),MATCH(MID($A188,FIND(":",$A188)+2,LEN($A188)-FIND(":",$A188)+2),INDIRECT("'Annex 1 LV and HV charges"&amp;MID($A$2,FIND("_",$A$2),2)&amp;"'!$A$10:$A$51"),0),MATCH(F$13,$A$13:$J$13,0))-F188),"")</f>
        <v/>
      </c>
      <c r="N188" s="328" t="str">
        <f ca="1">IFERROR(IF(#REF!="","",INDEX(INDIRECT("'Annex 1 LV and HV charges"&amp;MID($A$2,FIND("_",$A$2),2)&amp;"'!$A$10:$K$51"),MATCH(MID($A188,FIND(":",$A188)+2,LEN($A188)-FIND(":",$A188)+2),INDIRECT("'Annex 1 LV and HV charges"&amp;MID($A$2,FIND("_",$A$2),2)&amp;"'!$A$10:$A$51"),0),MATCH(G$13,$A$13:$J$13,0))-G188),"")</f>
        <v/>
      </c>
      <c r="O188" s="328" t="str">
        <f ca="1">IFERROR(IF(#REF!="","",INDEX(INDIRECT("'Annex 1 LV and HV charges"&amp;MID($A$2,FIND("_",$A$2),2)&amp;"'!$A$10:$K$51"),MATCH(MID($A188,FIND(":",$A188)+2,LEN($A188)-FIND(":",$A188)+2),INDIRECT("'Annex 1 LV and HV charges"&amp;MID($A$2,FIND("_",$A$2),2)&amp;"'!$A$10:$A$51"),0),MATCH(H$13,$A$13:$J$13,0))-H188),"")</f>
        <v/>
      </c>
      <c r="P188" s="328" t="str">
        <f ca="1">IFERROR(IF(#REF!="","",INDEX(INDIRECT("'Annex 1 LV and HV charges"&amp;MID($A$2,FIND("_",$A$2),2)&amp;"'!$A$10:$K$51"),MATCH(MID($A188,FIND(":",$A188)+2,LEN($A188)-FIND(":",$A188)+2),INDIRECT("'Annex 1 LV and HV charges"&amp;MID($A$2,FIND("_",$A$2),2)&amp;"'!$A$10:$A$51"),0),MATCH(I$13,$A$13:$J$13,0))-I188),"")</f>
        <v/>
      </c>
      <c r="Q188" s="328" t="str">
        <f ca="1">IFERROR(IF(#REF!="","",INDEX(INDIRECT("'Annex 1 LV and HV charges"&amp;MID($A$2,FIND("_",$A$2),2)&amp;"'!$A$10:$K$51"),MATCH(MID($A188,FIND(":",$A188)+2,LEN($A188)-FIND(":",$A188)+2),INDIRECT("'Annex 1 LV and HV charges"&amp;MID($A$2,FIND("_",$A$2),2)&amp;"'!$A$10:$A$51"),0),MATCH(J$13,$A$13:$J$13,0))-J188),"")</f>
        <v/>
      </c>
    </row>
    <row r="189" spans="1:17" ht="27.75" customHeight="1" x14ac:dyDescent="0.2">
      <c r="A189" s="324" t="s">
        <v>735</v>
      </c>
      <c r="B189" s="25"/>
      <c r="C189" s="327">
        <v>0</v>
      </c>
      <c r="D189" s="92">
        <v>0.29399999999999998</v>
      </c>
      <c r="E189" s="93">
        <v>5.3999999999999999E-2</v>
      </c>
      <c r="F189" s="94">
        <v>4.0000000000000001E-3</v>
      </c>
      <c r="G189" s="319">
        <v>9.49</v>
      </c>
      <c r="H189" s="319">
        <v>1.52</v>
      </c>
      <c r="I189" s="322">
        <v>1.52</v>
      </c>
      <c r="J189" s="26">
        <v>1.4999999999999999E-2</v>
      </c>
      <c r="K189" s="328" t="str">
        <f ca="1">IFERROR(IF(#REF!="","",INDEX(INDIRECT("'Annex 1 LV and HV charges"&amp;MID($A$2,FIND("_",$A$2),2)&amp;"'!$A$10:$K$51"),MATCH(MID($A189,FIND(":",$A189)+2,LEN($A189)-FIND(":",$A189)+2),INDIRECT("'Annex 1 LV and HV charges"&amp;MID($A$2,FIND("_",$A$2),2)&amp;"'!$A$10:$A$51"),0),MATCH(D$13,$A$13:$J$13,0))-D189),"")</f>
        <v/>
      </c>
      <c r="L189" s="328" t="str">
        <f ca="1">IFERROR(IF(#REF!="","",INDEX(INDIRECT("'Annex 1 LV and HV charges"&amp;MID($A$2,FIND("_",$A$2),2)&amp;"'!$A$10:$K$51"),MATCH(MID($A189,FIND(":",$A189)+2,LEN($A189)-FIND(":",$A189)+2),INDIRECT("'Annex 1 LV and HV charges"&amp;MID($A$2,FIND("_",$A$2),2)&amp;"'!$A$10:$A$51"),0),MATCH(E$13,$A$13:$J$13,0))-E189),"")</f>
        <v/>
      </c>
      <c r="M189" s="328" t="str">
        <f ca="1">IFERROR(IF(#REF!="","",INDEX(INDIRECT("'Annex 1 LV and HV charges"&amp;MID($A$2,FIND("_",$A$2),2)&amp;"'!$A$10:$K$51"),MATCH(MID($A189,FIND(":",$A189)+2,LEN($A189)-FIND(":",$A189)+2),INDIRECT("'Annex 1 LV and HV charges"&amp;MID($A$2,FIND("_",$A$2),2)&amp;"'!$A$10:$A$51"),0),MATCH(F$13,$A$13:$J$13,0))-F189),"")</f>
        <v/>
      </c>
      <c r="N189" s="328" t="str">
        <f ca="1">IFERROR(IF(#REF!="","",INDEX(INDIRECT("'Annex 1 LV and HV charges"&amp;MID($A$2,FIND("_",$A$2),2)&amp;"'!$A$10:$K$51"),MATCH(MID($A189,FIND(":",$A189)+2,LEN($A189)-FIND(":",$A189)+2),INDIRECT("'Annex 1 LV and HV charges"&amp;MID($A$2,FIND("_",$A$2),2)&amp;"'!$A$10:$A$51"),0),MATCH(G$13,$A$13:$J$13,0))-G189),"")</f>
        <v/>
      </c>
      <c r="O189" s="328" t="str">
        <f ca="1">IFERROR(IF(#REF!="","",INDEX(INDIRECT("'Annex 1 LV and HV charges"&amp;MID($A$2,FIND("_",$A$2),2)&amp;"'!$A$10:$K$51"),MATCH(MID($A189,FIND(":",$A189)+2,LEN($A189)-FIND(":",$A189)+2),INDIRECT("'Annex 1 LV and HV charges"&amp;MID($A$2,FIND("_",$A$2),2)&amp;"'!$A$10:$A$51"),0),MATCH(H$13,$A$13:$J$13,0))-H189),"")</f>
        <v/>
      </c>
      <c r="P189" s="328" t="str">
        <f ca="1">IFERROR(IF(#REF!="","",INDEX(INDIRECT("'Annex 1 LV and HV charges"&amp;MID($A$2,FIND("_",$A$2),2)&amp;"'!$A$10:$K$51"),MATCH(MID($A189,FIND(":",$A189)+2,LEN($A189)-FIND(":",$A189)+2),INDIRECT("'Annex 1 LV and HV charges"&amp;MID($A$2,FIND("_",$A$2),2)&amp;"'!$A$10:$A$51"),0),MATCH(I$13,$A$13:$J$13,0))-I189),"")</f>
        <v/>
      </c>
      <c r="Q189" s="328" t="str">
        <f ca="1">IFERROR(IF(#REF!="","",INDEX(INDIRECT("'Annex 1 LV and HV charges"&amp;MID($A$2,FIND("_",$A$2),2)&amp;"'!$A$10:$K$51"),MATCH(MID($A189,FIND(":",$A189)+2,LEN($A189)-FIND(":",$A189)+2),INDIRECT("'Annex 1 LV and HV charges"&amp;MID($A$2,FIND("_",$A$2),2)&amp;"'!$A$10:$A$51"),0),MATCH(J$13,$A$13:$J$13,0))-J189),"")</f>
        <v/>
      </c>
    </row>
    <row r="190" spans="1:17" ht="27.75" customHeight="1" x14ac:dyDescent="0.2">
      <c r="A190" s="324" t="s">
        <v>736</v>
      </c>
      <c r="B190" s="18"/>
      <c r="C190" s="327">
        <v>0</v>
      </c>
      <c r="D190" s="92">
        <v>0.28000000000000003</v>
      </c>
      <c r="E190" s="93">
        <v>3.9E-2</v>
      </c>
      <c r="F190" s="94" t="s">
        <v>840</v>
      </c>
      <c r="G190" s="319">
        <v>9.49</v>
      </c>
      <c r="H190" s="319">
        <v>1.52</v>
      </c>
      <c r="I190" s="322">
        <v>1.52</v>
      </c>
      <c r="J190" s="26">
        <v>1.4999999999999999E-2</v>
      </c>
      <c r="K190" s="328" t="str">
        <f ca="1">IFERROR(IF(#REF!="","",INDEX(INDIRECT("'Annex 1 LV and HV charges"&amp;MID($A$2,FIND("_",$A$2),2)&amp;"'!$A$10:$K$51"),MATCH(MID($A190,FIND(":",$A190)+2,LEN($A190)-FIND(":",$A190)+2),INDIRECT("'Annex 1 LV and HV charges"&amp;MID($A$2,FIND("_",$A$2),2)&amp;"'!$A$10:$A$51"),0),MATCH(D$13,$A$13:$J$13,0))-D190),"")</f>
        <v/>
      </c>
      <c r="L190" s="328" t="str">
        <f ca="1">IFERROR(IF(#REF!="","",INDEX(INDIRECT("'Annex 1 LV and HV charges"&amp;MID($A$2,FIND("_",$A$2),2)&amp;"'!$A$10:$K$51"),MATCH(MID($A190,FIND(":",$A190)+2,LEN($A190)-FIND(":",$A190)+2),INDIRECT("'Annex 1 LV and HV charges"&amp;MID($A$2,FIND("_",$A$2),2)&amp;"'!$A$10:$A$51"),0),MATCH(E$13,$A$13:$J$13,0))-E190),"")</f>
        <v/>
      </c>
      <c r="M190" s="328" t="str">
        <f ca="1">IFERROR(IF(#REF!="","",INDEX(INDIRECT("'Annex 1 LV and HV charges"&amp;MID($A$2,FIND("_",$A$2),2)&amp;"'!$A$10:$K$51"),MATCH(MID($A190,FIND(":",$A190)+2,LEN($A190)-FIND(":",$A190)+2),INDIRECT("'Annex 1 LV and HV charges"&amp;MID($A$2,FIND("_",$A$2),2)&amp;"'!$A$10:$A$51"),0),MATCH(F$13,$A$13:$J$13,0))-F190),"")</f>
        <v/>
      </c>
      <c r="N190" s="328" t="str">
        <f ca="1">IFERROR(IF(#REF!="","",INDEX(INDIRECT("'Annex 1 LV and HV charges"&amp;MID($A$2,FIND("_",$A$2),2)&amp;"'!$A$10:$K$51"),MATCH(MID($A190,FIND(":",$A190)+2,LEN($A190)-FIND(":",$A190)+2),INDIRECT("'Annex 1 LV and HV charges"&amp;MID($A$2,FIND("_",$A$2),2)&amp;"'!$A$10:$A$51"),0),MATCH(G$13,$A$13:$J$13,0))-G190),"")</f>
        <v/>
      </c>
      <c r="O190" s="328" t="str">
        <f ca="1">IFERROR(IF(#REF!="","",INDEX(INDIRECT("'Annex 1 LV and HV charges"&amp;MID($A$2,FIND("_",$A$2),2)&amp;"'!$A$10:$K$51"),MATCH(MID($A190,FIND(":",$A190)+2,LEN($A190)-FIND(":",$A190)+2),INDIRECT("'Annex 1 LV and HV charges"&amp;MID($A$2,FIND("_",$A$2),2)&amp;"'!$A$10:$A$51"),0),MATCH(H$13,$A$13:$J$13,0))-H190),"")</f>
        <v/>
      </c>
      <c r="P190" s="328" t="str">
        <f ca="1">IFERROR(IF(#REF!="","",INDEX(INDIRECT("'Annex 1 LV and HV charges"&amp;MID($A$2,FIND("_",$A$2),2)&amp;"'!$A$10:$K$51"),MATCH(MID($A190,FIND(":",$A190)+2,LEN($A190)-FIND(":",$A190)+2),INDIRECT("'Annex 1 LV and HV charges"&amp;MID($A$2,FIND("_",$A$2),2)&amp;"'!$A$10:$A$51"),0),MATCH(I$13,$A$13:$J$13,0))-I190),"")</f>
        <v/>
      </c>
      <c r="Q190" s="328" t="str">
        <f ca="1">IFERROR(IF(#REF!="","",INDEX(INDIRECT("'Annex 1 LV and HV charges"&amp;MID($A$2,FIND("_",$A$2),2)&amp;"'!$A$10:$K$51"),MATCH(MID($A190,FIND(":",$A190)+2,LEN($A190)-FIND(":",$A190)+2),INDIRECT("'Annex 1 LV and HV charges"&amp;MID($A$2,FIND("_",$A$2),2)&amp;"'!$A$10:$A$51"),0),MATCH(J$13,$A$13:$J$13,0))-J190),"")</f>
        <v/>
      </c>
    </row>
    <row r="191" spans="1:17" ht="27.75" customHeight="1" x14ac:dyDescent="0.2">
      <c r="A191" s="324" t="s">
        <v>737</v>
      </c>
      <c r="B191" s="18"/>
      <c r="C191" s="327">
        <v>0</v>
      </c>
      <c r="D191" s="92">
        <v>0.27100000000000002</v>
      </c>
      <c r="E191" s="93">
        <v>0.03</v>
      </c>
      <c r="F191" s="94" t="s">
        <v>840</v>
      </c>
      <c r="G191" s="319">
        <v>9.49</v>
      </c>
      <c r="H191" s="319">
        <v>1.52</v>
      </c>
      <c r="I191" s="322">
        <v>1.52</v>
      </c>
      <c r="J191" s="26">
        <v>1.4999999999999999E-2</v>
      </c>
      <c r="K191" s="328" t="str">
        <f ca="1">IFERROR(IF(#REF!="","",INDEX(INDIRECT("'Annex 1 LV and HV charges"&amp;MID($A$2,FIND("_",$A$2),2)&amp;"'!$A$10:$K$51"),MATCH(MID($A191,FIND(":",$A191)+2,LEN($A191)-FIND(":",$A191)+2),INDIRECT("'Annex 1 LV and HV charges"&amp;MID($A$2,FIND("_",$A$2),2)&amp;"'!$A$10:$A$51"),0),MATCH(D$13,$A$13:$J$13,0))-D191),"")</f>
        <v/>
      </c>
      <c r="L191" s="328" t="str">
        <f ca="1">IFERROR(IF(#REF!="","",INDEX(INDIRECT("'Annex 1 LV and HV charges"&amp;MID($A$2,FIND("_",$A$2),2)&amp;"'!$A$10:$K$51"),MATCH(MID($A191,FIND(":",$A191)+2,LEN($A191)-FIND(":",$A191)+2),INDIRECT("'Annex 1 LV and HV charges"&amp;MID($A$2,FIND("_",$A$2),2)&amp;"'!$A$10:$A$51"),0),MATCH(E$13,$A$13:$J$13,0))-E191),"")</f>
        <v/>
      </c>
      <c r="M191" s="328" t="str">
        <f ca="1">IFERROR(IF(#REF!="","",INDEX(INDIRECT("'Annex 1 LV and HV charges"&amp;MID($A$2,FIND("_",$A$2),2)&amp;"'!$A$10:$K$51"),MATCH(MID($A191,FIND(":",$A191)+2,LEN($A191)-FIND(":",$A191)+2),INDIRECT("'Annex 1 LV and HV charges"&amp;MID($A$2,FIND("_",$A$2),2)&amp;"'!$A$10:$A$51"),0),MATCH(F$13,$A$13:$J$13,0))-F191),"")</f>
        <v/>
      </c>
      <c r="N191" s="328" t="str">
        <f ca="1">IFERROR(IF(#REF!="","",INDEX(INDIRECT("'Annex 1 LV and HV charges"&amp;MID($A$2,FIND("_",$A$2),2)&amp;"'!$A$10:$K$51"),MATCH(MID($A191,FIND(":",$A191)+2,LEN($A191)-FIND(":",$A191)+2),INDIRECT("'Annex 1 LV and HV charges"&amp;MID($A$2,FIND("_",$A$2),2)&amp;"'!$A$10:$A$51"),0),MATCH(G$13,$A$13:$J$13,0))-G191),"")</f>
        <v/>
      </c>
      <c r="O191" s="328" t="str">
        <f ca="1">IFERROR(IF(#REF!="","",INDEX(INDIRECT("'Annex 1 LV and HV charges"&amp;MID($A$2,FIND("_",$A$2),2)&amp;"'!$A$10:$K$51"),MATCH(MID($A191,FIND(":",$A191)+2,LEN($A191)-FIND(":",$A191)+2),INDIRECT("'Annex 1 LV and HV charges"&amp;MID($A$2,FIND("_",$A$2),2)&amp;"'!$A$10:$A$51"),0),MATCH(H$13,$A$13:$J$13,0))-H191),"")</f>
        <v/>
      </c>
      <c r="P191" s="328" t="str">
        <f ca="1">IFERROR(IF(#REF!="","",INDEX(INDIRECT("'Annex 1 LV and HV charges"&amp;MID($A$2,FIND("_",$A$2),2)&amp;"'!$A$10:$K$51"),MATCH(MID($A191,FIND(":",$A191)+2,LEN($A191)-FIND(":",$A191)+2),INDIRECT("'Annex 1 LV and HV charges"&amp;MID($A$2,FIND("_",$A$2),2)&amp;"'!$A$10:$A$51"),0),MATCH(I$13,$A$13:$J$13,0))-I191),"")</f>
        <v/>
      </c>
      <c r="Q191" s="328" t="str">
        <f ca="1">IFERROR(IF(#REF!="","",INDEX(INDIRECT("'Annex 1 LV and HV charges"&amp;MID($A$2,FIND("_",$A$2),2)&amp;"'!$A$10:$K$51"),MATCH(MID($A191,FIND(":",$A191)+2,LEN($A191)-FIND(":",$A191)+2),INDIRECT("'Annex 1 LV and HV charges"&amp;MID($A$2,FIND("_",$A$2),2)&amp;"'!$A$10:$A$51"),0),MATCH(J$13,$A$13:$J$13,0))-J191),"")</f>
        <v/>
      </c>
    </row>
    <row r="192" spans="1:17" ht="27.75" customHeight="1" x14ac:dyDescent="0.2">
      <c r="A192" s="324" t="s">
        <v>738</v>
      </c>
      <c r="B192" s="18"/>
      <c r="C192" s="327">
        <v>0</v>
      </c>
      <c r="D192" s="92">
        <v>0.26300000000000001</v>
      </c>
      <c r="E192" s="93">
        <v>2.1999999999999999E-2</v>
      </c>
      <c r="F192" s="94" t="s">
        <v>840</v>
      </c>
      <c r="G192" s="319">
        <v>9.49</v>
      </c>
      <c r="H192" s="319">
        <v>1.52</v>
      </c>
      <c r="I192" s="322">
        <v>1.52</v>
      </c>
      <c r="J192" s="26">
        <v>1.4999999999999999E-2</v>
      </c>
      <c r="K192" s="328" t="str">
        <f ca="1">IFERROR(IF(#REF!="","",INDEX(INDIRECT("'Annex 1 LV and HV charges"&amp;MID($A$2,FIND("_",$A$2),2)&amp;"'!$A$10:$K$51"),MATCH(MID($A192,FIND(":",$A192)+2,LEN($A192)-FIND(":",$A192)+2),INDIRECT("'Annex 1 LV and HV charges"&amp;MID($A$2,FIND("_",$A$2),2)&amp;"'!$A$10:$A$51"),0),MATCH(D$13,$A$13:$J$13,0))-D192),"")</f>
        <v/>
      </c>
      <c r="L192" s="328" t="str">
        <f ca="1">IFERROR(IF(#REF!="","",INDEX(INDIRECT("'Annex 1 LV and HV charges"&amp;MID($A$2,FIND("_",$A$2),2)&amp;"'!$A$10:$K$51"),MATCH(MID($A192,FIND(":",$A192)+2,LEN($A192)-FIND(":",$A192)+2),INDIRECT("'Annex 1 LV and HV charges"&amp;MID($A$2,FIND("_",$A$2),2)&amp;"'!$A$10:$A$51"),0),MATCH(E$13,$A$13:$J$13,0))-E192),"")</f>
        <v/>
      </c>
      <c r="M192" s="328" t="str">
        <f ca="1">IFERROR(IF(#REF!="","",INDEX(INDIRECT("'Annex 1 LV and HV charges"&amp;MID($A$2,FIND("_",$A$2),2)&amp;"'!$A$10:$K$51"),MATCH(MID($A192,FIND(":",$A192)+2,LEN($A192)-FIND(":",$A192)+2),INDIRECT("'Annex 1 LV and HV charges"&amp;MID($A$2,FIND("_",$A$2),2)&amp;"'!$A$10:$A$51"),0),MATCH(F$13,$A$13:$J$13,0))-F192),"")</f>
        <v/>
      </c>
      <c r="N192" s="328" t="str">
        <f ca="1">IFERROR(IF(#REF!="","",INDEX(INDIRECT("'Annex 1 LV and HV charges"&amp;MID($A$2,FIND("_",$A$2),2)&amp;"'!$A$10:$K$51"),MATCH(MID($A192,FIND(":",$A192)+2,LEN($A192)-FIND(":",$A192)+2),INDIRECT("'Annex 1 LV and HV charges"&amp;MID($A$2,FIND("_",$A$2),2)&amp;"'!$A$10:$A$51"),0),MATCH(G$13,$A$13:$J$13,0))-G192),"")</f>
        <v/>
      </c>
      <c r="O192" s="328" t="str">
        <f ca="1">IFERROR(IF(#REF!="","",INDEX(INDIRECT("'Annex 1 LV and HV charges"&amp;MID($A$2,FIND("_",$A$2),2)&amp;"'!$A$10:$K$51"),MATCH(MID($A192,FIND(":",$A192)+2,LEN($A192)-FIND(":",$A192)+2),INDIRECT("'Annex 1 LV and HV charges"&amp;MID($A$2,FIND("_",$A$2),2)&amp;"'!$A$10:$A$51"),0),MATCH(H$13,$A$13:$J$13,0))-H192),"")</f>
        <v/>
      </c>
      <c r="P192" s="328" t="str">
        <f ca="1">IFERROR(IF(#REF!="","",INDEX(INDIRECT("'Annex 1 LV and HV charges"&amp;MID($A$2,FIND("_",$A$2),2)&amp;"'!$A$10:$K$51"),MATCH(MID($A192,FIND(":",$A192)+2,LEN($A192)-FIND(":",$A192)+2),INDIRECT("'Annex 1 LV and HV charges"&amp;MID($A$2,FIND("_",$A$2),2)&amp;"'!$A$10:$A$51"),0),MATCH(I$13,$A$13:$J$13,0))-I192),"")</f>
        <v/>
      </c>
      <c r="Q192" s="328" t="str">
        <f ca="1">IFERROR(IF(#REF!="","",INDEX(INDIRECT("'Annex 1 LV and HV charges"&amp;MID($A$2,FIND("_",$A$2),2)&amp;"'!$A$10:$K$51"),MATCH(MID($A192,FIND(":",$A192)+2,LEN($A192)-FIND(":",$A192)+2),INDIRECT("'Annex 1 LV and HV charges"&amp;MID($A$2,FIND("_",$A$2),2)&amp;"'!$A$10:$A$51"),0),MATCH(J$13,$A$13:$J$13,0))-J192),"")</f>
        <v/>
      </c>
    </row>
    <row r="193" spans="1:17" ht="27.75" customHeight="1" x14ac:dyDescent="0.2">
      <c r="A193" s="324" t="s">
        <v>739</v>
      </c>
      <c r="B193" s="18"/>
      <c r="C193" s="327">
        <v>0</v>
      </c>
      <c r="D193" s="92">
        <v>0.18</v>
      </c>
      <c r="E193" s="93">
        <v>4.8000000000000001E-2</v>
      </c>
      <c r="F193" s="94">
        <v>0.03</v>
      </c>
      <c r="G193" s="319">
        <v>75.3</v>
      </c>
      <c r="H193" s="319">
        <v>1.84</v>
      </c>
      <c r="I193" s="322">
        <v>1.84</v>
      </c>
      <c r="J193" s="26">
        <v>8.9999999999999993E-3</v>
      </c>
      <c r="K193" s="328" t="str">
        <f ca="1">IFERROR(IF(#REF!="","",INDEX(INDIRECT("'Annex 1 LV and HV charges"&amp;MID($A$2,FIND("_",$A$2),2)&amp;"'!$A$10:$K$51"),MATCH(MID($A193,FIND(":",$A193)+2,LEN($A193)-FIND(":",$A193)+2),INDIRECT("'Annex 1 LV and HV charges"&amp;MID($A$2,FIND("_",$A$2),2)&amp;"'!$A$10:$A$51"),0),MATCH(D$13,$A$13:$J$13,0))-D193),"")</f>
        <v/>
      </c>
      <c r="L193" s="328" t="str">
        <f ca="1">IFERROR(IF(#REF!="","",INDEX(INDIRECT("'Annex 1 LV and HV charges"&amp;MID($A$2,FIND("_",$A$2),2)&amp;"'!$A$10:$K$51"),MATCH(MID($A193,FIND(":",$A193)+2,LEN($A193)-FIND(":",$A193)+2),INDIRECT("'Annex 1 LV and HV charges"&amp;MID($A$2,FIND("_",$A$2),2)&amp;"'!$A$10:$A$51"),0),MATCH(E$13,$A$13:$J$13,0))-E193),"")</f>
        <v/>
      </c>
      <c r="M193" s="328" t="str">
        <f ca="1">IFERROR(IF(#REF!="","",INDEX(INDIRECT("'Annex 1 LV and HV charges"&amp;MID($A$2,FIND("_",$A$2),2)&amp;"'!$A$10:$K$51"),MATCH(MID($A193,FIND(":",$A193)+2,LEN($A193)-FIND(":",$A193)+2),INDIRECT("'Annex 1 LV and HV charges"&amp;MID($A$2,FIND("_",$A$2),2)&amp;"'!$A$10:$A$51"),0),MATCH(F$13,$A$13:$J$13,0))-F193),"")</f>
        <v/>
      </c>
      <c r="N193" s="328" t="str">
        <f ca="1">IFERROR(IF(#REF!="","",INDEX(INDIRECT("'Annex 1 LV and HV charges"&amp;MID($A$2,FIND("_",$A$2),2)&amp;"'!$A$10:$K$51"),MATCH(MID($A193,FIND(":",$A193)+2,LEN($A193)-FIND(":",$A193)+2),INDIRECT("'Annex 1 LV and HV charges"&amp;MID($A$2,FIND("_",$A$2),2)&amp;"'!$A$10:$A$51"),0),MATCH(G$13,$A$13:$J$13,0))-G193),"")</f>
        <v/>
      </c>
      <c r="O193" s="328" t="str">
        <f ca="1">IFERROR(IF(#REF!="","",INDEX(INDIRECT("'Annex 1 LV and HV charges"&amp;MID($A$2,FIND("_",$A$2),2)&amp;"'!$A$10:$K$51"),MATCH(MID($A193,FIND(":",$A193)+2,LEN($A193)-FIND(":",$A193)+2),INDIRECT("'Annex 1 LV and HV charges"&amp;MID($A$2,FIND("_",$A$2),2)&amp;"'!$A$10:$A$51"),0),MATCH(H$13,$A$13:$J$13,0))-H193),"")</f>
        <v/>
      </c>
      <c r="P193" s="328" t="str">
        <f ca="1">IFERROR(IF(#REF!="","",INDEX(INDIRECT("'Annex 1 LV and HV charges"&amp;MID($A$2,FIND("_",$A$2),2)&amp;"'!$A$10:$K$51"),MATCH(MID($A193,FIND(":",$A193)+2,LEN($A193)-FIND(":",$A193)+2),INDIRECT("'Annex 1 LV and HV charges"&amp;MID($A$2,FIND("_",$A$2),2)&amp;"'!$A$10:$A$51"),0),MATCH(I$13,$A$13:$J$13,0))-I193),"")</f>
        <v/>
      </c>
      <c r="Q193" s="328" t="str">
        <f ca="1">IFERROR(IF(#REF!="","",INDEX(INDIRECT("'Annex 1 LV and HV charges"&amp;MID($A$2,FIND("_",$A$2),2)&amp;"'!$A$10:$K$51"),MATCH(MID($A193,FIND(":",$A193)+2,LEN($A193)-FIND(":",$A193)+2),INDIRECT("'Annex 1 LV and HV charges"&amp;MID($A$2,FIND("_",$A$2),2)&amp;"'!$A$10:$A$51"),0),MATCH(J$13,$A$13:$J$13,0))-J193),"")</f>
        <v/>
      </c>
    </row>
    <row r="194" spans="1:17" ht="27.75" customHeight="1" x14ac:dyDescent="0.2">
      <c r="A194" s="324" t="s">
        <v>740</v>
      </c>
      <c r="B194" s="25"/>
      <c r="C194" s="327">
        <v>0</v>
      </c>
      <c r="D194" s="92">
        <v>0.18</v>
      </c>
      <c r="E194" s="93">
        <v>4.8000000000000001E-2</v>
      </c>
      <c r="F194" s="94">
        <v>0.03</v>
      </c>
      <c r="G194" s="319">
        <v>10.220000000000001</v>
      </c>
      <c r="H194" s="319">
        <v>1.84</v>
      </c>
      <c r="I194" s="322">
        <v>1.84</v>
      </c>
      <c r="J194" s="26">
        <v>8.9999999999999993E-3</v>
      </c>
      <c r="K194" s="328" t="str">
        <f ca="1">IFERROR(IF(#REF!="","",INDEX(INDIRECT("'Annex 1 LV and HV charges"&amp;MID($A$2,FIND("_",$A$2),2)&amp;"'!$A$10:$K$51"),MATCH(MID($A194,FIND(":",$A194)+2,LEN($A194)-FIND(":",$A194)+2),INDIRECT("'Annex 1 LV and HV charges"&amp;MID($A$2,FIND("_",$A$2),2)&amp;"'!$A$10:$A$51"),0),MATCH(D$13,$A$13:$J$13,0))-D194),"")</f>
        <v/>
      </c>
      <c r="L194" s="328" t="str">
        <f ca="1">IFERROR(IF(#REF!="","",INDEX(INDIRECT("'Annex 1 LV and HV charges"&amp;MID($A$2,FIND("_",$A$2),2)&amp;"'!$A$10:$K$51"),MATCH(MID($A194,FIND(":",$A194)+2,LEN($A194)-FIND(":",$A194)+2),INDIRECT("'Annex 1 LV and HV charges"&amp;MID($A$2,FIND("_",$A$2),2)&amp;"'!$A$10:$A$51"),0),MATCH(E$13,$A$13:$J$13,0))-E194),"")</f>
        <v/>
      </c>
      <c r="M194" s="328" t="str">
        <f ca="1">IFERROR(IF(#REF!="","",INDEX(INDIRECT("'Annex 1 LV and HV charges"&amp;MID($A$2,FIND("_",$A$2),2)&amp;"'!$A$10:$K$51"),MATCH(MID($A194,FIND(":",$A194)+2,LEN($A194)-FIND(":",$A194)+2),INDIRECT("'Annex 1 LV and HV charges"&amp;MID($A$2,FIND("_",$A$2),2)&amp;"'!$A$10:$A$51"),0),MATCH(F$13,$A$13:$J$13,0))-F194),"")</f>
        <v/>
      </c>
      <c r="N194" s="328" t="str">
        <f ca="1">IFERROR(IF(#REF!="","",INDEX(INDIRECT("'Annex 1 LV and HV charges"&amp;MID($A$2,FIND("_",$A$2),2)&amp;"'!$A$10:$K$51"),MATCH(MID($A194,FIND(":",$A194)+2,LEN($A194)-FIND(":",$A194)+2),INDIRECT("'Annex 1 LV and HV charges"&amp;MID($A$2,FIND("_",$A$2),2)&amp;"'!$A$10:$A$51"),0),MATCH(G$13,$A$13:$J$13,0))-G194),"")</f>
        <v/>
      </c>
      <c r="O194" s="328" t="str">
        <f ca="1">IFERROR(IF(#REF!="","",INDEX(INDIRECT("'Annex 1 LV and HV charges"&amp;MID($A$2,FIND("_",$A$2),2)&amp;"'!$A$10:$K$51"),MATCH(MID($A194,FIND(":",$A194)+2,LEN($A194)-FIND(":",$A194)+2),INDIRECT("'Annex 1 LV and HV charges"&amp;MID($A$2,FIND("_",$A$2),2)&amp;"'!$A$10:$A$51"),0),MATCH(H$13,$A$13:$J$13,0))-H194),"")</f>
        <v/>
      </c>
      <c r="P194" s="328" t="str">
        <f ca="1">IFERROR(IF(#REF!="","",INDEX(INDIRECT("'Annex 1 LV and HV charges"&amp;MID($A$2,FIND("_",$A$2),2)&amp;"'!$A$10:$K$51"),MATCH(MID($A194,FIND(":",$A194)+2,LEN($A194)-FIND(":",$A194)+2),INDIRECT("'Annex 1 LV and HV charges"&amp;MID($A$2,FIND("_",$A$2),2)&amp;"'!$A$10:$A$51"),0),MATCH(I$13,$A$13:$J$13,0))-I194),"")</f>
        <v/>
      </c>
      <c r="Q194" s="328" t="str">
        <f ca="1">IFERROR(IF(#REF!="","",INDEX(INDIRECT("'Annex 1 LV and HV charges"&amp;MID($A$2,FIND("_",$A$2),2)&amp;"'!$A$10:$K$51"),MATCH(MID($A194,FIND(":",$A194)+2,LEN($A194)-FIND(":",$A194)+2),INDIRECT("'Annex 1 LV and HV charges"&amp;MID($A$2,FIND("_",$A$2),2)&amp;"'!$A$10:$A$51"),0),MATCH(J$13,$A$13:$J$13,0))-J194),"")</f>
        <v/>
      </c>
    </row>
    <row r="195" spans="1:17" ht="27.75" customHeight="1" x14ac:dyDescent="0.2">
      <c r="A195" s="324" t="s">
        <v>741</v>
      </c>
      <c r="B195" s="18"/>
      <c r="C195" s="327">
        <v>0</v>
      </c>
      <c r="D195" s="92">
        <v>0.13400000000000001</v>
      </c>
      <c r="E195" s="93">
        <v>2E-3</v>
      </c>
      <c r="F195" s="94" t="s">
        <v>840</v>
      </c>
      <c r="G195" s="319" t="s">
        <v>840</v>
      </c>
      <c r="H195" s="319">
        <v>1.84</v>
      </c>
      <c r="I195" s="322">
        <v>1.84</v>
      </c>
      <c r="J195" s="26">
        <v>8.9999999999999993E-3</v>
      </c>
      <c r="K195" s="328" t="str">
        <f ca="1">IFERROR(IF(#REF!="","",INDEX(INDIRECT("'Annex 1 LV and HV charges"&amp;MID($A$2,FIND("_",$A$2),2)&amp;"'!$A$10:$K$51"),MATCH(MID($A195,FIND(":",$A195)+2,LEN($A195)-FIND(":",$A195)+2),INDIRECT("'Annex 1 LV and HV charges"&amp;MID($A$2,FIND("_",$A$2),2)&amp;"'!$A$10:$A$51"),0),MATCH(D$13,$A$13:$J$13,0))-D195),"")</f>
        <v/>
      </c>
      <c r="L195" s="328" t="str">
        <f ca="1">IFERROR(IF(#REF!="","",INDEX(INDIRECT("'Annex 1 LV and HV charges"&amp;MID($A$2,FIND("_",$A$2),2)&amp;"'!$A$10:$K$51"),MATCH(MID($A195,FIND(":",$A195)+2,LEN($A195)-FIND(":",$A195)+2),INDIRECT("'Annex 1 LV and HV charges"&amp;MID($A$2,FIND("_",$A$2),2)&amp;"'!$A$10:$A$51"),0),MATCH(E$13,$A$13:$J$13,0))-E195),"")</f>
        <v/>
      </c>
      <c r="M195" s="328" t="str">
        <f ca="1">IFERROR(IF(#REF!="","",INDEX(INDIRECT("'Annex 1 LV and HV charges"&amp;MID($A$2,FIND("_",$A$2),2)&amp;"'!$A$10:$K$51"),MATCH(MID($A195,FIND(":",$A195)+2,LEN($A195)-FIND(":",$A195)+2),INDIRECT("'Annex 1 LV and HV charges"&amp;MID($A$2,FIND("_",$A$2),2)&amp;"'!$A$10:$A$51"),0),MATCH(F$13,$A$13:$J$13,0))-F195),"")</f>
        <v/>
      </c>
      <c r="N195" s="328" t="str">
        <f ca="1">IFERROR(IF(#REF!="","",INDEX(INDIRECT("'Annex 1 LV and HV charges"&amp;MID($A$2,FIND("_",$A$2),2)&amp;"'!$A$10:$K$51"),MATCH(MID($A195,FIND(":",$A195)+2,LEN($A195)-FIND(":",$A195)+2),INDIRECT("'Annex 1 LV and HV charges"&amp;MID($A$2,FIND("_",$A$2),2)&amp;"'!$A$10:$A$51"),0),MATCH(G$13,$A$13:$J$13,0))-G195),"")</f>
        <v/>
      </c>
      <c r="O195" s="328" t="str">
        <f ca="1">IFERROR(IF(#REF!="","",INDEX(INDIRECT("'Annex 1 LV and HV charges"&amp;MID($A$2,FIND("_",$A$2),2)&amp;"'!$A$10:$K$51"),MATCH(MID($A195,FIND(":",$A195)+2,LEN($A195)-FIND(":",$A195)+2),INDIRECT("'Annex 1 LV and HV charges"&amp;MID($A$2,FIND("_",$A$2),2)&amp;"'!$A$10:$A$51"),0),MATCH(H$13,$A$13:$J$13,0))-H195),"")</f>
        <v/>
      </c>
      <c r="P195" s="328" t="str">
        <f ca="1">IFERROR(IF(#REF!="","",INDEX(INDIRECT("'Annex 1 LV and HV charges"&amp;MID($A$2,FIND("_",$A$2),2)&amp;"'!$A$10:$K$51"),MATCH(MID($A195,FIND(":",$A195)+2,LEN($A195)-FIND(":",$A195)+2),INDIRECT("'Annex 1 LV and HV charges"&amp;MID($A$2,FIND("_",$A$2),2)&amp;"'!$A$10:$A$51"),0),MATCH(I$13,$A$13:$J$13,0))-I195),"")</f>
        <v/>
      </c>
      <c r="Q195" s="328" t="str">
        <f ca="1">IFERROR(IF(#REF!="","",INDEX(INDIRECT("'Annex 1 LV and HV charges"&amp;MID($A$2,FIND("_",$A$2),2)&amp;"'!$A$10:$K$51"),MATCH(MID($A195,FIND(":",$A195)+2,LEN($A195)-FIND(":",$A195)+2),INDIRECT("'Annex 1 LV and HV charges"&amp;MID($A$2,FIND("_",$A$2),2)&amp;"'!$A$10:$A$51"),0),MATCH(J$13,$A$13:$J$13,0))-J195),"")</f>
        <v/>
      </c>
    </row>
    <row r="196" spans="1:17" ht="27.75" customHeight="1" x14ac:dyDescent="0.2">
      <c r="A196" s="324" t="s">
        <v>742</v>
      </c>
      <c r="B196" s="18"/>
      <c r="C196" s="327">
        <v>0</v>
      </c>
      <c r="D196" s="92">
        <v>0.06</v>
      </c>
      <c r="E196" s="93" t="s">
        <v>840</v>
      </c>
      <c r="F196" s="94" t="s">
        <v>840</v>
      </c>
      <c r="G196" s="319" t="s">
        <v>840</v>
      </c>
      <c r="H196" s="319">
        <v>1.84</v>
      </c>
      <c r="I196" s="322">
        <v>1.84</v>
      </c>
      <c r="J196" s="26">
        <v>8.9999999999999993E-3</v>
      </c>
      <c r="K196" s="328" t="str">
        <f ca="1">IFERROR(IF(#REF!="","",INDEX(INDIRECT("'Annex 1 LV and HV charges"&amp;MID($A$2,FIND("_",$A$2),2)&amp;"'!$A$10:$K$51"),MATCH(MID($A196,FIND(":",$A196)+2,LEN($A196)-FIND(":",$A196)+2),INDIRECT("'Annex 1 LV and HV charges"&amp;MID($A$2,FIND("_",$A$2),2)&amp;"'!$A$10:$A$51"),0),MATCH(D$13,$A$13:$J$13,0))-D196),"")</f>
        <v/>
      </c>
      <c r="L196" s="328" t="str">
        <f ca="1">IFERROR(IF(#REF!="","",INDEX(INDIRECT("'Annex 1 LV and HV charges"&amp;MID($A$2,FIND("_",$A$2),2)&amp;"'!$A$10:$K$51"),MATCH(MID($A196,FIND(":",$A196)+2,LEN($A196)-FIND(":",$A196)+2),INDIRECT("'Annex 1 LV and HV charges"&amp;MID($A$2,FIND("_",$A$2),2)&amp;"'!$A$10:$A$51"),0),MATCH(E$13,$A$13:$J$13,0))-E196),"")</f>
        <v/>
      </c>
      <c r="M196" s="328" t="str">
        <f ca="1">IFERROR(IF(#REF!="","",INDEX(INDIRECT("'Annex 1 LV and HV charges"&amp;MID($A$2,FIND("_",$A$2),2)&amp;"'!$A$10:$K$51"),MATCH(MID($A196,FIND(":",$A196)+2,LEN($A196)-FIND(":",$A196)+2),INDIRECT("'Annex 1 LV and HV charges"&amp;MID($A$2,FIND("_",$A$2),2)&amp;"'!$A$10:$A$51"),0),MATCH(F$13,$A$13:$J$13,0))-F196),"")</f>
        <v/>
      </c>
      <c r="N196" s="328" t="str">
        <f ca="1">IFERROR(IF(#REF!="","",INDEX(INDIRECT("'Annex 1 LV and HV charges"&amp;MID($A$2,FIND("_",$A$2),2)&amp;"'!$A$10:$K$51"),MATCH(MID($A196,FIND(":",$A196)+2,LEN($A196)-FIND(":",$A196)+2),INDIRECT("'Annex 1 LV and HV charges"&amp;MID($A$2,FIND("_",$A$2),2)&amp;"'!$A$10:$A$51"),0),MATCH(G$13,$A$13:$J$13,0))-G196),"")</f>
        <v/>
      </c>
      <c r="O196" s="328" t="str">
        <f ca="1">IFERROR(IF(#REF!="","",INDEX(INDIRECT("'Annex 1 LV and HV charges"&amp;MID($A$2,FIND("_",$A$2),2)&amp;"'!$A$10:$K$51"),MATCH(MID($A196,FIND(":",$A196)+2,LEN($A196)-FIND(":",$A196)+2),INDIRECT("'Annex 1 LV and HV charges"&amp;MID($A$2,FIND("_",$A$2),2)&amp;"'!$A$10:$A$51"),0),MATCH(H$13,$A$13:$J$13,0))-H196),"")</f>
        <v/>
      </c>
      <c r="P196" s="328" t="str">
        <f ca="1">IFERROR(IF(#REF!="","",INDEX(INDIRECT("'Annex 1 LV and HV charges"&amp;MID($A$2,FIND("_",$A$2),2)&amp;"'!$A$10:$K$51"),MATCH(MID($A196,FIND(":",$A196)+2,LEN($A196)-FIND(":",$A196)+2),INDIRECT("'Annex 1 LV and HV charges"&amp;MID($A$2,FIND("_",$A$2),2)&amp;"'!$A$10:$A$51"),0),MATCH(I$13,$A$13:$J$13,0))-I196),"")</f>
        <v/>
      </c>
      <c r="Q196" s="328" t="str">
        <f ca="1">IFERROR(IF(#REF!="","",INDEX(INDIRECT("'Annex 1 LV and HV charges"&amp;MID($A$2,FIND("_",$A$2),2)&amp;"'!$A$10:$K$51"),MATCH(MID($A196,FIND(":",$A196)+2,LEN($A196)-FIND(":",$A196)+2),INDIRECT("'Annex 1 LV and HV charges"&amp;MID($A$2,FIND("_",$A$2),2)&amp;"'!$A$10:$A$51"),0),MATCH(J$13,$A$13:$J$13,0))-J196),"")</f>
        <v/>
      </c>
    </row>
    <row r="197" spans="1:17" ht="27.75" customHeight="1" x14ac:dyDescent="0.2">
      <c r="A197" s="324" t="s">
        <v>743</v>
      </c>
      <c r="B197" s="18"/>
      <c r="C197" s="327">
        <v>0</v>
      </c>
      <c r="D197" s="92" t="s">
        <v>840</v>
      </c>
      <c r="E197" s="93" t="s">
        <v>840</v>
      </c>
      <c r="F197" s="94" t="s">
        <v>840</v>
      </c>
      <c r="G197" s="319" t="s">
        <v>840</v>
      </c>
      <c r="H197" s="319">
        <v>1.84</v>
      </c>
      <c r="I197" s="322">
        <v>1.84</v>
      </c>
      <c r="J197" s="26">
        <v>8.9999999999999993E-3</v>
      </c>
      <c r="K197" s="328" t="str">
        <f ca="1">IFERROR(IF(#REF!="","",INDEX(INDIRECT("'Annex 1 LV and HV charges"&amp;MID($A$2,FIND("_",$A$2),2)&amp;"'!$A$10:$K$51"),MATCH(MID($A197,FIND(":",$A197)+2,LEN($A197)-FIND(":",$A197)+2),INDIRECT("'Annex 1 LV and HV charges"&amp;MID($A$2,FIND("_",$A$2),2)&amp;"'!$A$10:$A$51"),0),MATCH(D$13,$A$13:$J$13,0))-D197),"")</f>
        <v/>
      </c>
      <c r="L197" s="328" t="str">
        <f ca="1">IFERROR(IF(#REF!="","",INDEX(INDIRECT("'Annex 1 LV and HV charges"&amp;MID($A$2,FIND("_",$A$2),2)&amp;"'!$A$10:$K$51"),MATCH(MID($A197,FIND(":",$A197)+2,LEN($A197)-FIND(":",$A197)+2),INDIRECT("'Annex 1 LV and HV charges"&amp;MID($A$2,FIND("_",$A$2),2)&amp;"'!$A$10:$A$51"),0),MATCH(E$13,$A$13:$J$13,0))-E197),"")</f>
        <v/>
      </c>
      <c r="M197" s="328" t="str">
        <f ca="1">IFERROR(IF(#REF!="","",INDEX(INDIRECT("'Annex 1 LV and HV charges"&amp;MID($A$2,FIND("_",$A$2),2)&amp;"'!$A$10:$K$51"),MATCH(MID($A197,FIND(":",$A197)+2,LEN($A197)-FIND(":",$A197)+2),INDIRECT("'Annex 1 LV and HV charges"&amp;MID($A$2,FIND("_",$A$2),2)&amp;"'!$A$10:$A$51"),0),MATCH(F$13,$A$13:$J$13,0))-F197),"")</f>
        <v/>
      </c>
      <c r="N197" s="328" t="str">
        <f ca="1">IFERROR(IF(#REF!="","",INDEX(INDIRECT("'Annex 1 LV and HV charges"&amp;MID($A$2,FIND("_",$A$2),2)&amp;"'!$A$10:$K$51"),MATCH(MID($A197,FIND(":",$A197)+2,LEN($A197)-FIND(":",$A197)+2),INDIRECT("'Annex 1 LV and HV charges"&amp;MID($A$2,FIND("_",$A$2),2)&amp;"'!$A$10:$A$51"),0),MATCH(G$13,$A$13:$J$13,0))-G197),"")</f>
        <v/>
      </c>
      <c r="O197" s="328" t="str">
        <f ca="1">IFERROR(IF(#REF!="","",INDEX(INDIRECT("'Annex 1 LV and HV charges"&amp;MID($A$2,FIND("_",$A$2),2)&amp;"'!$A$10:$K$51"),MATCH(MID($A197,FIND(":",$A197)+2,LEN($A197)-FIND(":",$A197)+2),INDIRECT("'Annex 1 LV and HV charges"&amp;MID($A$2,FIND("_",$A$2),2)&amp;"'!$A$10:$A$51"),0),MATCH(H$13,$A$13:$J$13,0))-H197),"")</f>
        <v/>
      </c>
      <c r="P197" s="328" t="str">
        <f ca="1">IFERROR(IF(#REF!="","",INDEX(INDIRECT("'Annex 1 LV and HV charges"&amp;MID($A$2,FIND("_",$A$2),2)&amp;"'!$A$10:$K$51"),MATCH(MID($A197,FIND(":",$A197)+2,LEN($A197)-FIND(":",$A197)+2),INDIRECT("'Annex 1 LV and HV charges"&amp;MID($A$2,FIND("_",$A$2),2)&amp;"'!$A$10:$A$51"),0),MATCH(I$13,$A$13:$J$13,0))-I197),"")</f>
        <v/>
      </c>
      <c r="Q197" s="328" t="str">
        <f ca="1">IFERROR(IF(#REF!="","",INDEX(INDIRECT("'Annex 1 LV and HV charges"&amp;MID($A$2,FIND("_",$A$2),2)&amp;"'!$A$10:$K$51"),MATCH(MID($A197,FIND(":",$A197)+2,LEN($A197)-FIND(":",$A197)+2),INDIRECT("'Annex 1 LV and HV charges"&amp;MID($A$2,FIND("_",$A$2),2)&amp;"'!$A$10:$A$51"),0),MATCH(J$13,$A$13:$J$13,0))-J197),"")</f>
        <v/>
      </c>
    </row>
    <row r="198" spans="1:17" ht="27.75" customHeight="1" x14ac:dyDescent="0.2">
      <c r="A198" s="324" t="s">
        <v>593</v>
      </c>
      <c r="B198" s="25"/>
      <c r="C198" s="327" t="s">
        <v>847</v>
      </c>
      <c r="D198" s="95">
        <v>1.659</v>
      </c>
      <c r="E198" s="96">
        <v>0.53800000000000003</v>
      </c>
      <c r="F198" s="94">
        <v>0.41099999999999998</v>
      </c>
      <c r="G198" s="320" t="s">
        <v>840</v>
      </c>
      <c r="H198" s="320" t="s">
        <v>840</v>
      </c>
      <c r="I198" s="321" t="s">
        <v>840</v>
      </c>
      <c r="J198" s="27" t="s">
        <v>840</v>
      </c>
      <c r="K198" s="328" t="str">
        <f ca="1">IFERROR(IF(#REF!="","",INDEX(INDIRECT("'Annex 1 LV and HV charges"&amp;MID($A$2,FIND("_",$A$2),2)&amp;"'!$A$10:$K$51"),MATCH(MID($A198,FIND(":",$A198)+2,LEN($A198)-FIND(":",$A198)+2),INDIRECT("'Annex 1 LV and HV charges"&amp;MID($A$2,FIND("_",$A$2),2)&amp;"'!$A$10:$A$51"),0),MATCH(D$13,$A$13:$J$13,0))-D198),"")</f>
        <v/>
      </c>
      <c r="L198" s="328" t="str">
        <f ca="1">IFERROR(IF(#REF!="","",INDEX(INDIRECT("'Annex 1 LV and HV charges"&amp;MID($A$2,FIND("_",$A$2),2)&amp;"'!$A$10:$K$51"),MATCH(MID($A198,FIND(":",$A198)+2,LEN($A198)-FIND(":",$A198)+2),INDIRECT("'Annex 1 LV and HV charges"&amp;MID($A$2,FIND("_",$A$2),2)&amp;"'!$A$10:$A$51"),0),MATCH(E$13,$A$13:$J$13,0))-E198),"")</f>
        <v/>
      </c>
      <c r="M198" s="328" t="str">
        <f ca="1">IFERROR(IF(#REF!="","",INDEX(INDIRECT("'Annex 1 LV and HV charges"&amp;MID($A$2,FIND("_",$A$2),2)&amp;"'!$A$10:$K$51"),MATCH(MID($A198,FIND(":",$A198)+2,LEN($A198)-FIND(":",$A198)+2),INDIRECT("'Annex 1 LV and HV charges"&amp;MID($A$2,FIND("_",$A$2),2)&amp;"'!$A$10:$A$51"),0),MATCH(F$13,$A$13:$J$13,0))-F198),"")</f>
        <v/>
      </c>
      <c r="N198" s="328" t="str">
        <f ca="1">IFERROR(IF(#REF!="","",INDEX(INDIRECT("'Annex 1 LV and HV charges"&amp;MID($A$2,FIND("_",$A$2),2)&amp;"'!$A$10:$K$51"),MATCH(MID($A198,FIND(":",$A198)+2,LEN($A198)-FIND(":",$A198)+2),INDIRECT("'Annex 1 LV and HV charges"&amp;MID($A$2,FIND("_",$A$2),2)&amp;"'!$A$10:$A$51"),0),MATCH(G$13,$A$13:$J$13,0))-G198),"")</f>
        <v/>
      </c>
      <c r="O198" s="328" t="str">
        <f ca="1">IFERROR(IF(#REF!="","",INDEX(INDIRECT("'Annex 1 LV and HV charges"&amp;MID($A$2,FIND("_",$A$2),2)&amp;"'!$A$10:$K$51"),MATCH(MID($A198,FIND(":",$A198)+2,LEN($A198)-FIND(":",$A198)+2),INDIRECT("'Annex 1 LV and HV charges"&amp;MID($A$2,FIND("_",$A$2),2)&amp;"'!$A$10:$A$51"),0),MATCH(H$13,$A$13:$J$13,0))-H198),"")</f>
        <v/>
      </c>
      <c r="P198" s="328" t="str">
        <f ca="1">IFERROR(IF(#REF!="","",INDEX(INDIRECT("'Annex 1 LV and HV charges"&amp;MID($A$2,FIND("_",$A$2),2)&amp;"'!$A$10:$K$51"),MATCH(MID($A198,FIND(":",$A198)+2,LEN($A198)-FIND(":",$A198)+2),INDIRECT("'Annex 1 LV and HV charges"&amp;MID($A$2,FIND("_",$A$2),2)&amp;"'!$A$10:$A$51"),0),MATCH(I$13,$A$13:$J$13,0))-I198),"")</f>
        <v/>
      </c>
      <c r="Q198" s="328" t="str">
        <f ca="1">IFERROR(IF(#REF!="","",INDEX(INDIRECT("'Annex 1 LV and HV charges"&amp;MID($A$2,FIND("_",$A$2),2)&amp;"'!$A$10:$K$51"),MATCH(MID($A198,FIND(":",$A198)+2,LEN($A198)-FIND(":",$A198)+2),INDIRECT("'Annex 1 LV and HV charges"&amp;MID($A$2,FIND("_",$A$2),2)&amp;"'!$A$10:$A$51"),0),MATCH(J$13,$A$13:$J$13,0))-J198),"")</f>
        <v/>
      </c>
    </row>
    <row r="199" spans="1:17" ht="27.75" customHeight="1" x14ac:dyDescent="0.2">
      <c r="A199" s="324" t="s">
        <v>637</v>
      </c>
      <c r="B199" s="25"/>
      <c r="C199" s="327" t="s">
        <v>2118</v>
      </c>
      <c r="D199" s="92">
        <v>-0.71</v>
      </c>
      <c r="E199" s="93">
        <v>-0.248</v>
      </c>
      <c r="F199" s="94">
        <v>-5.2999999999999999E-2</v>
      </c>
      <c r="G199" s="319" t="s">
        <v>840</v>
      </c>
      <c r="H199" s="320" t="s">
        <v>840</v>
      </c>
      <c r="I199" s="321" t="s">
        <v>840</v>
      </c>
      <c r="J199" s="27" t="s">
        <v>840</v>
      </c>
      <c r="K199" s="328" t="str">
        <f ca="1">IFERROR(IF(#REF!="","",INDEX(INDIRECT("'Annex 1 LV and HV charges"&amp;MID($A$2,FIND("_",$A$2),2)&amp;"'!$A$10:$K$51"),MATCH(MID($A199,FIND(":",$A199)+2,LEN($A199)-FIND(":",$A199)+2),INDIRECT("'Annex 1 LV and HV charges"&amp;MID($A$2,FIND("_",$A$2),2)&amp;"'!$A$10:$A$51"),0),MATCH(D$13,$A$13:$J$13,0))-D199),"")</f>
        <v/>
      </c>
      <c r="L199" s="328" t="str">
        <f ca="1">IFERROR(IF(#REF!="","",INDEX(INDIRECT("'Annex 1 LV and HV charges"&amp;MID($A$2,FIND("_",$A$2),2)&amp;"'!$A$10:$K$51"),MATCH(MID($A199,FIND(":",$A199)+2,LEN($A199)-FIND(":",$A199)+2),INDIRECT("'Annex 1 LV and HV charges"&amp;MID($A$2,FIND("_",$A$2),2)&amp;"'!$A$10:$A$51"),0),MATCH(E$13,$A$13:$J$13,0))-E199),"")</f>
        <v/>
      </c>
      <c r="M199" s="328" t="str">
        <f ca="1">IFERROR(IF(#REF!="","",INDEX(INDIRECT("'Annex 1 LV and HV charges"&amp;MID($A$2,FIND("_",$A$2),2)&amp;"'!$A$10:$K$51"),MATCH(MID($A199,FIND(":",$A199)+2,LEN($A199)-FIND(":",$A199)+2),INDIRECT("'Annex 1 LV and HV charges"&amp;MID($A$2,FIND("_",$A$2),2)&amp;"'!$A$10:$A$51"),0),MATCH(F$13,$A$13:$J$13,0))-F199),"")</f>
        <v/>
      </c>
      <c r="N199" s="328" t="str">
        <f ca="1">IFERROR(IF(#REF!="","",INDEX(INDIRECT("'Annex 1 LV and HV charges"&amp;MID($A$2,FIND("_",$A$2),2)&amp;"'!$A$10:$K$51"),MATCH(MID($A199,FIND(":",$A199)+2,LEN($A199)-FIND(":",$A199)+2),INDIRECT("'Annex 1 LV and HV charges"&amp;MID($A$2,FIND("_",$A$2),2)&amp;"'!$A$10:$A$51"),0),MATCH(G$13,$A$13:$J$13,0))-G199),"")</f>
        <v/>
      </c>
      <c r="O199" s="328" t="str">
        <f ca="1">IFERROR(IF(#REF!="","",INDEX(INDIRECT("'Annex 1 LV and HV charges"&amp;MID($A$2,FIND("_",$A$2),2)&amp;"'!$A$10:$K$51"),MATCH(MID($A199,FIND(":",$A199)+2,LEN($A199)-FIND(":",$A199)+2),INDIRECT("'Annex 1 LV and HV charges"&amp;MID($A$2,FIND("_",$A$2),2)&amp;"'!$A$10:$A$51"),0),MATCH(H$13,$A$13:$J$13,0))-H199),"")</f>
        <v/>
      </c>
      <c r="P199" s="328" t="str">
        <f ca="1">IFERROR(IF(#REF!="","",INDEX(INDIRECT("'Annex 1 LV and HV charges"&amp;MID($A$2,FIND("_",$A$2),2)&amp;"'!$A$10:$K$51"),MATCH(MID($A199,FIND(":",$A199)+2,LEN($A199)-FIND(":",$A199)+2),INDIRECT("'Annex 1 LV and HV charges"&amp;MID($A$2,FIND("_",$A$2),2)&amp;"'!$A$10:$A$51"),0),MATCH(I$13,$A$13:$J$13,0))-I199),"")</f>
        <v/>
      </c>
      <c r="Q199" s="328" t="str">
        <f ca="1">IFERROR(IF(#REF!="","",INDEX(INDIRECT("'Annex 1 LV and HV charges"&amp;MID($A$2,FIND("_",$A$2),2)&amp;"'!$A$10:$K$51"),MATCH(MID($A199,FIND(":",$A199)+2,LEN($A199)-FIND(":",$A199)+2),INDIRECT("'Annex 1 LV and HV charges"&amp;MID($A$2,FIND("_",$A$2),2)&amp;"'!$A$10:$A$51"),0),MATCH(J$13,$A$13:$J$13,0))-J199),"")</f>
        <v/>
      </c>
    </row>
    <row r="200" spans="1:17" ht="27.75" customHeight="1" x14ac:dyDescent="0.2">
      <c r="A200" s="324" t="s">
        <v>638</v>
      </c>
      <c r="B200" s="323"/>
      <c r="C200" s="327" t="s">
        <v>2118</v>
      </c>
      <c r="D200" s="92">
        <v>-0.66600000000000004</v>
      </c>
      <c r="E200" s="93">
        <v>-0.22600000000000001</v>
      </c>
      <c r="F200" s="94">
        <v>-5.0999999999999997E-2</v>
      </c>
      <c r="G200" s="319" t="s">
        <v>840</v>
      </c>
      <c r="H200" s="320" t="s">
        <v>840</v>
      </c>
      <c r="I200" s="321" t="s">
        <v>840</v>
      </c>
      <c r="J200" s="27" t="s">
        <v>840</v>
      </c>
      <c r="K200" s="328" t="str">
        <f ca="1">IFERROR(IF(#REF!="","",INDEX(INDIRECT("'Annex 1 LV and HV charges"&amp;MID($A$2,FIND("_",$A$2),2)&amp;"'!$A$10:$K$51"),MATCH(MID($A200,FIND(":",$A200)+2,LEN($A200)-FIND(":",$A200)+2),INDIRECT("'Annex 1 LV and HV charges"&amp;MID($A$2,FIND("_",$A$2),2)&amp;"'!$A$10:$A$51"),0),MATCH(D$13,$A$13:$J$13,0))-D200),"")</f>
        <v/>
      </c>
      <c r="L200" s="328" t="str">
        <f ca="1">IFERROR(IF(#REF!="","",INDEX(INDIRECT("'Annex 1 LV and HV charges"&amp;MID($A$2,FIND("_",$A$2),2)&amp;"'!$A$10:$K$51"),MATCH(MID($A200,FIND(":",$A200)+2,LEN($A200)-FIND(":",$A200)+2),INDIRECT("'Annex 1 LV and HV charges"&amp;MID($A$2,FIND("_",$A$2),2)&amp;"'!$A$10:$A$51"),0),MATCH(E$13,$A$13:$J$13,0))-E200),"")</f>
        <v/>
      </c>
      <c r="M200" s="328" t="str">
        <f ca="1">IFERROR(IF(#REF!="","",INDEX(INDIRECT("'Annex 1 LV and HV charges"&amp;MID($A$2,FIND("_",$A$2),2)&amp;"'!$A$10:$K$51"),MATCH(MID($A200,FIND(":",$A200)+2,LEN($A200)-FIND(":",$A200)+2),INDIRECT("'Annex 1 LV and HV charges"&amp;MID($A$2,FIND("_",$A$2),2)&amp;"'!$A$10:$A$51"),0),MATCH(F$13,$A$13:$J$13,0))-F200),"")</f>
        <v/>
      </c>
      <c r="N200" s="328" t="str">
        <f ca="1">IFERROR(IF(#REF!="","",INDEX(INDIRECT("'Annex 1 LV and HV charges"&amp;MID($A$2,FIND("_",$A$2),2)&amp;"'!$A$10:$K$51"),MATCH(MID($A200,FIND(":",$A200)+2,LEN($A200)-FIND(":",$A200)+2),INDIRECT("'Annex 1 LV and HV charges"&amp;MID($A$2,FIND("_",$A$2),2)&amp;"'!$A$10:$A$51"),0),MATCH(G$13,$A$13:$J$13,0))-G200),"")</f>
        <v/>
      </c>
      <c r="O200" s="328" t="str">
        <f ca="1">IFERROR(IF(#REF!="","",INDEX(INDIRECT("'Annex 1 LV and HV charges"&amp;MID($A$2,FIND("_",$A$2),2)&amp;"'!$A$10:$K$51"),MATCH(MID($A200,FIND(":",$A200)+2,LEN($A200)-FIND(":",$A200)+2),INDIRECT("'Annex 1 LV and HV charges"&amp;MID($A$2,FIND("_",$A$2),2)&amp;"'!$A$10:$A$51"),0),MATCH(H$13,$A$13:$J$13,0))-H200),"")</f>
        <v/>
      </c>
      <c r="P200" s="328" t="str">
        <f ca="1">IFERROR(IF(#REF!="","",INDEX(INDIRECT("'Annex 1 LV and HV charges"&amp;MID($A$2,FIND("_",$A$2),2)&amp;"'!$A$10:$K$51"),MATCH(MID($A200,FIND(":",$A200)+2,LEN($A200)-FIND(":",$A200)+2),INDIRECT("'Annex 1 LV and HV charges"&amp;MID($A$2,FIND("_",$A$2),2)&amp;"'!$A$10:$A$51"),0),MATCH(I$13,$A$13:$J$13,0))-I200),"")</f>
        <v/>
      </c>
      <c r="Q200" s="328" t="str">
        <f ca="1">IFERROR(IF(#REF!="","",INDEX(INDIRECT("'Annex 1 LV and HV charges"&amp;MID($A$2,FIND("_",$A$2),2)&amp;"'!$A$10:$K$51"),MATCH(MID($A200,FIND(":",$A200)+2,LEN($A200)-FIND(":",$A200)+2),INDIRECT("'Annex 1 LV and HV charges"&amp;MID($A$2,FIND("_",$A$2),2)&amp;"'!$A$10:$A$51"),0),MATCH(J$13,$A$13:$J$13,0))-J200),"")</f>
        <v/>
      </c>
    </row>
    <row r="201" spans="1:17" ht="27.75" customHeight="1" x14ac:dyDescent="0.2">
      <c r="A201" s="324" t="s">
        <v>639</v>
      </c>
      <c r="B201" s="25"/>
      <c r="C201" s="327">
        <v>0</v>
      </c>
      <c r="D201" s="92">
        <v>-0.71</v>
      </c>
      <c r="E201" s="93">
        <v>-0.248</v>
      </c>
      <c r="F201" s="94">
        <v>-5.2999999999999999E-2</v>
      </c>
      <c r="G201" s="319" t="s">
        <v>840</v>
      </c>
      <c r="H201" s="320" t="s">
        <v>840</v>
      </c>
      <c r="I201" s="321" t="s">
        <v>840</v>
      </c>
      <c r="J201" s="26">
        <v>4.2000000000000003E-2</v>
      </c>
      <c r="K201" s="328" t="str">
        <f ca="1">IFERROR(IF(#REF!="","",INDEX(INDIRECT("'Annex 1 LV and HV charges"&amp;MID($A$2,FIND("_",$A$2),2)&amp;"'!$A$10:$K$51"),MATCH(MID($A201,FIND(":",$A201)+2,LEN($A201)-FIND(":",$A201)+2),INDIRECT("'Annex 1 LV and HV charges"&amp;MID($A$2,FIND("_",$A$2),2)&amp;"'!$A$10:$A$51"),0),MATCH(D$13,$A$13:$J$13,0))-D201),"")</f>
        <v/>
      </c>
      <c r="L201" s="328" t="str">
        <f ca="1">IFERROR(IF(#REF!="","",INDEX(INDIRECT("'Annex 1 LV and HV charges"&amp;MID($A$2,FIND("_",$A$2),2)&amp;"'!$A$10:$K$51"),MATCH(MID($A201,FIND(":",$A201)+2,LEN($A201)-FIND(":",$A201)+2),INDIRECT("'Annex 1 LV and HV charges"&amp;MID($A$2,FIND("_",$A$2),2)&amp;"'!$A$10:$A$51"),0),MATCH(E$13,$A$13:$J$13,0))-E201),"")</f>
        <v/>
      </c>
      <c r="M201" s="328" t="str">
        <f ca="1">IFERROR(IF(#REF!="","",INDEX(INDIRECT("'Annex 1 LV and HV charges"&amp;MID($A$2,FIND("_",$A$2),2)&amp;"'!$A$10:$K$51"),MATCH(MID($A201,FIND(":",$A201)+2,LEN($A201)-FIND(":",$A201)+2),INDIRECT("'Annex 1 LV and HV charges"&amp;MID($A$2,FIND("_",$A$2),2)&amp;"'!$A$10:$A$51"),0),MATCH(F$13,$A$13:$J$13,0))-F201),"")</f>
        <v/>
      </c>
      <c r="N201" s="328" t="str">
        <f ca="1">IFERROR(IF(#REF!="","",INDEX(INDIRECT("'Annex 1 LV and HV charges"&amp;MID($A$2,FIND("_",$A$2),2)&amp;"'!$A$10:$K$51"),MATCH(MID($A201,FIND(":",$A201)+2,LEN($A201)-FIND(":",$A201)+2),INDIRECT("'Annex 1 LV and HV charges"&amp;MID($A$2,FIND("_",$A$2),2)&amp;"'!$A$10:$A$51"),0),MATCH(G$13,$A$13:$J$13,0))-G201),"")</f>
        <v/>
      </c>
      <c r="O201" s="328" t="str">
        <f ca="1">IFERROR(IF(#REF!="","",INDEX(INDIRECT("'Annex 1 LV and HV charges"&amp;MID($A$2,FIND("_",$A$2),2)&amp;"'!$A$10:$K$51"),MATCH(MID($A201,FIND(":",$A201)+2,LEN($A201)-FIND(":",$A201)+2),INDIRECT("'Annex 1 LV and HV charges"&amp;MID($A$2,FIND("_",$A$2),2)&amp;"'!$A$10:$A$51"),0),MATCH(H$13,$A$13:$J$13,0))-H201),"")</f>
        <v/>
      </c>
      <c r="P201" s="328" t="str">
        <f ca="1">IFERROR(IF(#REF!="","",INDEX(INDIRECT("'Annex 1 LV and HV charges"&amp;MID($A$2,FIND("_",$A$2),2)&amp;"'!$A$10:$K$51"),MATCH(MID($A201,FIND(":",$A201)+2,LEN($A201)-FIND(":",$A201)+2),INDIRECT("'Annex 1 LV and HV charges"&amp;MID($A$2,FIND("_",$A$2),2)&amp;"'!$A$10:$A$51"),0),MATCH(I$13,$A$13:$J$13,0))-I201),"")</f>
        <v/>
      </c>
      <c r="Q201" s="328" t="str">
        <f ca="1">IFERROR(IF(#REF!="","",INDEX(INDIRECT("'Annex 1 LV and HV charges"&amp;MID($A$2,FIND("_",$A$2),2)&amp;"'!$A$10:$K$51"),MATCH(MID($A201,FIND(":",$A201)+2,LEN($A201)-FIND(":",$A201)+2),INDIRECT("'Annex 1 LV and HV charges"&amp;MID($A$2,FIND("_",$A$2),2)&amp;"'!$A$10:$A$51"),0),MATCH(J$13,$A$13:$J$13,0))-J201),"")</f>
        <v/>
      </c>
    </row>
    <row r="202" spans="1:17" ht="27.75" customHeight="1" x14ac:dyDescent="0.2">
      <c r="A202" s="324" t="s">
        <v>640</v>
      </c>
      <c r="B202" s="25"/>
      <c r="C202" s="327">
        <v>0</v>
      </c>
      <c r="D202" s="92">
        <v>-0.66600000000000004</v>
      </c>
      <c r="E202" s="93">
        <v>-0.22600000000000001</v>
      </c>
      <c r="F202" s="94">
        <v>-5.0999999999999997E-2</v>
      </c>
      <c r="G202" s="319" t="s">
        <v>840</v>
      </c>
      <c r="H202" s="320" t="s">
        <v>840</v>
      </c>
      <c r="I202" s="321" t="s">
        <v>840</v>
      </c>
      <c r="J202" s="26">
        <v>3.5000000000000003E-2</v>
      </c>
      <c r="K202" s="328" t="str">
        <f ca="1">IFERROR(IF(#REF!="","",INDEX(INDIRECT("'Annex 1 LV and HV charges"&amp;MID($A$2,FIND("_",$A$2),2)&amp;"'!$A$10:$K$51"),MATCH(MID($A202,FIND(":",$A202)+2,LEN($A202)-FIND(":",$A202)+2),INDIRECT("'Annex 1 LV and HV charges"&amp;MID($A$2,FIND("_",$A$2),2)&amp;"'!$A$10:$A$51"),0),MATCH(D$13,$A$13:$J$13,0))-D202),"")</f>
        <v/>
      </c>
      <c r="L202" s="328" t="str">
        <f ca="1">IFERROR(IF(#REF!="","",INDEX(INDIRECT("'Annex 1 LV and HV charges"&amp;MID($A$2,FIND("_",$A$2),2)&amp;"'!$A$10:$K$51"),MATCH(MID($A202,FIND(":",$A202)+2,LEN($A202)-FIND(":",$A202)+2),INDIRECT("'Annex 1 LV and HV charges"&amp;MID($A$2,FIND("_",$A$2),2)&amp;"'!$A$10:$A$51"),0),MATCH(E$13,$A$13:$J$13,0))-E202),"")</f>
        <v/>
      </c>
      <c r="M202" s="328" t="str">
        <f ca="1">IFERROR(IF(#REF!="","",INDEX(INDIRECT("'Annex 1 LV and HV charges"&amp;MID($A$2,FIND("_",$A$2),2)&amp;"'!$A$10:$K$51"),MATCH(MID($A202,FIND(":",$A202)+2,LEN($A202)-FIND(":",$A202)+2),INDIRECT("'Annex 1 LV and HV charges"&amp;MID($A$2,FIND("_",$A$2),2)&amp;"'!$A$10:$A$51"),0),MATCH(F$13,$A$13:$J$13,0))-F202),"")</f>
        <v/>
      </c>
      <c r="N202" s="328" t="str">
        <f ca="1">IFERROR(IF(#REF!="","",INDEX(INDIRECT("'Annex 1 LV and HV charges"&amp;MID($A$2,FIND("_",$A$2),2)&amp;"'!$A$10:$K$51"),MATCH(MID($A202,FIND(":",$A202)+2,LEN($A202)-FIND(":",$A202)+2),INDIRECT("'Annex 1 LV and HV charges"&amp;MID($A$2,FIND("_",$A$2),2)&amp;"'!$A$10:$A$51"),0),MATCH(G$13,$A$13:$J$13,0))-G202),"")</f>
        <v/>
      </c>
      <c r="O202" s="328" t="str">
        <f ca="1">IFERROR(IF(#REF!="","",INDEX(INDIRECT("'Annex 1 LV and HV charges"&amp;MID($A$2,FIND("_",$A$2),2)&amp;"'!$A$10:$K$51"),MATCH(MID($A202,FIND(":",$A202)+2,LEN($A202)-FIND(":",$A202)+2),INDIRECT("'Annex 1 LV and HV charges"&amp;MID($A$2,FIND("_",$A$2),2)&amp;"'!$A$10:$A$51"),0),MATCH(H$13,$A$13:$J$13,0))-H202),"")</f>
        <v/>
      </c>
      <c r="P202" s="328" t="str">
        <f ca="1">IFERROR(IF(#REF!="","",INDEX(INDIRECT("'Annex 1 LV and HV charges"&amp;MID($A$2,FIND("_",$A$2),2)&amp;"'!$A$10:$K$51"),MATCH(MID($A202,FIND(":",$A202)+2,LEN($A202)-FIND(":",$A202)+2),INDIRECT("'Annex 1 LV and HV charges"&amp;MID($A$2,FIND("_",$A$2),2)&amp;"'!$A$10:$A$51"),0),MATCH(I$13,$A$13:$J$13,0))-I202),"")</f>
        <v/>
      </c>
      <c r="Q202" s="328" t="str">
        <f ca="1">IFERROR(IF(#REF!="","",INDEX(INDIRECT("'Annex 1 LV and HV charges"&amp;MID($A$2,FIND("_",$A$2),2)&amp;"'!$A$10:$K$51"),MATCH(MID($A202,FIND(":",$A202)+2,LEN($A202)-FIND(":",$A202)+2),INDIRECT("'Annex 1 LV and HV charges"&amp;MID($A$2,FIND("_",$A$2),2)&amp;"'!$A$10:$A$51"),0),MATCH(J$13,$A$13:$J$13,0))-J202),"")</f>
        <v/>
      </c>
    </row>
    <row r="203" spans="1:17" ht="27.75" customHeight="1" x14ac:dyDescent="0.2">
      <c r="A203" s="324" t="s">
        <v>641</v>
      </c>
      <c r="B203" s="25"/>
      <c r="C203" s="327">
        <v>0</v>
      </c>
      <c r="D203" s="92">
        <v>-0.67100000000000004</v>
      </c>
      <c r="E203" s="93">
        <v>-0.17</v>
      </c>
      <c r="F203" s="94">
        <v>-6.7000000000000004E-2</v>
      </c>
      <c r="G203" s="319">
        <v>213.57</v>
      </c>
      <c r="H203" s="320" t="s">
        <v>840</v>
      </c>
      <c r="I203" s="321" t="s">
        <v>840</v>
      </c>
      <c r="J203" s="26">
        <v>6.5000000000000002E-2</v>
      </c>
      <c r="K203" s="328" t="str">
        <f ca="1">IFERROR(IF(#REF!="","",INDEX(INDIRECT("'Annex 1 LV and HV charges"&amp;MID($A$2,FIND("_",$A$2),2)&amp;"'!$A$10:$K$51"),MATCH(MID($A203,FIND(":",$A203)+2,LEN($A203)-FIND(":",$A203)+2),INDIRECT("'Annex 1 LV and HV charges"&amp;MID($A$2,FIND("_",$A$2),2)&amp;"'!$A$10:$A$51"),0),MATCH(D$13,$A$13:$J$13,0))-D203),"")</f>
        <v/>
      </c>
      <c r="L203" s="328" t="str">
        <f ca="1">IFERROR(IF(#REF!="","",INDEX(INDIRECT("'Annex 1 LV and HV charges"&amp;MID($A$2,FIND("_",$A$2),2)&amp;"'!$A$10:$K$51"),MATCH(MID($A203,FIND(":",$A203)+2,LEN($A203)-FIND(":",$A203)+2),INDIRECT("'Annex 1 LV and HV charges"&amp;MID($A$2,FIND("_",$A$2),2)&amp;"'!$A$10:$A$51"),0),MATCH(E$13,$A$13:$J$13,0))-E203),"")</f>
        <v/>
      </c>
      <c r="M203" s="328" t="str">
        <f ca="1">IFERROR(IF(#REF!="","",INDEX(INDIRECT("'Annex 1 LV and HV charges"&amp;MID($A$2,FIND("_",$A$2),2)&amp;"'!$A$10:$K$51"),MATCH(MID($A203,FIND(":",$A203)+2,LEN($A203)-FIND(":",$A203)+2),INDIRECT("'Annex 1 LV and HV charges"&amp;MID($A$2,FIND("_",$A$2),2)&amp;"'!$A$10:$A$51"),0),MATCH(F$13,$A$13:$J$13,0))-F203),"")</f>
        <v/>
      </c>
      <c r="N203" s="328" t="str">
        <f ca="1">IFERROR(IF(#REF!="","",INDEX(INDIRECT("'Annex 1 LV and HV charges"&amp;MID($A$2,FIND("_",$A$2),2)&amp;"'!$A$10:$K$51"),MATCH(MID($A203,FIND(":",$A203)+2,LEN($A203)-FIND(":",$A203)+2),INDIRECT("'Annex 1 LV and HV charges"&amp;MID($A$2,FIND("_",$A$2),2)&amp;"'!$A$10:$A$51"),0),MATCH(G$13,$A$13:$J$13,0))-G203),"")</f>
        <v/>
      </c>
      <c r="O203" s="328" t="str">
        <f ca="1">IFERROR(IF(#REF!="","",INDEX(INDIRECT("'Annex 1 LV and HV charges"&amp;MID($A$2,FIND("_",$A$2),2)&amp;"'!$A$10:$K$51"),MATCH(MID($A203,FIND(":",$A203)+2,LEN($A203)-FIND(":",$A203)+2),INDIRECT("'Annex 1 LV and HV charges"&amp;MID($A$2,FIND("_",$A$2),2)&amp;"'!$A$10:$A$51"),0),MATCH(H$13,$A$13:$J$13,0))-H203),"")</f>
        <v/>
      </c>
      <c r="P203" s="328" t="str">
        <f ca="1">IFERROR(IF(#REF!="","",INDEX(INDIRECT("'Annex 1 LV and HV charges"&amp;MID($A$2,FIND("_",$A$2),2)&amp;"'!$A$10:$K$51"),MATCH(MID($A203,FIND(":",$A203)+2,LEN($A203)-FIND(":",$A203)+2),INDIRECT("'Annex 1 LV and HV charges"&amp;MID($A$2,FIND("_",$A$2),2)&amp;"'!$A$10:$A$51"),0),MATCH(I$13,$A$13:$J$13,0))-I203),"")</f>
        <v/>
      </c>
      <c r="Q203" s="328" t="str">
        <f ca="1">IFERROR(IF(#REF!="","",INDEX(INDIRECT("'Annex 1 LV and HV charges"&amp;MID($A$2,FIND("_",$A$2),2)&amp;"'!$A$10:$K$51"),MATCH(MID($A203,FIND(":",$A203)+2,LEN($A203)-FIND(":",$A203)+2),INDIRECT("'Annex 1 LV and HV charges"&amp;MID($A$2,FIND("_",$A$2),2)&amp;"'!$A$10:$A$51"),0),MATCH(J$13,$A$13:$J$13,0))-J203),"")</f>
        <v/>
      </c>
    </row>
  </sheetData>
  <mergeCells count="14">
    <mergeCell ref="M4:S5"/>
    <mergeCell ref="B1:D1"/>
    <mergeCell ref="F1:H1"/>
    <mergeCell ref="F8:G8"/>
    <mergeCell ref="F9:G9"/>
    <mergeCell ref="B10:D10"/>
    <mergeCell ref="F10:G10"/>
    <mergeCell ref="H10:J10"/>
    <mergeCell ref="A2:J2"/>
    <mergeCell ref="A4:D4"/>
    <mergeCell ref="F4:J4"/>
    <mergeCell ref="F5:G5"/>
    <mergeCell ref="F6:G6"/>
    <mergeCell ref="F7:G7"/>
  </mergeCells>
  <conditionalFormatting sqref="K14:Q203">
    <cfRule type="cellIs" dxfId="26" priority="2" operator="equal">
      <formula>0</formula>
    </cfRule>
    <cfRule type="cellIs" dxfId="25" priority="3" operator="lessThan">
      <formula>0</formula>
    </cfRule>
    <cfRule type="cellIs" dxfId="24" priority="4" operator="greaterThan">
      <formula>0</formula>
    </cfRule>
  </conditionalFormatting>
  <conditionalFormatting sqref="K14:R203">
    <cfRule type="expression" dxfId="23" priority="1">
      <formula>$K14&lt;&gt;""</formula>
    </cfRule>
  </conditionalFormatting>
  <hyperlinks>
    <hyperlink ref="A1" location="Overview!A1" display="Back to Overview" xr:uid="{FD1B8858-BD58-4A64-AE60-D6F26F82D094}"/>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31"/>
  <sheetViews>
    <sheetView zoomScale="70" zoomScaleNormal="70" workbookViewId="0"/>
  </sheetViews>
  <sheetFormatPr defaultColWidth="9.140625" defaultRowHeight="12.75" x14ac:dyDescent="0.2"/>
  <cols>
    <col min="1" max="1" width="21" style="22" customWidth="1"/>
    <col min="2" max="2" width="3.7109375" style="22" customWidth="1"/>
    <col min="3" max="7" width="24" style="22" customWidth="1"/>
    <col min="8" max="8" width="32.7109375" style="22" customWidth="1"/>
    <col min="9" max="10" width="9.140625" style="22"/>
    <col min="11" max="11" width="40.28515625" style="22" customWidth="1"/>
    <col min="12" max="16384" width="9.140625" style="22"/>
  </cols>
  <sheetData>
    <row r="1" spans="1:8" ht="27.75" customHeight="1" x14ac:dyDescent="0.2">
      <c r="A1" s="32" t="s">
        <v>19</v>
      </c>
    </row>
    <row r="2" spans="1:8" ht="39.950000000000003" customHeight="1" x14ac:dyDescent="0.2">
      <c r="A2" s="493" t="s">
        <v>574</v>
      </c>
      <c r="B2" s="493"/>
      <c r="C2" s="493"/>
      <c r="D2" s="493"/>
      <c r="E2" s="493"/>
      <c r="F2" s="493"/>
    </row>
    <row r="3" spans="1:8" ht="47.25" customHeight="1" x14ac:dyDescent="0.2">
      <c r="A3" s="382" t="str">
        <f>Overview!B4&amp;" - Illustrative LLFs in UKPN EPN Area (GSP Group_A) for year beginning "&amp;TEXT(Overview!$D$4,"d mmmm yyyy")&amp;""</f>
        <v>Leep Electricity Networks Limited - Illustrative LLFs in UKPN EPN Area (GSP Group_A) for year beginning 1 April 2026</v>
      </c>
      <c r="B3" s="423"/>
      <c r="C3" s="423"/>
      <c r="D3" s="423"/>
      <c r="E3" s="423"/>
      <c r="F3" s="423"/>
      <c r="G3" s="424"/>
      <c r="H3" s="100"/>
    </row>
    <row r="4" spans="1:8" ht="19.5" customHeight="1" x14ac:dyDescent="0.2">
      <c r="A4" s="495" t="s">
        <v>13</v>
      </c>
      <c r="B4" s="496"/>
      <c r="C4" s="12" t="s">
        <v>5</v>
      </c>
      <c r="D4" s="12" t="s">
        <v>6</v>
      </c>
      <c r="E4" s="12" t="s">
        <v>7</v>
      </c>
      <c r="F4" s="12" t="s">
        <v>8</v>
      </c>
      <c r="G4" s="12" t="s">
        <v>481</v>
      </c>
      <c r="H4" s="100"/>
    </row>
    <row r="5" spans="1:8" ht="42.75" customHeight="1" x14ac:dyDescent="0.2">
      <c r="A5" s="497"/>
      <c r="B5" s="498"/>
      <c r="C5" s="12" t="s">
        <v>5</v>
      </c>
      <c r="D5" s="12" t="s">
        <v>6</v>
      </c>
      <c r="E5" s="12" t="s">
        <v>7</v>
      </c>
      <c r="F5" s="12" t="s">
        <v>8</v>
      </c>
      <c r="G5" s="12" t="s">
        <v>481</v>
      </c>
      <c r="H5" s="100"/>
    </row>
    <row r="6" spans="1:8" ht="45" customHeight="1" x14ac:dyDescent="0.2">
      <c r="A6" s="491">
        <v>0</v>
      </c>
      <c r="B6" s="492"/>
      <c r="C6" s="307" t="s">
        <v>849</v>
      </c>
      <c r="D6" s="307" t="s">
        <v>850</v>
      </c>
      <c r="E6" s="307" t="s">
        <v>851</v>
      </c>
      <c r="F6" s="307" t="s">
        <v>852</v>
      </c>
      <c r="G6" s="307" t="s">
        <v>853</v>
      </c>
      <c r="H6" s="100"/>
    </row>
    <row r="7" spans="1:8" ht="45" customHeight="1" x14ac:dyDescent="0.2">
      <c r="A7" s="491" t="s">
        <v>854</v>
      </c>
      <c r="B7" s="492"/>
      <c r="C7" s="307" t="s">
        <v>855</v>
      </c>
      <c r="D7" s="307" t="s">
        <v>840</v>
      </c>
      <c r="E7" s="307" t="s">
        <v>856</v>
      </c>
      <c r="F7" s="307" t="s">
        <v>840</v>
      </c>
      <c r="G7" s="307" t="s">
        <v>840</v>
      </c>
      <c r="H7" s="100"/>
    </row>
    <row r="8" spans="1:8" ht="45" customHeight="1" x14ac:dyDescent="0.2">
      <c r="A8" s="491" t="s">
        <v>857</v>
      </c>
      <c r="B8" s="492"/>
      <c r="C8" s="307" t="s">
        <v>840</v>
      </c>
      <c r="D8" s="307" t="s">
        <v>858</v>
      </c>
      <c r="E8" s="307" t="s">
        <v>840</v>
      </c>
      <c r="F8" s="307" t="s">
        <v>840</v>
      </c>
      <c r="G8" s="307" t="s">
        <v>840</v>
      </c>
      <c r="H8" s="100"/>
    </row>
    <row r="9" spans="1:8" ht="45" customHeight="1" x14ac:dyDescent="0.2">
      <c r="A9" s="491" t="s">
        <v>859</v>
      </c>
      <c r="B9" s="492"/>
      <c r="C9" s="307" t="s">
        <v>840</v>
      </c>
      <c r="D9" s="307" t="s">
        <v>840</v>
      </c>
      <c r="E9" s="307" t="s">
        <v>858</v>
      </c>
      <c r="F9" s="307" t="s">
        <v>840</v>
      </c>
      <c r="G9" s="307" t="s">
        <v>840</v>
      </c>
      <c r="H9" s="100"/>
    </row>
    <row r="10" spans="1:8" ht="23.25" customHeight="1" x14ac:dyDescent="0.2">
      <c r="A10" s="380" t="s">
        <v>14</v>
      </c>
      <c r="B10" s="381"/>
      <c r="C10" s="380" t="s">
        <v>470</v>
      </c>
      <c r="D10" s="394"/>
      <c r="E10" s="394"/>
      <c r="F10" s="394"/>
      <c r="G10" s="381"/>
      <c r="H10" s="100"/>
    </row>
    <row r="11" spans="1:8" ht="12.75" customHeight="1" x14ac:dyDescent="0.2">
      <c r="A11" s="192"/>
      <c r="B11" s="192"/>
      <c r="C11" s="192"/>
      <c r="D11" s="192"/>
      <c r="E11" s="192"/>
      <c r="F11" s="192"/>
      <c r="G11" s="192"/>
      <c r="H11" s="100"/>
    </row>
    <row r="12" spans="1:8" ht="12.75" customHeight="1" x14ac:dyDescent="0.2">
      <c r="A12" s="100"/>
      <c r="B12" s="193"/>
      <c r="C12" s="193"/>
      <c r="D12" s="193"/>
      <c r="E12" s="193"/>
      <c r="F12" s="100"/>
      <c r="G12" s="100"/>
      <c r="H12" s="100"/>
    </row>
    <row r="13" spans="1:8" ht="22.5" customHeight="1" x14ac:dyDescent="0.2">
      <c r="A13" s="490" t="s">
        <v>293</v>
      </c>
      <c r="B13" s="490"/>
      <c r="C13" s="490"/>
      <c r="D13" s="490"/>
      <c r="E13" s="490"/>
      <c r="F13" s="490"/>
      <c r="G13" s="490"/>
      <c r="H13" s="490"/>
    </row>
    <row r="14" spans="1:8" ht="22.5" customHeight="1" x14ac:dyDescent="0.2">
      <c r="A14" s="490" t="s">
        <v>4</v>
      </c>
      <c r="B14" s="490"/>
      <c r="C14" s="490"/>
      <c r="D14" s="490"/>
      <c r="E14" s="490"/>
      <c r="F14" s="490"/>
      <c r="G14" s="490"/>
      <c r="H14" s="490"/>
    </row>
    <row r="15" spans="1:8" ht="33" customHeight="1" x14ac:dyDescent="0.2">
      <c r="A15" s="490" t="s">
        <v>294</v>
      </c>
      <c r="B15" s="490"/>
      <c r="C15" s="194" t="s">
        <v>5</v>
      </c>
      <c r="D15" s="194" t="s">
        <v>6</v>
      </c>
      <c r="E15" s="194" t="s">
        <v>7</v>
      </c>
      <c r="F15" s="194" t="s">
        <v>8</v>
      </c>
      <c r="G15" s="194" t="s">
        <v>481</v>
      </c>
      <c r="H15" s="194" t="s">
        <v>9</v>
      </c>
    </row>
    <row r="16" spans="1:8" ht="191.25" x14ac:dyDescent="0.2">
      <c r="A16" s="494" t="s">
        <v>562</v>
      </c>
      <c r="B16" s="494">
        <v>0</v>
      </c>
      <c r="C16" s="195"/>
      <c r="D16" s="195"/>
      <c r="E16" s="195"/>
      <c r="F16" s="195"/>
      <c r="G16" s="195"/>
      <c r="H16" s="303" t="s">
        <v>2158</v>
      </c>
    </row>
    <row r="17" spans="1:8" ht="51" x14ac:dyDescent="0.2">
      <c r="A17" s="494" t="s">
        <v>563</v>
      </c>
      <c r="B17" s="494">
        <v>0</v>
      </c>
      <c r="C17" s="195"/>
      <c r="D17" s="195"/>
      <c r="E17" s="195"/>
      <c r="F17" s="195"/>
      <c r="G17" s="195"/>
      <c r="H17" s="303" t="s">
        <v>2159</v>
      </c>
    </row>
    <row r="18" spans="1:8" ht="38.25" x14ac:dyDescent="0.2">
      <c r="A18" s="494" t="s">
        <v>564</v>
      </c>
      <c r="B18" s="494">
        <v>0</v>
      </c>
      <c r="C18" s="195"/>
      <c r="D18" s="195"/>
      <c r="E18" s="195"/>
      <c r="F18" s="195"/>
      <c r="G18" s="195"/>
      <c r="H18" s="303" t="s">
        <v>2160</v>
      </c>
    </row>
    <row r="19" spans="1:8" ht="12.75" customHeight="1" x14ac:dyDescent="0.2">
      <c r="A19" s="494" t="s">
        <v>565</v>
      </c>
      <c r="B19" s="494">
        <v>0</v>
      </c>
      <c r="C19" s="195"/>
      <c r="D19" s="195"/>
      <c r="E19" s="195"/>
      <c r="F19" s="195"/>
      <c r="G19" s="195"/>
      <c r="H19" s="303" t="s">
        <v>2161</v>
      </c>
    </row>
    <row r="20" spans="1:8" x14ac:dyDescent="0.2">
      <c r="A20" s="494" t="s">
        <v>572</v>
      </c>
      <c r="B20" s="494">
        <v>0</v>
      </c>
      <c r="C20" s="195"/>
      <c r="D20" s="195"/>
      <c r="E20" s="195"/>
      <c r="F20" s="195"/>
      <c r="G20" s="195"/>
      <c r="H20" s="303" t="s">
        <v>2162</v>
      </c>
    </row>
    <row r="21" spans="1:8" x14ac:dyDescent="0.2">
      <c r="A21" s="494" t="s">
        <v>573</v>
      </c>
      <c r="B21" s="494">
        <v>0</v>
      </c>
      <c r="C21" s="195"/>
      <c r="D21" s="195"/>
      <c r="E21" s="195"/>
      <c r="F21" s="195"/>
      <c r="G21" s="195"/>
      <c r="H21" s="303"/>
    </row>
    <row r="22" spans="1:8" x14ac:dyDescent="0.2">
      <c r="A22" s="100"/>
      <c r="B22" s="100"/>
      <c r="C22" s="100"/>
      <c r="D22" s="100"/>
      <c r="E22" s="100"/>
      <c r="F22" s="100"/>
      <c r="G22" s="100"/>
      <c r="H22" s="100"/>
    </row>
    <row r="23" spans="1:8" ht="22.5" customHeight="1" x14ac:dyDescent="0.2">
      <c r="A23" s="490" t="s">
        <v>295</v>
      </c>
      <c r="B23" s="490"/>
      <c r="C23" s="490"/>
      <c r="D23" s="490"/>
      <c r="E23" s="490"/>
      <c r="F23" s="490"/>
      <c r="G23" s="490"/>
      <c r="H23" s="490"/>
    </row>
    <row r="24" spans="1:8" ht="22.5" customHeight="1" x14ac:dyDescent="0.2">
      <c r="A24" s="490" t="s">
        <v>11</v>
      </c>
      <c r="B24" s="490"/>
      <c r="C24" s="490"/>
      <c r="D24" s="490"/>
      <c r="E24" s="490"/>
      <c r="F24" s="490"/>
      <c r="G24" s="490"/>
      <c r="H24" s="490"/>
    </row>
    <row r="25" spans="1:8" ht="33" customHeight="1" x14ac:dyDescent="0.2">
      <c r="A25" s="427" t="s">
        <v>10</v>
      </c>
      <c r="B25" s="428"/>
      <c r="C25" s="191" t="s">
        <v>5</v>
      </c>
      <c r="D25" s="191" t="s">
        <v>6</v>
      </c>
      <c r="E25" s="191" t="s">
        <v>7</v>
      </c>
      <c r="F25" s="191" t="s">
        <v>8</v>
      </c>
      <c r="G25" s="191" t="s">
        <v>481</v>
      </c>
      <c r="H25" s="191" t="s">
        <v>9</v>
      </c>
    </row>
    <row r="26" spans="1:8" ht="22.5" customHeight="1" x14ac:dyDescent="0.2">
      <c r="A26" s="196"/>
      <c r="B26" s="197"/>
      <c r="C26" s="195"/>
      <c r="D26" s="195"/>
      <c r="E26" s="195"/>
      <c r="F26" s="195"/>
      <c r="G26" s="195"/>
      <c r="H26" s="198"/>
    </row>
    <row r="27" spans="1:8" ht="12.75" customHeight="1" x14ac:dyDescent="0.2">
      <c r="A27" s="100"/>
      <c r="B27" s="100"/>
      <c r="C27" s="100"/>
      <c r="D27" s="100"/>
      <c r="E27" s="100"/>
      <c r="F27" s="100"/>
      <c r="G27" s="100"/>
      <c r="H27" s="100"/>
    </row>
    <row r="28" spans="1:8" ht="22.5" customHeight="1" x14ac:dyDescent="0.2">
      <c r="A28" s="490" t="s">
        <v>295</v>
      </c>
      <c r="B28" s="490"/>
      <c r="C28" s="490"/>
      <c r="D28" s="490"/>
      <c r="E28" s="490"/>
      <c r="F28" s="490"/>
      <c r="G28" s="490"/>
      <c r="H28" s="490"/>
    </row>
    <row r="29" spans="1:8" ht="22.5" customHeight="1" x14ac:dyDescent="0.2">
      <c r="A29" s="490" t="s">
        <v>12</v>
      </c>
      <c r="B29" s="490"/>
      <c r="C29" s="490"/>
      <c r="D29" s="490"/>
      <c r="E29" s="490"/>
      <c r="F29" s="490"/>
      <c r="G29" s="490"/>
      <c r="H29" s="490"/>
    </row>
    <row r="30" spans="1:8" ht="33" customHeight="1" x14ac:dyDescent="0.2">
      <c r="A30" s="427" t="s">
        <v>10</v>
      </c>
      <c r="B30" s="428"/>
      <c r="C30" s="191" t="s">
        <v>5</v>
      </c>
      <c r="D30" s="191" t="s">
        <v>6</v>
      </c>
      <c r="E30" s="191" t="s">
        <v>7</v>
      </c>
      <c r="F30" s="191" t="s">
        <v>8</v>
      </c>
      <c r="G30" s="191" t="s">
        <v>481</v>
      </c>
      <c r="H30" s="191" t="s">
        <v>9</v>
      </c>
    </row>
    <row r="31" spans="1:8" ht="22.5" customHeight="1" x14ac:dyDescent="0.2">
      <c r="A31" s="196"/>
      <c r="B31" s="197"/>
      <c r="C31" s="195"/>
      <c r="D31" s="195"/>
      <c r="E31" s="195"/>
      <c r="F31" s="195"/>
      <c r="G31" s="195"/>
      <c r="H31" s="109"/>
    </row>
  </sheetData>
  <mergeCells count="24">
    <mergeCell ref="A2:F2"/>
    <mergeCell ref="A21:B21"/>
    <mergeCell ref="A30:B30"/>
    <mergeCell ref="A16:B16"/>
    <mergeCell ref="A17:B17"/>
    <mergeCell ref="A18:B18"/>
    <mergeCell ref="A19:B19"/>
    <mergeCell ref="A20:B20"/>
    <mergeCell ref="A23:H23"/>
    <mergeCell ref="A24:H24"/>
    <mergeCell ref="A25:B25"/>
    <mergeCell ref="A28:H28"/>
    <mergeCell ref="A29:H29"/>
    <mergeCell ref="A15:B15"/>
    <mergeCell ref="A3:G3"/>
    <mergeCell ref="A4:B5"/>
    <mergeCell ref="C10:G10"/>
    <mergeCell ref="A13:H13"/>
    <mergeCell ref="A14:H14"/>
    <mergeCell ref="A6:B6"/>
    <mergeCell ref="A7:B7"/>
    <mergeCell ref="A8:B8"/>
    <mergeCell ref="A9:B9"/>
    <mergeCell ref="A10:B10"/>
  </mergeCells>
  <conditionalFormatting sqref="C6:G9">
    <cfRule type="cellIs" dxfId="22" priority="1" operator="equal">
      <formula>""</formula>
    </cfRule>
  </conditionalFormatting>
  <hyperlinks>
    <hyperlink ref="A1" location="Overview!A1" display="Back to Overview" xr:uid="{BE8FBA7A-BE10-4879-9D64-5DB7F048E867}"/>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32"/>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82" t="str">
        <f>Overview!B4&amp;" - Illustrative LLFs in WPD EM Area (GSP Group_B) for year beginning "&amp;TEXT(Overview!$D$4,"d mmmm yyyy")&amp;""</f>
        <v>Leep Electricity Networks Limited - Illustrative LLFs in WPD EM Area (GSP Group_B) for year beginning 1 April 2026</v>
      </c>
      <c r="B3" s="423"/>
      <c r="C3" s="423"/>
      <c r="D3" s="423"/>
      <c r="E3" s="424"/>
    </row>
    <row r="4" spans="1:6" ht="19.5" customHeight="1" x14ac:dyDescent="0.2">
      <c r="A4" s="500" t="s">
        <v>13</v>
      </c>
      <c r="B4" s="12" t="s">
        <v>5</v>
      </c>
      <c r="C4" s="12" t="s">
        <v>6</v>
      </c>
      <c r="D4" s="12" t="s">
        <v>7</v>
      </c>
      <c r="E4" s="12" t="s">
        <v>8</v>
      </c>
    </row>
    <row r="5" spans="1:6" ht="39" customHeight="1" x14ac:dyDescent="0.2">
      <c r="A5" s="501"/>
      <c r="B5" s="12" t="s">
        <v>2077</v>
      </c>
      <c r="C5" s="12" t="s">
        <v>2078</v>
      </c>
      <c r="D5" s="12" t="s">
        <v>2079</v>
      </c>
      <c r="E5" s="12" t="s">
        <v>2080</v>
      </c>
    </row>
    <row r="6" spans="1:6" ht="45" customHeight="1" x14ac:dyDescent="0.2">
      <c r="A6" s="272" t="s">
        <v>2081</v>
      </c>
      <c r="B6" s="13" t="s">
        <v>840</v>
      </c>
      <c r="C6" s="13" t="s">
        <v>840</v>
      </c>
      <c r="D6" s="13" t="s">
        <v>2082</v>
      </c>
      <c r="E6" s="13" t="s">
        <v>2083</v>
      </c>
    </row>
    <row r="7" spans="1:6" ht="45" customHeight="1" x14ac:dyDescent="0.2">
      <c r="A7" s="272" t="s">
        <v>2084</v>
      </c>
      <c r="B7" s="13" t="s">
        <v>2085</v>
      </c>
      <c r="C7" s="13" t="s">
        <v>2086</v>
      </c>
      <c r="D7" s="13" t="s">
        <v>2082</v>
      </c>
      <c r="E7" s="13" t="s">
        <v>2087</v>
      </c>
    </row>
    <row r="8" spans="1:6" ht="45" customHeight="1" x14ac:dyDescent="0.2">
      <c r="A8" s="272" t="s">
        <v>841</v>
      </c>
      <c r="B8" s="13" t="s">
        <v>840</v>
      </c>
      <c r="C8" s="13" t="s">
        <v>840</v>
      </c>
      <c r="D8" s="13" t="s">
        <v>2082</v>
      </c>
      <c r="E8" s="13" t="s">
        <v>2083</v>
      </c>
    </row>
    <row r="9" spans="1:6" ht="25.5" customHeight="1" x14ac:dyDescent="0.2">
      <c r="A9" s="273" t="s">
        <v>14</v>
      </c>
      <c r="B9" s="502" t="s">
        <v>15</v>
      </c>
      <c r="C9" s="503"/>
      <c r="D9" s="503"/>
      <c r="E9" s="504"/>
    </row>
    <row r="10" spans="1:6" ht="12.75" customHeight="1" x14ac:dyDescent="0.2">
      <c r="A10" s="201"/>
      <c r="B10" s="202"/>
      <c r="C10" s="202"/>
      <c r="D10" s="202"/>
      <c r="E10" s="202"/>
    </row>
    <row r="11" spans="1:6" ht="12.75" customHeight="1" x14ac:dyDescent="0.2">
      <c r="A11" s="203"/>
      <c r="B11" s="202"/>
      <c r="C11" s="202"/>
      <c r="D11" s="202"/>
      <c r="E11" s="202"/>
    </row>
    <row r="12" spans="1:6" ht="22.5" customHeight="1" x14ac:dyDescent="0.2">
      <c r="A12" s="427" t="s">
        <v>482</v>
      </c>
      <c r="B12" s="499"/>
      <c r="C12" s="499"/>
      <c r="D12" s="499"/>
      <c r="E12" s="499"/>
      <c r="F12" s="428"/>
    </row>
    <row r="13" spans="1:6" ht="22.5" customHeight="1" x14ac:dyDescent="0.2">
      <c r="A13" s="427" t="s">
        <v>4</v>
      </c>
      <c r="B13" s="499"/>
      <c r="C13" s="499"/>
      <c r="D13" s="499"/>
      <c r="E13" s="499"/>
      <c r="F13" s="428"/>
    </row>
    <row r="14" spans="1:6" ht="33" customHeight="1" x14ac:dyDescent="0.2">
      <c r="A14" s="191" t="s">
        <v>483</v>
      </c>
      <c r="B14" s="191" t="s">
        <v>5</v>
      </c>
      <c r="C14" s="191" t="s">
        <v>6</v>
      </c>
      <c r="D14" s="191" t="s">
        <v>7</v>
      </c>
      <c r="E14" s="191" t="s">
        <v>8</v>
      </c>
      <c r="F14" s="191" t="s">
        <v>9</v>
      </c>
    </row>
    <row r="15" spans="1:6" x14ac:dyDescent="0.2">
      <c r="A15" s="204" t="s">
        <v>568</v>
      </c>
      <c r="B15" s="195"/>
      <c r="C15" s="195"/>
      <c r="D15" s="195"/>
      <c r="E15" s="195"/>
      <c r="F15" s="304"/>
    </row>
    <row r="16" spans="1:6" x14ac:dyDescent="0.2">
      <c r="A16" s="204" t="s">
        <v>569</v>
      </c>
      <c r="B16" s="195"/>
      <c r="C16" s="195"/>
      <c r="D16" s="195"/>
      <c r="E16" s="195"/>
      <c r="F16" s="304"/>
    </row>
    <row r="17" spans="1:6" x14ac:dyDescent="0.2">
      <c r="A17" s="204" t="s">
        <v>570</v>
      </c>
      <c r="B17" s="195"/>
      <c r="C17" s="195"/>
      <c r="D17" s="195"/>
      <c r="E17" s="195"/>
      <c r="F17" s="304"/>
    </row>
    <row r="18" spans="1:6" x14ac:dyDescent="0.2">
      <c r="A18" s="204" t="s">
        <v>571</v>
      </c>
      <c r="B18" s="195"/>
      <c r="C18" s="195"/>
      <c r="D18" s="195"/>
      <c r="E18" s="195"/>
      <c r="F18" s="304"/>
    </row>
    <row r="19" spans="1:6" x14ac:dyDescent="0.2">
      <c r="A19" s="204" t="s">
        <v>565</v>
      </c>
      <c r="B19" s="195"/>
      <c r="C19" s="195"/>
      <c r="D19" s="195"/>
      <c r="E19" s="195"/>
      <c r="F19" s="303" t="s">
        <v>840</v>
      </c>
    </row>
    <row r="20" spans="1:6" ht="63.75" x14ac:dyDescent="0.2">
      <c r="A20" s="204" t="s">
        <v>564</v>
      </c>
      <c r="B20" s="195"/>
      <c r="C20" s="195"/>
      <c r="D20" s="195"/>
      <c r="E20" s="195"/>
      <c r="F20" s="303" t="s">
        <v>2163</v>
      </c>
    </row>
    <row r="21" spans="1:6" ht="76.5" x14ac:dyDescent="0.2">
      <c r="A21" s="204" t="s">
        <v>563</v>
      </c>
      <c r="B21" s="195"/>
      <c r="C21" s="195"/>
      <c r="D21" s="195"/>
      <c r="E21" s="195"/>
      <c r="F21" s="303" t="s">
        <v>2164</v>
      </c>
    </row>
    <row r="22" spans="1:6" ht="255" x14ac:dyDescent="0.2">
      <c r="A22" s="204" t="s">
        <v>562</v>
      </c>
      <c r="B22" s="195"/>
      <c r="C22" s="195"/>
      <c r="D22" s="195"/>
      <c r="E22" s="195"/>
      <c r="F22" s="303" t="s">
        <v>2165</v>
      </c>
    </row>
    <row r="24" spans="1:6" ht="22.5" customHeight="1" x14ac:dyDescent="0.2">
      <c r="A24" s="427" t="s">
        <v>295</v>
      </c>
      <c r="B24" s="499"/>
      <c r="C24" s="499"/>
      <c r="D24" s="499"/>
      <c r="E24" s="499"/>
      <c r="F24" s="428"/>
    </row>
    <row r="25" spans="1:6" ht="22.5" customHeight="1" x14ac:dyDescent="0.2">
      <c r="A25" s="427" t="s">
        <v>11</v>
      </c>
      <c r="B25" s="499"/>
      <c r="C25" s="499"/>
      <c r="D25" s="499"/>
      <c r="E25" s="499"/>
      <c r="F25" s="428"/>
    </row>
    <row r="26" spans="1:6" ht="33" customHeight="1" x14ac:dyDescent="0.2">
      <c r="A26" s="191" t="s">
        <v>10</v>
      </c>
      <c r="B26" s="191" t="s">
        <v>5</v>
      </c>
      <c r="C26" s="191" t="s">
        <v>6</v>
      </c>
      <c r="D26" s="191" t="s">
        <v>7</v>
      </c>
      <c r="E26" s="191" t="s">
        <v>8</v>
      </c>
      <c r="F26" s="191" t="s">
        <v>9</v>
      </c>
    </row>
    <row r="27" spans="1:6" ht="22.5" customHeight="1" x14ac:dyDescent="0.2">
      <c r="A27" s="205"/>
      <c r="B27" s="195"/>
      <c r="C27" s="195"/>
      <c r="D27" s="195"/>
      <c r="E27" s="195"/>
      <c r="F27" s="206"/>
    </row>
    <row r="28" spans="1:6" ht="12.75" customHeight="1" x14ac:dyDescent="0.2"/>
    <row r="29" spans="1:6" ht="22.5" customHeight="1" x14ac:dyDescent="0.2">
      <c r="A29" s="427" t="s">
        <v>295</v>
      </c>
      <c r="B29" s="499"/>
      <c r="C29" s="499"/>
      <c r="D29" s="499"/>
      <c r="E29" s="499"/>
      <c r="F29" s="428"/>
    </row>
    <row r="30" spans="1:6" ht="22.5" customHeight="1" x14ac:dyDescent="0.2">
      <c r="A30" s="427" t="s">
        <v>12</v>
      </c>
      <c r="B30" s="499"/>
      <c r="C30" s="499"/>
      <c r="D30" s="499"/>
      <c r="E30" s="499"/>
      <c r="F30" s="428"/>
    </row>
    <row r="31" spans="1:6" ht="33" customHeight="1" x14ac:dyDescent="0.2">
      <c r="A31" s="191" t="s">
        <v>10</v>
      </c>
      <c r="B31" s="191" t="s">
        <v>5</v>
      </c>
      <c r="C31" s="191" t="s">
        <v>6</v>
      </c>
      <c r="D31" s="191" t="s">
        <v>7</v>
      </c>
      <c r="E31" s="191" t="s">
        <v>8</v>
      </c>
      <c r="F31" s="191" t="s">
        <v>9</v>
      </c>
    </row>
    <row r="32" spans="1:6" ht="22.5" customHeight="1" x14ac:dyDescent="0.2">
      <c r="A32" s="204"/>
      <c r="B32" s="195"/>
      <c r="C32" s="195"/>
      <c r="D32" s="195"/>
      <c r="E32" s="195"/>
      <c r="F32" s="206"/>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21" priority="1" operator="equal">
      <formula>""</formula>
    </cfRule>
  </conditionalFormatting>
  <hyperlinks>
    <hyperlink ref="A1" location="Overview!A1" display="Back to Overview" xr:uid="{6E44262A-AE8F-4C07-8FB9-C22770661215}"/>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FC31"/>
  <sheetViews>
    <sheetView zoomScale="70" zoomScaleNormal="70" workbookViewId="0"/>
  </sheetViews>
  <sheetFormatPr defaultColWidth="9.140625" defaultRowHeight="12.75" x14ac:dyDescent="0.2"/>
  <cols>
    <col min="1" max="1" width="23.85546875" style="100" bestFit="1"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3" t="s">
        <v>574</v>
      </c>
      <c r="B2" s="493"/>
      <c r="C2" s="493"/>
      <c r="D2" s="493"/>
      <c r="E2" s="493"/>
      <c r="F2" s="493"/>
    </row>
    <row r="3" spans="1:16383" ht="47.25" customHeight="1" x14ac:dyDescent="0.2">
      <c r="A3" s="382" t="str">
        <f>Overview!B4&amp;" - Illustrative LLFs in UKPN LPN Area (GSP Group_C) for year beginning "&amp;TEXT(Overview!$D$4,"d mmmm yyyy")&amp;""</f>
        <v>Leep Electricity Networks Limited - Illustrative LLFs in UKPN LPN Area (GSP Group_C) for year beginning 1 April 2026</v>
      </c>
      <c r="B3" s="423"/>
      <c r="C3" s="423"/>
      <c r="D3" s="423"/>
      <c r="E3" s="423"/>
      <c r="F3" s="424"/>
    </row>
    <row r="4" spans="1:16383" ht="19.5" customHeight="1" x14ac:dyDescent="0.2">
      <c r="A4" s="495" t="s">
        <v>13</v>
      </c>
      <c r="B4" s="12" t="s">
        <v>5</v>
      </c>
      <c r="C4" s="12" t="s">
        <v>6</v>
      </c>
      <c r="D4" s="12" t="s">
        <v>7</v>
      </c>
      <c r="E4" s="12" t="s">
        <v>8</v>
      </c>
      <c r="F4" s="12" t="s">
        <v>481</v>
      </c>
    </row>
    <row r="5" spans="1:16383" ht="49.5" customHeight="1" x14ac:dyDescent="0.2">
      <c r="A5" s="497"/>
      <c r="B5" s="12" t="s">
        <v>5</v>
      </c>
      <c r="C5" s="12" t="s">
        <v>6</v>
      </c>
      <c r="D5" s="12" t="s">
        <v>7</v>
      </c>
      <c r="E5" s="12" t="s">
        <v>8</v>
      </c>
      <c r="F5" s="12" t="s">
        <v>481</v>
      </c>
    </row>
    <row r="6" spans="1:16383" ht="45" customHeight="1" x14ac:dyDescent="0.2">
      <c r="A6" s="335">
        <v>0</v>
      </c>
      <c r="B6" s="307" t="s">
        <v>849</v>
      </c>
      <c r="C6" s="307" t="s">
        <v>850</v>
      </c>
      <c r="D6" s="307" t="s">
        <v>851</v>
      </c>
      <c r="E6" s="307" t="s">
        <v>852</v>
      </c>
      <c r="F6" s="307" t="s">
        <v>853</v>
      </c>
    </row>
    <row r="7" spans="1:16383" ht="45" customHeight="1" x14ac:dyDescent="0.2">
      <c r="A7" s="335" t="s">
        <v>854</v>
      </c>
      <c r="B7" s="307" t="s">
        <v>855</v>
      </c>
      <c r="C7" s="307" t="s">
        <v>840</v>
      </c>
      <c r="D7" s="307" t="s">
        <v>856</v>
      </c>
      <c r="E7" s="307" t="s">
        <v>840</v>
      </c>
      <c r="F7" s="307" t="s">
        <v>840</v>
      </c>
    </row>
    <row r="8" spans="1:16383" ht="45" customHeight="1" x14ac:dyDescent="0.2">
      <c r="A8" s="335" t="s">
        <v>857</v>
      </c>
      <c r="B8" s="307" t="s">
        <v>840</v>
      </c>
      <c r="C8" s="307" t="s">
        <v>858</v>
      </c>
      <c r="D8" s="307" t="s">
        <v>840</v>
      </c>
      <c r="E8" s="307" t="s">
        <v>840</v>
      </c>
      <c r="F8" s="307" t="s">
        <v>840</v>
      </c>
    </row>
    <row r="9" spans="1:16383" ht="45" customHeight="1" x14ac:dyDescent="0.2">
      <c r="A9" s="335" t="s">
        <v>859</v>
      </c>
      <c r="B9" s="307" t="s">
        <v>840</v>
      </c>
      <c r="C9" s="307" t="s">
        <v>840</v>
      </c>
      <c r="D9" s="307" t="s">
        <v>858</v>
      </c>
      <c r="E9" s="307" t="s">
        <v>840</v>
      </c>
      <c r="F9" s="307" t="s">
        <v>840</v>
      </c>
    </row>
    <row r="10" spans="1:16383" ht="27" customHeight="1" x14ac:dyDescent="0.2">
      <c r="A10" s="288" t="s">
        <v>14</v>
      </c>
      <c r="B10" s="380" t="s">
        <v>470</v>
      </c>
      <c r="C10" s="394"/>
      <c r="D10" s="394"/>
      <c r="E10" s="394"/>
      <c r="F10" s="381"/>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0" t="s">
        <v>293</v>
      </c>
      <c r="B13" s="490"/>
      <c r="C13" s="490"/>
      <c r="D13" s="490"/>
      <c r="E13" s="490"/>
      <c r="F13" s="490"/>
      <c r="G13" s="490"/>
    </row>
    <row r="14" spans="1:16383" ht="22.5" customHeight="1" x14ac:dyDescent="0.2">
      <c r="A14" s="490" t="s">
        <v>4</v>
      </c>
      <c r="B14" s="490"/>
      <c r="C14" s="490"/>
      <c r="D14" s="490"/>
      <c r="E14" s="490"/>
      <c r="F14" s="490"/>
      <c r="G14" s="490"/>
    </row>
    <row r="15" spans="1:16383" ht="33" customHeight="1" x14ac:dyDescent="0.2">
      <c r="A15" s="191" t="s">
        <v>294</v>
      </c>
      <c r="B15" s="194" t="s">
        <v>5</v>
      </c>
      <c r="C15" s="194" t="s">
        <v>6</v>
      </c>
      <c r="D15" s="194" t="s">
        <v>7</v>
      </c>
      <c r="E15" s="194" t="s">
        <v>8</v>
      </c>
      <c r="F15" s="194" t="s">
        <v>481</v>
      </c>
      <c r="G15" s="194" t="s">
        <v>9</v>
      </c>
    </row>
    <row r="16" spans="1:16383" ht="331.5" x14ac:dyDescent="0.2">
      <c r="A16" s="290" t="s">
        <v>555</v>
      </c>
      <c r="B16" s="109"/>
      <c r="C16" s="109"/>
      <c r="D16" s="109"/>
      <c r="E16" s="109"/>
      <c r="F16" s="109"/>
      <c r="G16" s="303" t="s">
        <v>2166</v>
      </c>
    </row>
    <row r="17" spans="1:7" ht="76.5" x14ac:dyDescent="0.2">
      <c r="A17" s="290" t="s">
        <v>556</v>
      </c>
      <c r="B17" s="109"/>
      <c r="C17" s="109"/>
      <c r="D17" s="109"/>
      <c r="E17" s="109"/>
      <c r="F17" s="109"/>
      <c r="G17" s="303" t="s">
        <v>2167</v>
      </c>
    </row>
    <row r="18" spans="1:7" ht="63.75" x14ac:dyDescent="0.2">
      <c r="A18" s="290" t="s">
        <v>557</v>
      </c>
      <c r="B18" s="109"/>
      <c r="C18" s="109"/>
      <c r="D18" s="109"/>
      <c r="E18" s="109"/>
      <c r="F18" s="109"/>
      <c r="G18" s="303" t="s">
        <v>2168</v>
      </c>
    </row>
    <row r="19" spans="1:7" x14ac:dyDescent="0.2">
      <c r="A19" s="290" t="s">
        <v>558</v>
      </c>
      <c r="B19" s="109"/>
      <c r="C19" s="109"/>
      <c r="D19" s="109"/>
      <c r="E19" s="109"/>
      <c r="F19" s="109"/>
      <c r="G19" s="303"/>
    </row>
    <row r="20" spans="1:7" x14ac:dyDescent="0.2">
      <c r="A20" s="290" t="s">
        <v>559</v>
      </c>
      <c r="B20" s="109"/>
      <c r="C20" s="109"/>
      <c r="D20" s="109"/>
      <c r="E20" s="109"/>
      <c r="F20" s="109"/>
      <c r="G20" s="303"/>
    </row>
    <row r="21" spans="1:7" x14ac:dyDescent="0.2">
      <c r="A21" s="290" t="s">
        <v>561</v>
      </c>
      <c r="B21" s="109"/>
      <c r="C21" s="109"/>
      <c r="D21" s="109"/>
      <c r="E21" s="109"/>
      <c r="F21" s="109"/>
      <c r="G21" s="303"/>
    </row>
    <row r="22" spans="1:7" ht="12.75" customHeight="1" x14ac:dyDescent="0.2"/>
    <row r="23" spans="1:7" ht="22.5" customHeight="1" x14ac:dyDescent="0.2">
      <c r="A23" s="490" t="s">
        <v>295</v>
      </c>
      <c r="B23" s="490"/>
      <c r="C23" s="490"/>
      <c r="D23" s="490"/>
      <c r="E23" s="490"/>
      <c r="F23" s="490"/>
      <c r="G23" s="490"/>
    </row>
    <row r="24" spans="1:7" ht="22.5" customHeight="1" x14ac:dyDescent="0.2">
      <c r="A24" s="490" t="s">
        <v>11</v>
      </c>
      <c r="B24" s="490"/>
      <c r="C24" s="490"/>
      <c r="D24" s="490"/>
      <c r="E24" s="490"/>
      <c r="F24" s="490"/>
      <c r="G24" s="490"/>
    </row>
    <row r="25" spans="1:7" ht="33" customHeight="1" x14ac:dyDescent="0.2">
      <c r="A25" s="289" t="s">
        <v>10</v>
      </c>
      <c r="B25" s="191" t="s">
        <v>5</v>
      </c>
      <c r="C25" s="191" t="s">
        <v>6</v>
      </c>
      <c r="D25" s="191" t="s">
        <v>7</v>
      </c>
      <c r="E25" s="191" t="s">
        <v>8</v>
      </c>
      <c r="F25" s="191" t="s">
        <v>481</v>
      </c>
      <c r="G25" s="191" t="s">
        <v>9</v>
      </c>
    </row>
    <row r="26" spans="1:7" ht="22.5" customHeight="1" x14ac:dyDescent="0.2">
      <c r="A26" s="196"/>
      <c r="B26" s="195"/>
      <c r="C26" s="195"/>
      <c r="D26" s="195"/>
      <c r="E26" s="195"/>
      <c r="F26" s="195"/>
      <c r="G26" s="109"/>
    </row>
    <row r="27" spans="1:7" ht="12.75" customHeight="1" x14ac:dyDescent="0.2"/>
    <row r="28" spans="1:7" ht="22.5" customHeight="1" x14ac:dyDescent="0.2">
      <c r="A28" s="490" t="s">
        <v>295</v>
      </c>
      <c r="B28" s="490"/>
      <c r="C28" s="490"/>
      <c r="D28" s="490"/>
      <c r="E28" s="490"/>
      <c r="F28" s="490"/>
      <c r="G28" s="490"/>
    </row>
    <row r="29" spans="1:7" ht="22.5" customHeight="1" x14ac:dyDescent="0.2">
      <c r="A29" s="490" t="s">
        <v>12</v>
      </c>
      <c r="B29" s="490"/>
      <c r="C29" s="490"/>
      <c r="D29" s="490"/>
      <c r="E29" s="490"/>
      <c r="F29" s="490"/>
      <c r="G29" s="490"/>
    </row>
    <row r="30" spans="1:7" ht="33" customHeight="1" x14ac:dyDescent="0.2">
      <c r="A30" s="289" t="s">
        <v>10</v>
      </c>
      <c r="B30" s="191" t="s">
        <v>5</v>
      </c>
      <c r="C30" s="191" t="s">
        <v>6</v>
      </c>
      <c r="D30" s="191" t="s">
        <v>7</v>
      </c>
      <c r="E30" s="191" t="s">
        <v>8</v>
      </c>
      <c r="F30" s="191" t="s">
        <v>481</v>
      </c>
      <c r="G30" s="191" t="s">
        <v>9</v>
      </c>
    </row>
    <row r="31" spans="1:7" ht="22.5" customHeight="1" x14ac:dyDescent="0.2">
      <c r="A31" s="196"/>
      <c r="B31" s="195"/>
      <c r="C31" s="195"/>
      <c r="D31" s="195"/>
      <c r="E31" s="195"/>
      <c r="F31" s="195"/>
      <c r="G31" s="109"/>
    </row>
  </sheetData>
  <mergeCells count="10">
    <mergeCell ref="A2:F2"/>
    <mergeCell ref="A23:G23"/>
    <mergeCell ref="A24:G24"/>
    <mergeCell ref="A28:G28"/>
    <mergeCell ref="A29:G29"/>
    <mergeCell ref="A3:F3"/>
    <mergeCell ref="A4:A5"/>
    <mergeCell ref="B10:F10"/>
    <mergeCell ref="A13:G13"/>
    <mergeCell ref="A14:G14"/>
  </mergeCells>
  <conditionalFormatting sqref="B6:F9">
    <cfRule type="cellIs" dxfId="20" priority="1" operator="equal">
      <formula>""</formula>
    </cfRule>
  </conditionalFormatting>
  <hyperlinks>
    <hyperlink ref="A1" location="Overview!A1" display="Back to Overview" xr:uid="{A9462049-925E-4F1E-9314-D246B181096A}"/>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2"/>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82" t="str">
        <f>Overview!B4&amp;" - Illustrative LLFs in SP Manweb Area (GSP Group_D) for year beginning "&amp;TEXT(Overview!$D$4,"d mmmm yyyy")&amp;""</f>
        <v>Leep Electricity Networks Limited - Illustrative LLFs in SP Manweb Area (GSP Group_D) for year beginning 1 April 2026</v>
      </c>
      <c r="B3" s="423"/>
      <c r="C3" s="423"/>
      <c r="D3" s="423"/>
      <c r="E3" s="424"/>
    </row>
    <row r="4" spans="1:6" ht="19.5" customHeight="1" x14ac:dyDescent="0.2">
      <c r="A4" s="505" t="s">
        <v>13</v>
      </c>
      <c r="B4" s="191" t="s">
        <v>5</v>
      </c>
      <c r="C4" s="191" t="s">
        <v>6</v>
      </c>
      <c r="D4" s="191" t="s">
        <v>7</v>
      </c>
      <c r="E4" s="191" t="s">
        <v>8</v>
      </c>
    </row>
    <row r="5" spans="1:6" ht="40.5" customHeight="1" x14ac:dyDescent="0.2">
      <c r="A5" s="506"/>
      <c r="B5" s="191" t="s">
        <v>2077</v>
      </c>
      <c r="C5" s="191" t="s">
        <v>2078</v>
      </c>
      <c r="D5" s="191" t="s">
        <v>2079</v>
      </c>
      <c r="E5" s="191" t="s">
        <v>2080</v>
      </c>
    </row>
    <row r="6" spans="1:6" ht="45" customHeight="1" x14ac:dyDescent="0.2">
      <c r="A6" s="308" t="s">
        <v>2100</v>
      </c>
      <c r="B6" s="336" t="s">
        <v>2101</v>
      </c>
      <c r="C6" s="336" t="s">
        <v>2102</v>
      </c>
      <c r="D6" s="336" t="s">
        <v>840</v>
      </c>
      <c r="E6" s="336" t="s">
        <v>840</v>
      </c>
    </row>
    <row r="7" spans="1:6" ht="45" customHeight="1" x14ac:dyDescent="0.2">
      <c r="A7" s="308" t="s">
        <v>854</v>
      </c>
      <c r="B7" s="336" t="s">
        <v>2101</v>
      </c>
      <c r="C7" s="336" t="s">
        <v>2103</v>
      </c>
      <c r="D7" s="336" t="s">
        <v>2104</v>
      </c>
      <c r="E7" s="336" t="s">
        <v>2085</v>
      </c>
    </row>
    <row r="8" spans="1:6" ht="45" customHeight="1" x14ac:dyDescent="0.2">
      <c r="A8" s="308" t="s">
        <v>841</v>
      </c>
      <c r="B8" s="336" t="s">
        <v>2101</v>
      </c>
      <c r="C8" s="336" t="s">
        <v>2102</v>
      </c>
      <c r="D8" s="336" t="s">
        <v>840</v>
      </c>
      <c r="E8" s="336" t="s">
        <v>840</v>
      </c>
    </row>
    <row r="9" spans="1:6" ht="25.5" customHeight="1" x14ac:dyDescent="0.2">
      <c r="A9" s="172" t="s">
        <v>14</v>
      </c>
      <c r="B9" s="507" t="s">
        <v>15</v>
      </c>
      <c r="C9" s="508"/>
      <c r="D9" s="508"/>
      <c r="E9" s="509"/>
    </row>
    <row r="10" spans="1:6" ht="12.75" customHeight="1" x14ac:dyDescent="0.2">
      <c r="A10" s="201"/>
      <c r="B10" s="202"/>
      <c r="C10" s="202"/>
      <c r="D10" s="202"/>
      <c r="E10" s="202"/>
    </row>
    <row r="11" spans="1:6" ht="12.75" customHeight="1" x14ac:dyDescent="0.2">
      <c r="B11" s="202"/>
      <c r="C11" s="202"/>
      <c r="D11" s="202"/>
      <c r="E11" s="202"/>
    </row>
    <row r="12" spans="1:6" ht="22.5" customHeight="1" x14ac:dyDescent="0.2">
      <c r="A12" s="427" t="s">
        <v>293</v>
      </c>
      <c r="B12" s="499"/>
      <c r="C12" s="499"/>
      <c r="D12" s="499"/>
      <c r="E12" s="499"/>
      <c r="F12" s="428"/>
    </row>
    <row r="13" spans="1:6" ht="22.5" customHeight="1" x14ac:dyDescent="0.2">
      <c r="A13" s="427" t="s">
        <v>4</v>
      </c>
      <c r="B13" s="499"/>
      <c r="C13" s="499"/>
      <c r="D13" s="499"/>
      <c r="E13" s="499"/>
      <c r="F13" s="428"/>
    </row>
    <row r="14" spans="1:6" ht="33" customHeight="1" x14ac:dyDescent="0.2">
      <c r="A14" s="191" t="s">
        <v>294</v>
      </c>
      <c r="B14" s="191" t="s">
        <v>5</v>
      </c>
      <c r="C14" s="191" t="s">
        <v>6</v>
      </c>
      <c r="D14" s="191" t="s">
        <v>7</v>
      </c>
      <c r="E14" s="191" t="s">
        <v>8</v>
      </c>
      <c r="F14" s="191" t="s">
        <v>9</v>
      </c>
    </row>
    <row r="15" spans="1:6" x14ac:dyDescent="0.2">
      <c r="A15" s="204" t="s">
        <v>544</v>
      </c>
      <c r="B15" s="195"/>
      <c r="C15" s="195"/>
      <c r="D15" s="195"/>
      <c r="E15" s="195"/>
      <c r="F15" s="303"/>
    </row>
    <row r="16" spans="1:6" x14ac:dyDescent="0.2">
      <c r="A16" s="204" t="s">
        <v>545</v>
      </c>
      <c r="B16" s="195"/>
      <c r="C16" s="195"/>
      <c r="D16" s="195"/>
      <c r="E16" s="195"/>
      <c r="F16" s="303"/>
    </row>
    <row r="17" spans="1:7" x14ac:dyDescent="0.2">
      <c r="A17" s="204" t="s">
        <v>546</v>
      </c>
      <c r="B17" s="195"/>
      <c r="C17" s="195"/>
      <c r="D17" s="195"/>
      <c r="E17" s="195"/>
      <c r="F17" s="303" t="s">
        <v>832</v>
      </c>
    </row>
    <row r="18" spans="1:7" x14ac:dyDescent="0.2">
      <c r="A18" s="204" t="s">
        <v>547</v>
      </c>
      <c r="B18" s="195"/>
      <c r="C18" s="195"/>
      <c r="D18" s="195"/>
      <c r="E18" s="195"/>
      <c r="F18" s="303" t="s">
        <v>833</v>
      </c>
      <c r="G18" s="305"/>
    </row>
    <row r="19" spans="1:7" x14ac:dyDescent="0.2">
      <c r="A19" s="204" t="s">
        <v>548</v>
      </c>
      <c r="B19" s="195"/>
      <c r="C19" s="195"/>
      <c r="D19" s="195"/>
      <c r="E19" s="195"/>
      <c r="F19" s="303" t="s">
        <v>840</v>
      </c>
      <c r="G19" s="305">
        <v>4</v>
      </c>
    </row>
    <row r="20" spans="1:7" ht="63.75" x14ac:dyDescent="0.2">
      <c r="A20" s="204" t="s">
        <v>549</v>
      </c>
      <c r="B20" s="195"/>
      <c r="C20" s="195"/>
      <c r="D20" s="195"/>
      <c r="E20" s="195"/>
      <c r="F20" s="303" t="s">
        <v>2169</v>
      </c>
      <c r="G20" s="305">
        <v>3</v>
      </c>
    </row>
    <row r="21" spans="1:7" ht="76.5" x14ac:dyDescent="0.2">
      <c r="A21" s="204" t="s">
        <v>550</v>
      </c>
      <c r="B21" s="195"/>
      <c r="C21" s="195"/>
      <c r="D21" s="195"/>
      <c r="E21" s="195"/>
      <c r="F21" s="303" t="s">
        <v>2170</v>
      </c>
      <c r="G21" s="305">
        <v>2</v>
      </c>
    </row>
    <row r="22" spans="1:7" ht="382.5" x14ac:dyDescent="0.2">
      <c r="A22" s="204" t="s">
        <v>551</v>
      </c>
      <c r="B22" s="195"/>
      <c r="C22" s="195"/>
      <c r="D22" s="195"/>
      <c r="E22" s="195"/>
      <c r="F22" s="303" t="s">
        <v>2171</v>
      </c>
      <c r="G22" s="305">
        <v>1</v>
      </c>
    </row>
    <row r="23" spans="1:7" ht="12.75" customHeight="1" x14ac:dyDescent="0.2"/>
    <row r="24" spans="1:7" ht="22.5" customHeight="1" x14ac:dyDescent="0.2">
      <c r="A24" s="427" t="s">
        <v>295</v>
      </c>
      <c r="B24" s="499"/>
      <c r="C24" s="499"/>
      <c r="D24" s="499"/>
      <c r="E24" s="499"/>
      <c r="F24" s="428"/>
    </row>
    <row r="25" spans="1:7" ht="22.5" customHeight="1" x14ac:dyDescent="0.2">
      <c r="A25" s="427" t="s">
        <v>11</v>
      </c>
      <c r="B25" s="499"/>
      <c r="C25" s="499"/>
      <c r="D25" s="499"/>
      <c r="E25" s="499"/>
      <c r="F25" s="428"/>
    </row>
    <row r="26" spans="1:7" ht="33" customHeight="1" x14ac:dyDescent="0.2">
      <c r="A26" s="191" t="s">
        <v>10</v>
      </c>
      <c r="B26" s="191" t="s">
        <v>5</v>
      </c>
      <c r="C26" s="191" t="s">
        <v>6</v>
      </c>
      <c r="D26" s="191" t="s">
        <v>7</v>
      </c>
      <c r="E26" s="191" t="s">
        <v>8</v>
      </c>
      <c r="F26" s="191" t="s">
        <v>9</v>
      </c>
    </row>
    <row r="27" spans="1:7" ht="22.5" customHeight="1" x14ac:dyDescent="0.2">
      <c r="A27" s="204"/>
      <c r="B27" s="195"/>
      <c r="C27" s="195"/>
      <c r="D27" s="195"/>
      <c r="E27" s="195"/>
      <c r="F27" s="206"/>
    </row>
    <row r="28" spans="1:7" ht="12.75" customHeight="1" x14ac:dyDescent="0.2">
      <c r="A28" s="190"/>
      <c r="B28" s="207"/>
      <c r="C28" s="207"/>
      <c r="D28" s="207"/>
      <c r="E28" s="207"/>
      <c r="F28" s="208"/>
    </row>
    <row r="29" spans="1:7" ht="22.5" customHeight="1" x14ac:dyDescent="0.2">
      <c r="A29" s="427" t="s">
        <v>295</v>
      </c>
      <c r="B29" s="499"/>
      <c r="C29" s="499"/>
      <c r="D29" s="499"/>
      <c r="E29" s="499"/>
      <c r="F29" s="428"/>
    </row>
    <row r="30" spans="1:7" ht="22.5" customHeight="1" x14ac:dyDescent="0.2">
      <c r="A30" s="427" t="s">
        <v>12</v>
      </c>
      <c r="B30" s="499"/>
      <c r="C30" s="499"/>
      <c r="D30" s="499"/>
      <c r="E30" s="499"/>
      <c r="F30" s="428"/>
    </row>
    <row r="31" spans="1:7" ht="33" customHeight="1" x14ac:dyDescent="0.2">
      <c r="A31" s="191" t="s">
        <v>10</v>
      </c>
      <c r="B31" s="191" t="s">
        <v>5</v>
      </c>
      <c r="C31" s="191" t="s">
        <v>6</v>
      </c>
      <c r="D31" s="191" t="s">
        <v>7</v>
      </c>
      <c r="E31" s="191" t="s">
        <v>8</v>
      </c>
      <c r="F31" s="191" t="s">
        <v>9</v>
      </c>
    </row>
    <row r="32" spans="1:7" ht="22.5" customHeight="1" x14ac:dyDescent="0.2">
      <c r="A32" s="204"/>
      <c r="B32" s="195"/>
      <c r="C32" s="195"/>
      <c r="D32" s="195"/>
      <c r="E32" s="195"/>
      <c r="F32" s="206"/>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9" priority="1" operator="equal">
      <formula>""</formula>
    </cfRule>
  </conditionalFormatting>
  <hyperlinks>
    <hyperlink ref="A1" location="Overview!A1" display="Back to Overview" xr:uid="{617C3BE3-FAB3-4771-A0C8-CE752355E6DF}"/>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32"/>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82" t="str">
        <f>Overview!B4&amp;" - Illustrative LLFs in WPD West Midlands Area (GSP Group_E) for year beginning "&amp;TEXT(Overview!$D$4,"d mmmm yyyy")&amp;""</f>
        <v>Leep Electricity Networks Limited - Illustrative LLFs in WPD West Midlands Area (GSP Group_E) for year beginning 1 April 2026</v>
      </c>
      <c r="B3" s="423"/>
      <c r="C3" s="423"/>
      <c r="D3" s="423"/>
      <c r="E3" s="424"/>
    </row>
    <row r="4" spans="1:9" ht="19.5" customHeight="1" x14ac:dyDescent="0.2">
      <c r="A4" s="505" t="s">
        <v>13</v>
      </c>
      <c r="B4" s="191" t="s">
        <v>5</v>
      </c>
      <c r="C4" s="191" t="s">
        <v>6</v>
      </c>
      <c r="D4" s="191" t="s">
        <v>7</v>
      </c>
      <c r="E4" s="191" t="s">
        <v>8</v>
      </c>
    </row>
    <row r="5" spans="1:9" ht="34.5" customHeight="1" x14ac:dyDescent="0.2">
      <c r="A5" s="506"/>
      <c r="B5" s="191" t="s">
        <v>2077</v>
      </c>
      <c r="C5" s="191" t="s">
        <v>2078</v>
      </c>
      <c r="D5" s="191" t="s">
        <v>2079</v>
      </c>
      <c r="E5" s="191" t="s">
        <v>2080</v>
      </c>
    </row>
    <row r="6" spans="1:9" ht="45" customHeight="1" x14ac:dyDescent="0.2">
      <c r="A6" s="308" t="s">
        <v>2081</v>
      </c>
      <c r="B6" s="108" t="s">
        <v>840</v>
      </c>
      <c r="C6" s="108" t="s">
        <v>840</v>
      </c>
      <c r="D6" s="108" t="s">
        <v>2082</v>
      </c>
      <c r="E6" s="108" t="s">
        <v>2083</v>
      </c>
    </row>
    <row r="7" spans="1:9" ht="45" customHeight="1" x14ac:dyDescent="0.2">
      <c r="A7" s="308" t="s">
        <v>2084</v>
      </c>
      <c r="B7" s="108" t="s">
        <v>2085</v>
      </c>
      <c r="C7" s="108" t="s">
        <v>2086</v>
      </c>
      <c r="D7" s="108" t="s">
        <v>2082</v>
      </c>
      <c r="E7" s="108" t="s">
        <v>2087</v>
      </c>
    </row>
    <row r="8" spans="1:9" ht="45" customHeight="1" x14ac:dyDescent="0.2">
      <c r="A8" s="308" t="s">
        <v>841</v>
      </c>
      <c r="B8" s="108" t="s">
        <v>840</v>
      </c>
      <c r="C8" s="108" t="s">
        <v>840</v>
      </c>
      <c r="D8" s="108" t="s">
        <v>2082</v>
      </c>
      <c r="E8" s="108" t="s">
        <v>2083</v>
      </c>
    </row>
    <row r="9" spans="1:9" ht="25.5" customHeight="1" x14ac:dyDescent="0.2">
      <c r="A9" s="200" t="s">
        <v>14</v>
      </c>
      <c r="B9" s="510" t="s">
        <v>15</v>
      </c>
      <c r="C9" s="511"/>
      <c r="D9" s="511"/>
      <c r="E9" s="512"/>
    </row>
    <row r="10" spans="1:9" ht="12.75" customHeight="1" x14ac:dyDescent="0.2">
      <c r="A10" s="201"/>
      <c r="B10" s="202"/>
      <c r="C10" s="202"/>
      <c r="D10" s="202"/>
      <c r="E10" s="202"/>
    </row>
    <row r="11" spans="1:9" ht="12.75" customHeight="1" x14ac:dyDescent="0.2">
      <c r="A11" s="203"/>
      <c r="B11" s="202"/>
      <c r="C11" s="202"/>
      <c r="D11" s="202"/>
      <c r="E11" s="202"/>
    </row>
    <row r="12" spans="1:9" ht="22.5" customHeight="1" x14ac:dyDescent="0.2">
      <c r="A12" s="427" t="s">
        <v>482</v>
      </c>
      <c r="B12" s="499"/>
      <c r="C12" s="499"/>
      <c r="D12" s="499"/>
      <c r="E12" s="499"/>
      <c r="F12" s="428"/>
    </row>
    <row r="13" spans="1:9" ht="22.5" customHeight="1" x14ac:dyDescent="0.2">
      <c r="A13" s="427" t="s">
        <v>4</v>
      </c>
      <c r="B13" s="499"/>
      <c r="C13" s="499"/>
      <c r="D13" s="499"/>
      <c r="E13" s="499"/>
      <c r="F13" s="428"/>
    </row>
    <row r="14" spans="1:9" ht="33" customHeight="1" x14ac:dyDescent="0.2">
      <c r="A14" s="191" t="s">
        <v>483</v>
      </c>
      <c r="B14" s="191" t="s">
        <v>5</v>
      </c>
      <c r="C14" s="191" t="s">
        <v>6</v>
      </c>
      <c r="D14" s="191" t="s">
        <v>7</v>
      </c>
      <c r="E14" s="191" t="s">
        <v>8</v>
      </c>
      <c r="F14" s="191" t="s">
        <v>9</v>
      </c>
    </row>
    <row r="15" spans="1:9" x14ac:dyDescent="0.2">
      <c r="A15" s="204" t="s">
        <v>568</v>
      </c>
      <c r="B15" s="195"/>
      <c r="C15" s="195"/>
      <c r="D15" s="195"/>
      <c r="E15" s="195"/>
      <c r="F15" s="303"/>
    </row>
    <row r="16" spans="1:9" x14ac:dyDescent="0.2">
      <c r="A16" s="204" t="s">
        <v>569</v>
      </c>
      <c r="B16" s="195"/>
      <c r="C16" s="195"/>
      <c r="D16" s="195"/>
      <c r="E16" s="195"/>
      <c r="F16" s="303"/>
    </row>
    <row r="17" spans="1:7" x14ac:dyDescent="0.2">
      <c r="A17" s="204" t="s">
        <v>570</v>
      </c>
      <c r="B17" s="195"/>
      <c r="C17" s="195"/>
      <c r="D17" s="195"/>
      <c r="E17" s="195"/>
      <c r="F17" s="303"/>
    </row>
    <row r="18" spans="1:7" x14ac:dyDescent="0.2">
      <c r="A18" s="204" t="s">
        <v>571</v>
      </c>
      <c r="B18" s="195"/>
      <c r="C18" s="195"/>
      <c r="D18" s="195"/>
      <c r="E18" s="195"/>
      <c r="F18" s="303"/>
    </row>
    <row r="19" spans="1:7" x14ac:dyDescent="0.2">
      <c r="A19" s="204" t="s">
        <v>565</v>
      </c>
      <c r="B19" s="195"/>
      <c r="C19" s="195"/>
      <c r="D19" s="195"/>
      <c r="E19" s="195"/>
      <c r="F19" s="303" t="s">
        <v>840</v>
      </c>
      <c r="G19" s="305">
        <v>4</v>
      </c>
    </row>
    <row r="20" spans="1:7" ht="63.75" x14ac:dyDescent="0.2">
      <c r="A20" s="204" t="s">
        <v>564</v>
      </c>
      <c r="B20" s="195"/>
      <c r="C20" s="195"/>
      <c r="D20" s="195"/>
      <c r="E20" s="195"/>
      <c r="F20" s="303" t="s">
        <v>2172</v>
      </c>
      <c r="G20" s="305">
        <v>3</v>
      </c>
    </row>
    <row r="21" spans="1:7" ht="76.5" x14ac:dyDescent="0.2">
      <c r="A21" s="204" t="s">
        <v>563</v>
      </c>
      <c r="B21" s="195"/>
      <c r="C21" s="195"/>
      <c r="D21" s="195"/>
      <c r="E21" s="195"/>
      <c r="F21" s="303" t="s">
        <v>2173</v>
      </c>
      <c r="G21" s="305">
        <v>2</v>
      </c>
    </row>
    <row r="22" spans="1:7" ht="293.25" x14ac:dyDescent="0.2">
      <c r="A22" s="204" t="s">
        <v>562</v>
      </c>
      <c r="B22" s="195"/>
      <c r="C22" s="195"/>
      <c r="D22" s="195"/>
      <c r="E22" s="195"/>
      <c r="F22" s="303" t="s">
        <v>2174</v>
      </c>
      <c r="G22" s="305">
        <v>1</v>
      </c>
    </row>
    <row r="23" spans="1:7" ht="12.75" customHeight="1" x14ac:dyDescent="0.2"/>
    <row r="24" spans="1:7" ht="22.5" customHeight="1" x14ac:dyDescent="0.2">
      <c r="A24" s="427" t="s">
        <v>295</v>
      </c>
      <c r="B24" s="499"/>
      <c r="C24" s="499"/>
      <c r="D24" s="499"/>
      <c r="E24" s="499"/>
      <c r="F24" s="428"/>
    </row>
    <row r="25" spans="1:7" ht="22.5" customHeight="1" x14ac:dyDescent="0.2">
      <c r="A25" s="427" t="s">
        <v>11</v>
      </c>
      <c r="B25" s="499"/>
      <c r="C25" s="499"/>
      <c r="D25" s="499"/>
      <c r="E25" s="499"/>
      <c r="F25" s="428"/>
    </row>
    <row r="26" spans="1:7" ht="33" customHeight="1" x14ac:dyDescent="0.2">
      <c r="A26" s="191" t="s">
        <v>10</v>
      </c>
      <c r="B26" s="191" t="s">
        <v>5</v>
      </c>
      <c r="C26" s="191" t="s">
        <v>6</v>
      </c>
      <c r="D26" s="191" t="s">
        <v>7</v>
      </c>
      <c r="E26" s="191" t="s">
        <v>8</v>
      </c>
      <c r="F26" s="191" t="s">
        <v>9</v>
      </c>
    </row>
    <row r="27" spans="1:7" ht="22.5" customHeight="1" x14ac:dyDescent="0.2">
      <c r="A27" s="205"/>
      <c r="B27" s="195"/>
      <c r="C27" s="195"/>
      <c r="D27" s="195"/>
      <c r="E27" s="195"/>
      <c r="F27" s="206"/>
    </row>
    <row r="28" spans="1:7" ht="12.75" customHeight="1" x14ac:dyDescent="0.2"/>
    <row r="29" spans="1:7" ht="22.5" customHeight="1" x14ac:dyDescent="0.2">
      <c r="A29" s="427" t="s">
        <v>295</v>
      </c>
      <c r="B29" s="499"/>
      <c r="C29" s="499"/>
      <c r="D29" s="499"/>
      <c r="E29" s="499"/>
      <c r="F29" s="428"/>
    </row>
    <row r="30" spans="1:7" ht="22.5" customHeight="1" x14ac:dyDescent="0.2">
      <c r="A30" s="427" t="s">
        <v>12</v>
      </c>
      <c r="B30" s="499"/>
      <c r="C30" s="499"/>
      <c r="D30" s="499"/>
      <c r="E30" s="499"/>
      <c r="F30" s="428"/>
    </row>
    <row r="31" spans="1:7" ht="33" customHeight="1" x14ac:dyDescent="0.2">
      <c r="A31" s="191" t="s">
        <v>10</v>
      </c>
      <c r="B31" s="191" t="s">
        <v>5</v>
      </c>
      <c r="C31" s="191" t="s">
        <v>6</v>
      </c>
      <c r="D31" s="191" t="s">
        <v>7</v>
      </c>
      <c r="E31" s="191" t="s">
        <v>8</v>
      </c>
      <c r="F31" s="191" t="s">
        <v>9</v>
      </c>
    </row>
    <row r="32" spans="1:7" ht="22.5" customHeight="1" x14ac:dyDescent="0.2">
      <c r="A32" s="204"/>
      <c r="B32" s="195"/>
      <c r="C32" s="195"/>
      <c r="D32" s="195"/>
      <c r="E32" s="195"/>
      <c r="F32" s="206"/>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8" priority="1" operator="equal">
      <formula>""</formula>
    </cfRule>
  </conditionalFormatting>
  <hyperlinks>
    <hyperlink ref="A1" location="Overview!A1" display="Back to Overview" xr:uid="{B80BC6AF-2C47-4BFF-9E7D-531E566AEB6A}"/>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1"/>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82" t="str">
        <f>Overview!B4&amp;" - Illustrative LLFs in NPG Northeast Area (GSP Group_F) for year beginning "&amp;TEXT(Overview!$D$4,"d mmmm yyyy")&amp;""</f>
        <v>Leep Electricity Networks Limited - Illustrative LLFs in NPG Northeast Area (GSP Group_F) for year beginning 1 April 2026</v>
      </c>
      <c r="B3" s="423"/>
      <c r="C3" s="423"/>
      <c r="D3" s="423"/>
      <c r="E3" s="424"/>
    </row>
    <row r="4" spans="1:6" ht="19.5" customHeight="1" x14ac:dyDescent="0.2">
      <c r="A4" s="505" t="s">
        <v>13</v>
      </c>
      <c r="B4" s="191" t="s">
        <v>5</v>
      </c>
      <c r="C4" s="191" t="s">
        <v>6</v>
      </c>
      <c r="D4" s="191" t="s">
        <v>7</v>
      </c>
      <c r="E4" s="191" t="s">
        <v>8</v>
      </c>
    </row>
    <row r="5" spans="1:6" ht="40.5" customHeight="1" x14ac:dyDescent="0.2">
      <c r="A5" s="506"/>
      <c r="B5" s="191"/>
      <c r="C5" s="191"/>
      <c r="D5" s="191"/>
      <c r="E5" s="191"/>
    </row>
    <row r="6" spans="1:6" ht="45" customHeight="1" x14ac:dyDescent="0.2">
      <c r="A6" s="308">
        <v>0</v>
      </c>
      <c r="B6" s="336" t="s">
        <v>840</v>
      </c>
      <c r="C6" s="336" t="s">
        <v>840</v>
      </c>
      <c r="D6" s="336" t="s">
        <v>840</v>
      </c>
      <c r="E6" s="336" t="s">
        <v>840</v>
      </c>
    </row>
    <row r="7" spans="1:6" ht="45" customHeight="1" x14ac:dyDescent="0.2">
      <c r="A7" s="308">
        <v>0</v>
      </c>
      <c r="B7" s="336" t="s">
        <v>840</v>
      </c>
      <c r="C7" s="336" t="s">
        <v>840</v>
      </c>
      <c r="D7" s="336" t="s">
        <v>840</v>
      </c>
      <c r="E7" s="336" t="s">
        <v>840</v>
      </c>
    </row>
    <row r="8" spans="1:6" ht="45" customHeight="1" x14ac:dyDescent="0.2">
      <c r="A8" s="308">
        <v>0</v>
      </c>
      <c r="B8" s="336" t="s">
        <v>840</v>
      </c>
      <c r="C8" s="336" t="s">
        <v>840</v>
      </c>
      <c r="D8" s="336" t="s">
        <v>840</v>
      </c>
      <c r="E8" s="336" t="s">
        <v>840</v>
      </c>
    </row>
    <row r="9" spans="1:6" ht="45" customHeight="1" x14ac:dyDescent="0.2">
      <c r="A9" s="308">
        <v>0</v>
      </c>
      <c r="B9" s="336" t="s">
        <v>840</v>
      </c>
      <c r="C9" s="336" t="s">
        <v>840</v>
      </c>
      <c r="D9" s="336" t="s">
        <v>840</v>
      </c>
      <c r="E9" s="336" t="s">
        <v>840</v>
      </c>
      <c r="F9" s="22" t="s">
        <v>484</v>
      </c>
    </row>
    <row r="10" spans="1:6" ht="45" customHeight="1" x14ac:dyDescent="0.2">
      <c r="A10" s="308">
        <v>0</v>
      </c>
      <c r="B10" s="336" t="s">
        <v>840</v>
      </c>
      <c r="C10" s="336" t="s">
        <v>840</v>
      </c>
      <c r="D10" s="336" t="s">
        <v>840</v>
      </c>
      <c r="E10" s="336" t="s">
        <v>840</v>
      </c>
      <c r="F10" s="24" t="s">
        <v>484</v>
      </c>
    </row>
    <row r="11" spans="1:6" ht="25.5" customHeight="1" x14ac:dyDescent="0.2">
      <c r="A11" s="172" t="s">
        <v>14</v>
      </c>
      <c r="B11" s="507" t="s">
        <v>15</v>
      </c>
      <c r="C11" s="508"/>
      <c r="D11" s="508"/>
      <c r="E11" s="509"/>
    </row>
    <row r="12" spans="1:6" ht="12.75" customHeight="1" x14ac:dyDescent="0.2">
      <c r="A12" s="201"/>
      <c r="B12" s="202"/>
      <c r="C12" s="202"/>
      <c r="D12" s="202"/>
      <c r="E12" s="202"/>
    </row>
    <row r="13" spans="1:6" ht="12.75" customHeight="1" x14ac:dyDescent="0.2">
      <c r="B13" s="202"/>
      <c r="C13" s="202"/>
      <c r="D13" s="202"/>
      <c r="E13" s="202"/>
    </row>
    <row r="14" spans="1:6" ht="22.5" customHeight="1" x14ac:dyDescent="0.2">
      <c r="A14" s="427" t="s">
        <v>293</v>
      </c>
      <c r="B14" s="499"/>
      <c r="C14" s="499"/>
      <c r="D14" s="499"/>
      <c r="E14" s="499"/>
      <c r="F14" s="428"/>
    </row>
    <row r="15" spans="1:6" ht="22.5" customHeight="1" x14ac:dyDescent="0.2">
      <c r="A15" s="427" t="s">
        <v>4</v>
      </c>
      <c r="B15" s="499"/>
      <c r="C15" s="499"/>
      <c r="D15" s="499"/>
      <c r="E15" s="499"/>
      <c r="F15" s="428"/>
    </row>
    <row r="16" spans="1:6" ht="33" customHeight="1" x14ac:dyDescent="0.2">
      <c r="A16" s="191" t="s">
        <v>294</v>
      </c>
      <c r="B16" s="191" t="s">
        <v>5</v>
      </c>
      <c r="C16" s="191" t="s">
        <v>6</v>
      </c>
      <c r="D16" s="191" t="s">
        <v>7</v>
      </c>
      <c r="E16" s="191" t="s">
        <v>8</v>
      </c>
      <c r="F16" s="191" t="s">
        <v>9</v>
      </c>
    </row>
    <row r="17" spans="1:6" ht="178.5" x14ac:dyDescent="0.2">
      <c r="A17" s="204" t="s">
        <v>562</v>
      </c>
      <c r="B17" s="204"/>
      <c r="C17" s="204"/>
      <c r="D17" s="204"/>
      <c r="E17" s="204"/>
      <c r="F17" s="303" t="s">
        <v>2175</v>
      </c>
    </row>
    <row r="18" spans="1:6" ht="63.75" x14ac:dyDescent="0.2">
      <c r="A18" s="204" t="s">
        <v>563</v>
      </c>
      <c r="B18" s="204"/>
      <c r="C18" s="204"/>
      <c r="D18" s="204"/>
      <c r="E18" s="204"/>
      <c r="F18" s="303" t="s">
        <v>2176</v>
      </c>
    </row>
    <row r="19" spans="1:6" ht="178.5" x14ac:dyDescent="0.2">
      <c r="A19" s="204" t="s">
        <v>564</v>
      </c>
      <c r="B19" s="204"/>
      <c r="C19" s="204"/>
      <c r="D19" s="204"/>
      <c r="E19" s="204"/>
      <c r="F19" s="303" t="s">
        <v>2175</v>
      </c>
    </row>
    <row r="20" spans="1:6" ht="22.5" customHeight="1" x14ac:dyDescent="0.2">
      <c r="A20" s="204" t="s">
        <v>565</v>
      </c>
      <c r="B20" s="204"/>
      <c r="C20" s="204"/>
      <c r="D20" s="204"/>
      <c r="E20" s="204"/>
      <c r="F20" s="303" t="s">
        <v>840</v>
      </c>
    </row>
    <row r="21" spans="1:6" ht="30" customHeight="1" x14ac:dyDescent="0.2">
      <c r="A21" s="204" t="s">
        <v>566</v>
      </c>
      <c r="B21" s="204"/>
      <c r="C21" s="204"/>
      <c r="D21" s="204"/>
      <c r="E21" s="204"/>
      <c r="F21" s="303"/>
    </row>
    <row r="22" spans="1:6" ht="30" customHeight="1" x14ac:dyDescent="0.2">
      <c r="A22" s="204" t="s">
        <v>567</v>
      </c>
      <c r="B22" s="204"/>
      <c r="C22" s="204"/>
      <c r="D22" s="204"/>
      <c r="E22" s="204"/>
      <c r="F22" s="303"/>
    </row>
    <row r="23" spans="1:6" ht="12.75" customHeight="1" x14ac:dyDescent="0.2"/>
    <row r="24" spans="1:6" ht="22.5" customHeight="1" x14ac:dyDescent="0.2">
      <c r="A24" s="427" t="s">
        <v>295</v>
      </c>
      <c r="B24" s="499"/>
      <c r="C24" s="499"/>
      <c r="D24" s="499"/>
      <c r="E24" s="499"/>
      <c r="F24" s="428"/>
    </row>
    <row r="25" spans="1:6" ht="22.5" customHeight="1" x14ac:dyDescent="0.2">
      <c r="A25" s="427" t="s">
        <v>11</v>
      </c>
      <c r="B25" s="499"/>
      <c r="C25" s="499"/>
      <c r="D25" s="499"/>
      <c r="E25" s="499"/>
      <c r="F25" s="428"/>
    </row>
    <row r="26" spans="1:6" ht="33" customHeight="1" x14ac:dyDescent="0.2">
      <c r="A26" s="191" t="s">
        <v>10</v>
      </c>
      <c r="B26" s="191" t="s">
        <v>5</v>
      </c>
      <c r="C26" s="191" t="s">
        <v>6</v>
      </c>
      <c r="D26" s="191" t="s">
        <v>7</v>
      </c>
      <c r="E26" s="191" t="s">
        <v>8</v>
      </c>
      <c r="F26" s="191" t="s">
        <v>9</v>
      </c>
    </row>
    <row r="27" spans="1:6" ht="22.5" customHeight="1" x14ac:dyDescent="0.2">
      <c r="A27" s="204"/>
      <c r="B27" s="206"/>
      <c r="C27" s="206"/>
      <c r="D27" s="206"/>
      <c r="E27" s="206"/>
      <c r="F27" s="209"/>
    </row>
    <row r="28" spans="1:6" ht="12.75" customHeight="1" x14ac:dyDescent="0.2"/>
    <row r="29" spans="1:6" ht="22.5" customHeight="1" x14ac:dyDescent="0.2">
      <c r="A29" s="427" t="s">
        <v>295</v>
      </c>
      <c r="B29" s="499"/>
      <c r="C29" s="499"/>
      <c r="D29" s="499"/>
      <c r="E29" s="499"/>
      <c r="F29" s="428"/>
    </row>
    <row r="30" spans="1:6" ht="22.5" customHeight="1" x14ac:dyDescent="0.2">
      <c r="A30" s="427" t="s">
        <v>12</v>
      </c>
      <c r="B30" s="499"/>
      <c r="C30" s="499"/>
      <c r="D30" s="499"/>
      <c r="E30" s="499"/>
      <c r="F30" s="428"/>
    </row>
    <row r="31" spans="1:6" ht="33" customHeight="1" x14ac:dyDescent="0.2">
      <c r="A31" s="191" t="s">
        <v>10</v>
      </c>
      <c r="B31" s="191" t="s">
        <v>5</v>
      </c>
      <c r="C31" s="191" t="s">
        <v>6</v>
      </c>
      <c r="D31" s="191" t="s">
        <v>7</v>
      </c>
      <c r="E31" s="191" t="s">
        <v>8</v>
      </c>
      <c r="F31" s="191" t="s">
        <v>9</v>
      </c>
    </row>
    <row r="32" spans="1:6" ht="22.5" customHeight="1" x14ac:dyDescent="0.2">
      <c r="A32" s="204"/>
      <c r="B32" s="195"/>
      <c r="C32" s="195"/>
      <c r="D32" s="195"/>
      <c r="E32" s="195"/>
      <c r="F32" s="206"/>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sheetData>
  <mergeCells count="10">
    <mergeCell ref="A2:F2"/>
    <mergeCell ref="A24:F24"/>
    <mergeCell ref="A25:F25"/>
    <mergeCell ref="A29:F29"/>
    <mergeCell ref="A30:F30"/>
    <mergeCell ref="A3:E3"/>
    <mergeCell ref="A4:A5"/>
    <mergeCell ref="B11:E11"/>
    <mergeCell ref="A14:F14"/>
    <mergeCell ref="A15:F15"/>
  </mergeCells>
  <conditionalFormatting sqref="B6:E10">
    <cfRule type="cellIs" dxfId="17" priority="1" operator="equal">
      <formula>""</formula>
    </cfRule>
  </conditionalFormatting>
  <hyperlinks>
    <hyperlink ref="A1" location="Overview!A1" display="Back to Overview" xr:uid="{BE451CA1-1146-4D37-9160-FB36685DE51C}"/>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ER31"/>
  <sheetViews>
    <sheetView zoomScale="70" zoomScaleNormal="70" workbookViewId="0"/>
  </sheetViews>
  <sheetFormatPr defaultColWidth="9.140625" defaultRowHeight="12.75" x14ac:dyDescent="0.2"/>
  <cols>
    <col min="1" max="6" width="24" style="22" customWidth="1"/>
    <col min="7" max="16384" width="9.140625" style="22"/>
  </cols>
  <sheetData>
    <row r="1" spans="1:16372" s="98" customFormat="1" ht="27.75" customHeight="1" x14ac:dyDescent="0.2">
      <c r="A1" s="32" t="s">
        <v>19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row>
    <row r="2" spans="1:16372" ht="39.950000000000003" customHeight="1" x14ac:dyDescent="0.2">
      <c r="A2" s="493" t="s">
        <v>574</v>
      </c>
      <c r="B2" s="493"/>
      <c r="C2" s="493"/>
      <c r="D2" s="493"/>
      <c r="E2" s="493"/>
      <c r="F2" s="493"/>
    </row>
    <row r="3" spans="1:16372" ht="47.25" customHeight="1" x14ac:dyDescent="0.2">
      <c r="A3" s="382" t="str">
        <f>Overview!B4&amp;" - Illustrative LLFs in Electricity North West Area (GSP Group_G) for year beginning "&amp;TEXT(Overview!$D$4,"d mmmm yyyy")&amp;""</f>
        <v>Leep Electricity Networks Limited - Illustrative LLFs in Electricity North West Area (GSP Group_G) for year beginning 1 April 2026</v>
      </c>
      <c r="B3" s="423"/>
      <c r="C3" s="423"/>
      <c r="D3" s="423"/>
      <c r="E3" s="424"/>
    </row>
    <row r="4" spans="1:16372" ht="19.5" customHeight="1" x14ac:dyDescent="0.2">
      <c r="A4" s="505" t="s">
        <v>13</v>
      </c>
      <c r="B4" s="191" t="s">
        <v>5</v>
      </c>
      <c r="C4" s="191" t="s">
        <v>6</v>
      </c>
      <c r="D4" s="191" t="s">
        <v>7</v>
      </c>
      <c r="E4" s="191" t="s">
        <v>8</v>
      </c>
    </row>
    <row r="5" spans="1:16372" ht="36.75" customHeight="1" x14ac:dyDescent="0.2">
      <c r="A5" s="506"/>
      <c r="B5" s="191"/>
      <c r="C5" s="191"/>
      <c r="D5" s="191"/>
      <c r="E5" s="191"/>
    </row>
    <row r="6" spans="1:16372" ht="45" customHeight="1" x14ac:dyDescent="0.2">
      <c r="A6" s="107">
        <v>0</v>
      </c>
      <c r="B6" s="336" t="s">
        <v>840</v>
      </c>
      <c r="C6" s="336" t="s">
        <v>840</v>
      </c>
      <c r="D6" s="336" t="s">
        <v>840</v>
      </c>
      <c r="E6" s="336" t="s">
        <v>840</v>
      </c>
    </row>
    <row r="7" spans="1:16372" ht="45" customHeight="1" x14ac:dyDescent="0.2">
      <c r="A7" s="107">
        <v>0</v>
      </c>
      <c r="B7" s="336" t="s">
        <v>840</v>
      </c>
      <c r="C7" s="336" t="s">
        <v>840</v>
      </c>
      <c r="D7" s="336" t="s">
        <v>840</v>
      </c>
      <c r="E7" s="336" t="s">
        <v>840</v>
      </c>
    </row>
    <row r="8" spans="1:16372" ht="45" customHeight="1" x14ac:dyDescent="0.2">
      <c r="A8" s="107">
        <v>0</v>
      </c>
      <c r="B8" s="336" t="s">
        <v>840</v>
      </c>
      <c r="C8" s="336" t="s">
        <v>840</v>
      </c>
      <c r="D8" s="336" t="s">
        <v>840</v>
      </c>
      <c r="E8" s="336" t="s">
        <v>840</v>
      </c>
    </row>
    <row r="9" spans="1:16372" ht="25.5" customHeight="1" x14ac:dyDescent="0.2">
      <c r="A9" s="172" t="s">
        <v>14</v>
      </c>
      <c r="B9" s="507" t="s">
        <v>15</v>
      </c>
      <c r="C9" s="508"/>
      <c r="D9" s="508"/>
      <c r="E9" s="509"/>
    </row>
    <row r="10" spans="1:16372" ht="12.75" customHeight="1" x14ac:dyDescent="0.2">
      <c r="A10" s="201"/>
      <c r="B10" s="202"/>
      <c r="C10" s="202"/>
      <c r="D10" s="202"/>
      <c r="E10" s="202"/>
    </row>
    <row r="11" spans="1:16372" ht="12.75" customHeight="1" x14ac:dyDescent="0.2">
      <c r="B11" s="202"/>
      <c r="C11" s="202"/>
      <c r="D11" s="202"/>
      <c r="E11" s="202"/>
    </row>
    <row r="12" spans="1:16372" ht="22.5" customHeight="1" x14ac:dyDescent="0.2">
      <c r="A12" s="427" t="s">
        <v>293</v>
      </c>
      <c r="B12" s="499"/>
      <c r="C12" s="499"/>
      <c r="D12" s="499"/>
      <c r="E12" s="499"/>
      <c r="F12" s="428"/>
    </row>
    <row r="13" spans="1:16372" ht="22.5" customHeight="1" x14ac:dyDescent="0.2">
      <c r="A13" s="427" t="s">
        <v>4</v>
      </c>
      <c r="B13" s="499"/>
      <c r="C13" s="499"/>
      <c r="D13" s="499"/>
      <c r="E13" s="499"/>
      <c r="F13" s="428"/>
    </row>
    <row r="14" spans="1:16372" ht="33" customHeight="1" x14ac:dyDescent="0.2">
      <c r="A14" s="191" t="s">
        <v>294</v>
      </c>
      <c r="B14" s="191" t="s">
        <v>5</v>
      </c>
      <c r="C14" s="191" t="s">
        <v>6</v>
      </c>
      <c r="D14" s="191" t="s">
        <v>7</v>
      </c>
      <c r="E14" s="191" t="s">
        <v>8</v>
      </c>
      <c r="F14" s="191" t="s">
        <v>9</v>
      </c>
    </row>
    <row r="15" spans="1:16372" x14ac:dyDescent="0.2">
      <c r="A15" s="204" t="s">
        <v>552</v>
      </c>
      <c r="B15" s="109"/>
      <c r="C15" s="109"/>
      <c r="D15" s="109"/>
      <c r="E15" s="109"/>
      <c r="F15" s="303"/>
    </row>
    <row r="16" spans="1:16372" ht="22.5" customHeight="1" x14ac:dyDescent="0.2">
      <c r="A16" s="204" t="s">
        <v>553</v>
      </c>
      <c r="B16" s="109"/>
      <c r="C16" s="109"/>
      <c r="D16" s="109"/>
      <c r="E16" s="109"/>
      <c r="F16" s="303"/>
    </row>
    <row r="17" spans="1:7" ht="22.5" customHeight="1" x14ac:dyDescent="0.2">
      <c r="A17" s="204" t="s">
        <v>554</v>
      </c>
      <c r="B17" s="109"/>
      <c r="C17" s="109"/>
      <c r="D17" s="109"/>
      <c r="E17" s="109"/>
      <c r="F17" s="303"/>
    </row>
    <row r="18" spans="1:7" ht="22.5" customHeight="1" x14ac:dyDescent="0.2">
      <c r="A18" s="204" t="s">
        <v>548</v>
      </c>
      <c r="B18" s="109"/>
      <c r="C18" s="109"/>
      <c r="D18" s="109"/>
      <c r="E18" s="109"/>
      <c r="F18" s="303" t="s">
        <v>2177</v>
      </c>
      <c r="G18" s="305">
        <v>4</v>
      </c>
    </row>
    <row r="19" spans="1:7" ht="63.75" x14ac:dyDescent="0.2">
      <c r="A19" s="204" t="s">
        <v>549</v>
      </c>
      <c r="B19" s="109"/>
      <c r="C19" s="109"/>
      <c r="D19" s="109"/>
      <c r="E19" s="109"/>
      <c r="F19" s="303" t="s">
        <v>2178</v>
      </c>
      <c r="G19" s="305">
        <v>3</v>
      </c>
    </row>
    <row r="20" spans="1:7" ht="76.5" x14ac:dyDescent="0.2">
      <c r="A20" s="204" t="s">
        <v>550</v>
      </c>
      <c r="B20" s="109"/>
      <c r="C20" s="109"/>
      <c r="D20" s="109"/>
      <c r="E20" s="109"/>
      <c r="F20" s="303" t="s">
        <v>2179</v>
      </c>
      <c r="G20" s="305">
        <v>2</v>
      </c>
    </row>
    <row r="21" spans="1:7" ht="331.5" x14ac:dyDescent="0.2">
      <c r="A21" s="204" t="s">
        <v>551</v>
      </c>
      <c r="B21" s="109"/>
      <c r="C21" s="109"/>
      <c r="D21" s="109"/>
      <c r="E21" s="109"/>
      <c r="F21" s="303" t="s">
        <v>2180</v>
      </c>
      <c r="G21" s="305">
        <v>1</v>
      </c>
    </row>
    <row r="22" spans="1:7" ht="12.75" customHeight="1" x14ac:dyDescent="0.2"/>
    <row r="23" spans="1:7" ht="22.5" customHeight="1" x14ac:dyDescent="0.2">
      <c r="A23" s="427" t="s">
        <v>295</v>
      </c>
      <c r="B23" s="499"/>
      <c r="C23" s="499"/>
      <c r="D23" s="499"/>
      <c r="E23" s="499"/>
      <c r="F23" s="428"/>
    </row>
    <row r="24" spans="1:7" ht="22.5" customHeight="1" x14ac:dyDescent="0.2">
      <c r="A24" s="427" t="s">
        <v>11</v>
      </c>
      <c r="B24" s="499"/>
      <c r="C24" s="499"/>
      <c r="D24" s="499"/>
      <c r="E24" s="499"/>
      <c r="F24" s="428"/>
    </row>
    <row r="25" spans="1:7" ht="33" customHeight="1" x14ac:dyDescent="0.2">
      <c r="A25" s="191" t="s">
        <v>10</v>
      </c>
      <c r="B25" s="191" t="s">
        <v>5</v>
      </c>
      <c r="C25" s="191" t="s">
        <v>6</v>
      </c>
      <c r="D25" s="191" t="s">
        <v>7</v>
      </c>
      <c r="E25" s="191" t="s">
        <v>8</v>
      </c>
      <c r="F25" s="191" t="s">
        <v>9</v>
      </c>
    </row>
    <row r="26" spans="1:7" ht="22.5" customHeight="1" x14ac:dyDescent="0.2">
      <c r="A26" s="204"/>
      <c r="B26" s="210"/>
      <c r="C26" s="210"/>
      <c r="D26" s="210"/>
      <c r="E26" s="210"/>
      <c r="F26" s="205"/>
    </row>
    <row r="27" spans="1:7" ht="12.75" customHeight="1" x14ac:dyDescent="0.2"/>
    <row r="28" spans="1:7" ht="22.5" customHeight="1" x14ac:dyDescent="0.2">
      <c r="A28" s="427" t="s">
        <v>295</v>
      </c>
      <c r="B28" s="499"/>
      <c r="C28" s="499"/>
      <c r="D28" s="499"/>
      <c r="E28" s="499"/>
      <c r="F28" s="428"/>
    </row>
    <row r="29" spans="1:7" ht="22.5" customHeight="1" x14ac:dyDescent="0.2">
      <c r="A29" s="427" t="s">
        <v>12</v>
      </c>
      <c r="B29" s="499"/>
      <c r="C29" s="499"/>
      <c r="D29" s="499"/>
      <c r="E29" s="499"/>
      <c r="F29" s="428"/>
    </row>
    <row r="30" spans="1:7" ht="33" customHeight="1" x14ac:dyDescent="0.2">
      <c r="A30" s="191" t="s">
        <v>10</v>
      </c>
      <c r="B30" s="191" t="s">
        <v>5</v>
      </c>
      <c r="C30" s="191" t="s">
        <v>6</v>
      </c>
      <c r="D30" s="191" t="s">
        <v>7</v>
      </c>
      <c r="E30" s="191" t="s">
        <v>8</v>
      </c>
      <c r="F30" s="191" t="s">
        <v>9</v>
      </c>
    </row>
    <row r="31" spans="1:7" ht="22.5" customHeight="1" x14ac:dyDescent="0.2">
      <c r="A31" s="204"/>
      <c r="B31" s="211"/>
      <c r="C31" s="211"/>
      <c r="D31" s="211"/>
      <c r="E31" s="211"/>
      <c r="F31" s="205"/>
    </row>
  </sheetData>
  <mergeCells count="10">
    <mergeCell ref="A2:F2"/>
    <mergeCell ref="A23:F23"/>
    <mergeCell ref="A24:F24"/>
    <mergeCell ref="A28:F28"/>
    <mergeCell ref="A29:F29"/>
    <mergeCell ref="A3:E3"/>
    <mergeCell ref="A4:A5"/>
    <mergeCell ref="B9:E9"/>
    <mergeCell ref="A12:F12"/>
    <mergeCell ref="A13:F13"/>
  </mergeCells>
  <conditionalFormatting sqref="B6:E8">
    <cfRule type="cellIs" dxfId="16" priority="1" operator="equal">
      <formula>""</formula>
    </cfRule>
  </conditionalFormatting>
  <hyperlinks>
    <hyperlink ref="A1" location="Overview!A1" display="Back to Overview" xr:uid="{E8D84044-BBE1-4E14-9A0C-E1FDEF1D26D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pageSetUpPr fitToPage="1"/>
  </sheetPr>
  <dimension ref="A1:F119"/>
  <sheetViews>
    <sheetView zoomScale="70" zoomScaleNormal="70" workbookViewId="0"/>
  </sheetViews>
  <sheetFormatPr defaultColWidth="9.140625" defaultRowHeight="12.75" x14ac:dyDescent="0.2"/>
  <cols>
    <col min="1" max="6" width="24" style="22" customWidth="1"/>
    <col min="7" max="16384" width="9.140625" style="22"/>
  </cols>
  <sheetData>
    <row r="1" spans="1:6" ht="27.75" customHeight="1" x14ac:dyDescent="0.2">
      <c r="A1" s="32" t="s">
        <v>19</v>
      </c>
    </row>
    <row r="2" spans="1:6" ht="39.950000000000003" customHeight="1" x14ac:dyDescent="0.2">
      <c r="A2" s="493" t="s">
        <v>574</v>
      </c>
      <c r="B2" s="493"/>
      <c r="C2" s="493"/>
      <c r="D2" s="493"/>
      <c r="E2" s="493"/>
      <c r="F2" s="493"/>
    </row>
    <row r="3" spans="1:6" ht="47.25" customHeight="1" x14ac:dyDescent="0.2">
      <c r="A3" s="382" t="str">
        <f>Overview!B4&amp;" - Illustrative LLFs in SSE SEPD Area (GSP Group_H) for year beginning "&amp;TEXT(Overview!$D$4,"d mmmm yyyy")&amp;""</f>
        <v>Leep Electricity Networks Limited - Illustrative LLFs in SSE SEPD Area (GSP Group_H) for year beginning 1 April 2026</v>
      </c>
      <c r="B3" s="423"/>
      <c r="C3" s="423"/>
      <c r="D3" s="423"/>
      <c r="E3" s="424"/>
    </row>
    <row r="4" spans="1:6" ht="19.5" customHeight="1" x14ac:dyDescent="0.2">
      <c r="A4" s="500" t="s">
        <v>13</v>
      </c>
      <c r="B4" s="12" t="s">
        <v>5</v>
      </c>
      <c r="C4" s="12" t="s">
        <v>6</v>
      </c>
      <c r="D4" s="12" t="s">
        <v>7</v>
      </c>
      <c r="E4" s="12" t="s">
        <v>8</v>
      </c>
    </row>
    <row r="5" spans="1:6" ht="40.5" customHeight="1" x14ac:dyDescent="0.2">
      <c r="A5" s="501"/>
      <c r="B5" s="12" t="s">
        <v>2077</v>
      </c>
      <c r="C5" s="12" t="s">
        <v>2078</v>
      </c>
      <c r="D5" s="12" t="s">
        <v>2079</v>
      </c>
      <c r="E5" s="12" t="s">
        <v>2080</v>
      </c>
    </row>
    <row r="6" spans="1:6" ht="45" customHeight="1" x14ac:dyDescent="0.2">
      <c r="A6" s="43" t="s">
        <v>2155</v>
      </c>
      <c r="B6" s="336" t="s">
        <v>2156</v>
      </c>
      <c r="C6" s="336" t="s">
        <v>2156</v>
      </c>
      <c r="D6" s="336" t="s">
        <v>2156</v>
      </c>
      <c r="E6" s="336" t="s">
        <v>2156</v>
      </c>
    </row>
    <row r="7" spans="1:6" ht="45" customHeight="1" x14ac:dyDescent="0.2">
      <c r="A7" s="43" t="s">
        <v>2155</v>
      </c>
      <c r="B7" s="336" t="s">
        <v>2156</v>
      </c>
      <c r="C7" s="336" t="s">
        <v>2156</v>
      </c>
      <c r="D7" s="336" t="s">
        <v>2156</v>
      </c>
      <c r="E7" s="336" t="s">
        <v>2156</v>
      </c>
    </row>
    <row r="8" spans="1:6" ht="45" customHeight="1" x14ac:dyDescent="0.2">
      <c r="A8" s="261" t="s">
        <v>14</v>
      </c>
      <c r="B8" s="402" t="s">
        <v>15</v>
      </c>
      <c r="C8" s="403"/>
      <c r="D8" s="403"/>
      <c r="E8" s="404"/>
    </row>
    <row r="9" spans="1:6" ht="12.75" customHeight="1" x14ac:dyDescent="0.2">
      <c r="A9" s="201"/>
      <c r="B9" s="202"/>
      <c r="C9" s="202"/>
      <c r="D9" s="202"/>
      <c r="E9" s="202"/>
    </row>
    <row r="10" spans="1:6" ht="12.75" customHeight="1" x14ac:dyDescent="0.2">
      <c r="B10" s="202"/>
      <c r="C10" s="202"/>
      <c r="D10" s="202"/>
      <c r="E10" s="202"/>
    </row>
    <row r="11" spans="1:6" ht="22.5" customHeight="1" x14ac:dyDescent="0.2">
      <c r="A11" s="427" t="s">
        <v>293</v>
      </c>
      <c r="B11" s="499"/>
      <c r="C11" s="499"/>
      <c r="D11" s="499"/>
      <c r="E11" s="499"/>
      <c r="F11" s="428"/>
    </row>
    <row r="12" spans="1:6" ht="22.5" customHeight="1" x14ac:dyDescent="0.2">
      <c r="A12" s="427" t="s">
        <v>4</v>
      </c>
      <c r="B12" s="499"/>
      <c r="C12" s="499"/>
      <c r="D12" s="499"/>
      <c r="E12" s="499"/>
      <c r="F12" s="428"/>
    </row>
    <row r="13" spans="1:6" ht="33" customHeight="1" x14ac:dyDescent="0.2">
      <c r="A13" s="191" t="s">
        <v>294</v>
      </c>
      <c r="B13" s="191" t="s">
        <v>5</v>
      </c>
      <c r="C13" s="191" t="s">
        <v>6</v>
      </c>
      <c r="D13" s="191" t="s">
        <v>7</v>
      </c>
      <c r="E13" s="191" t="s">
        <v>8</v>
      </c>
      <c r="F13" s="191" t="s">
        <v>9</v>
      </c>
    </row>
    <row r="14" spans="1:6" ht="255" x14ac:dyDescent="0.2">
      <c r="A14" s="286" t="s">
        <v>555</v>
      </c>
      <c r="B14" s="306"/>
      <c r="C14" s="306"/>
      <c r="D14" s="306"/>
      <c r="E14" s="306"/>
      <c r="F14" s="303" t="s">
        <v>2181</v>
      </c>
    </row>
    <row r="15" spans="1:6" ht="76.5" x14ac:dyDescent="0.2">
      <c r="A15" s="286" t="s">
        <v>556</v>
      </c>
      <c r="B15" s="306"/>
      <c r="C15" s="306"/>
      <c r="D15" s="306"/>
      <c r="E15" s="306"/>
      <c r="F15" s="303" t="s">
        <v>2182</v>
      </c>
    </row>
    <row r="16" spans="1:6" ht="63.75" x14ac:dyDescent="0.2">
      <c r="A16" s="286" t="s">
        <v>557</v>
      </c>
      <c r="B16" s="306"/>
      <c r="C16" s="306"/>
      <c r="D16" s="306"/>
      <c r="E16" s="306"/>
      <c r="F16" s="303" t="s">
        <v>2183</v>
      </c>
    </row>
    <row r="17" spans="1:6" ht="22.5" customHeight="1" x14ac:dyDescent="0.2">
      <c r="A17" s="286" t="s">
        <v>558</v>
      </c>
      <c r="B17" s="306"/>
      <c r="C17" s="306"/>
      <c r="D17" s="306"/>
      <c r="E17" s="306"/>
      <c r="F17" s="303" t="s">
        <v>840</v>
      </c>
    </row>
    <row r="18" spans="1:6" ht="30" customHeight="1" x14ac:dyDescent="0.2">
      <c r="A18" s="286" t="s">
        <v>559</v>
      </c>
      <c r="B18" s="306"/>
      <c r="C18" s="306"/>
      <c r="D18" s="306"/>
      <c r="E18" s="306"/>
      <c r="F18" s="303"/>
    </row>
    <row r="19" spans="1:6" ht="30" customHeight="1" x14ac:dyDescent="0.2">
      <c r="A19" s="286" t="s">
        <v>560</v>
      </c>
      <c r="B19" s="306"/>
      <c r="C19" s="306"/>
      <c r="D19" s="306"/>
      <c r="E19" s="306"/>
      <c r="F19" s="303"/>
    </row>
    <row r="20" spans="1:6" ht="30" customHeight="1" x14ac:dyDescent="0.2">
      <c r="A20" s="286" t="s">
        <v>561</v>
      </c>
      <c r="B20" s="306"/>
      <c r="C20" s="306"/>
      <c r="D20" s="306"/>
      <c r="E20" s="306"/>
      <c r="F20" s="303"/>
    </row>
    <row r="21" spans="1:6" ht="12.75" customHeight="1" x14ac:dyDescent="0.2"/>
    <row r="22" spans="1:6" ht="22.5" customHeight="1" x14ac:dyDescent="0.2">
      <c r="A22" s="427" t="s">
        <v>295</v>
      </c>
      <c r="B22" s="499"/>
      <c r="C22" s="499"/>
      <c r="D22" s="499"/>
      <c r="E22" s="499"/>
      <c r="F22" s="428"/>
    </row>
    <row r="23" spans="1:6" ht="22.5" customHeight="1" x14ac:dyDescent="0.2">
      <c r="A23" s="427" t="s">
        <v>11</v>
      </c>
      <c r="B23" s="499"/>
      <c r="C23" s="499"/>
      <c r="D23" s="499"/>
      <c r="E23" s="499"/>
      <c r="F23" s="428"/>
    </row>
    <row r="24" spans="1:6" ht="33" customHeight="1" x14ac:dyDescent="0.2">
      <c r="A24" s="191" t="s">
        <v>10</v>
      </c>
      <c r="B24" s="191" t="s">
        <v>5</v>
      </c>
      <c r="C24" s="191" t="s">
        <v>6</v>
      </c>
      <c r="D24" s="191" t="s">
        <v>7</v>
      </c>
      <c r="E24" s="191" t="s">
        <v>8</v>
      </c>
      <c r="F24" s="191" t="s">
        <v>9</v>
      </c>
    </row>
    <row r="25" spans="1:6" ht="22.5" customHeight="1" x14ac:dyDescent="0.2">
      <c r="A25" s="204"/>
      <c r="B25" s="206"/>
      <c r="C25" s="206"/>
      <c r="D25" s="206"/>
      <c r="E25" s="206"/>
      <c r="F25" s="209"/>
    </row>
    <row r="26" spans="1:6" ht="12.75" customHeight="1" x14ac:dyDescent="0.2"/>
    <row r="27" spans="1:6" ht="22.5" customHeight="1" x14ac:dyDescent="0.2">
      <c r="A27" s="427" t="s">
        <v>295</v>
      </c>
      <c r="B27" s="499"/>
      <c r="C27" s="499"/>
      <c r="D27" s="499"/>
      <c r="E27" s="499"/>
      <c r="F27" s="428"/>
    </row>
    <row r="28" spans="1:6" ht="22.5" customHeight="1" x14ac:dyDescent="0.2">
      <c r="A28" s="427" t="s">
        <v>12</v>
      </c>
      <c r="B28" s="499"/>
      <c r="C28" s="499"/>
      <c r="D28" s="499"/>
      <c r="E28" s="499"/>
      <c r="F28" s="428"/>
    </row>
    <row r="29" spans="1:6" ht="33" customHeight="1" x14ac:dyDescent="0.2">
      <c r="A29" s="191" t="s">
        <v>10</v>
      </c>
      <c r="B29" s="191" t="s">
        <v>5</v>
      </c>
      <c r="C29" s="191" t="s">
        <v>6</v>
      </c>
      <c r="D29" s="191" t="s">
        <v>7</v>
      </c>
      <c r="E29" s="191" t="s">
        <v>8</v>
      </c>
      <c r="F29" s="191" t="s">
        <v>9</v>
      </c>
    </row>
    <row r="30" spans="1:6" ht="22.5" customHeight="1" x14ac:dyDescent="0.2">
      <c r="A30" s="204"/>
      <c r="B30" s="195"/>
      <c r="C30" s="195"/>
      <c r="D30" s="195"/>
      <c r="E30" s="195"/>
      <c r="F30" s="206"/>
    </row>
    <row r="31" spans="1:6" ht="22.5" customHeight="1" x14ac:dyDescent="0.2"/>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sheetData>
  <mergeCells count="10">
    <mergeCell ref="A2:F2"/>
    <mergeCell ref="A23:F23"/>
    <mergeCell ref="A27:F27"/>
    <mergeCell ref="A28:F28"/>
    <mergeCell ref="B8:E8"/>
    <mergeCell ref="A3:E3"/>
    <mergeCell ref="A4:A5"/>
    <mergeCell ref="A11:F11"/>
    <mergeCell ref="A12:F12"/>
    <mergeCell ref="A22:F22"/>
  </mergeCells>
  <conditionalFormatting sqref="B6:E7">
    <cfRule type="cellIs" dxfId="15" priority="1" operator="equal">
      <formula>""</formula>
    </cfRule>
  </conditionalFormatting>
  <hyperlinks>
    <hyperlink ref="A1" location="Overview!A1" display="Back to Overview" xr:uid="{CF02C7C7-2716-496D-BA55-BD456DC3130F}"/>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FC31"/>
  <sheetViews>
    <sheetView zoomScale="70" zoomScaleNormal="70" workbookViewId="0"/>
  </sheetViews>
  <sheetFormatPr defaultColWidth="9.140625" defaultRowHeight="12.75" x14ac:dyDescent="0.2"/>
  <cols>
    <col min="1" max="1" width="21" style="100" customWidth="1"/>
    <col min="2" max="7" width="24" style="100" customWidth="1"/>
    <col min="8" max="16384" width="9.140625" style="100"/>
  </cols>
  <sheetData>
    <row r="1" spans="1:16383" s="101" customFormat="1" ht="27.75" customHeight="1" x14ac:dyDescent="0.2">
      <c r="A1" s="32" t="s">
        <v>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c r="XEY1" s="100"/>
      <c r="XEZ1" s="100"/>
      <c r="XFA1" s="100"/>
      <c r="XFB1" s="100"/>
      <c r="XFC1" s="100"/>
    </row>
    <row r="2" spans="1:16383" s="22" customFormat="1" ht="39.950000000000003" customHeight="1" x14ac:dyDescent="0.2">
      <c r="A2" s="493" t="s">
        <v>574</v>
      </c>
      <c r="B2" s="493"/>
      <c r="C2" s="493"/>
      <c r="D2" s="493"/>
      <c r="E2" s="493"/>
      <c r="F2" s="493"/>
    </row>
    <row r="3" spans="1:16383" ht="47.25" customHeight="1" x14ac:dyDescent="0.2">
      <c r="A3" s="382" t="str">
        <f>Overview!B4&amp;" - Illustrative LLFs in UKPN SPN Area (GSP Group_J) for year beginning "&amp;TEXT(Overview!$D$4,"d mmmm yyyy")&amp;""</f>
        <v>Leep Electricity Networks Limited - Illustrative LLFs in UKPN SPN Area (GSP Group_J) for year beginning 1 April 2026</v>
      </c>
      <c r="B3" s="423"/>
      <c r="C3" s="423"/>
      <c r="D3" s="423"/>
      <c r="E3" s="423"/>
      <c r="F3" s="424"/>
    </row>
    <row r="4" spans="1:16383" ht="19.5" customHeight="1" x14ac:dyDescent="0.2">
      <c r="A4" s="490" t="s">
        <v>13</v>
      </c>
      <c r="B4" s="191" t="s">
        <v>5</v>
      </c>
      <c r="C4" s="191" t="s">
        <v>6</v>
      </c>
      <c r="D4" s="191" t="s">
        <v>7</v>
      </c>
      <c r="E4" s="191" t="s">
        <v>8</v>
      </c>
      <c r="F4" s="191" t="s">
        <v>481</v>
      </c>
    </row>
    <row r="5" spans="1:16383" ht="46.5" customHeight="1" x14ac:dyDescent="0.2">
      <c r="A5" s="490"/>
      <c r="B5" s="191" t="s">
        <v>5</v>
      </c>
      <c r="C5" s="191" t="s">
        <v>6</v>
      </c>
      <c r="D5" s="191" t="s">
        <v>7</v>
      </c>
      <c r="E5" s="191" t="s">
        <v>8</v>
      </c>
      <c r="F5" s="191" t="s">
        <v>481</v>
      </c>
    </row>
    <row r="6" spans="1:16383" ht="45" customHeight="1" x14ac:dyDescent="0.2">
      <c r="A6" s="309">
        <v>0</v>
      </c>
      <c r="B6" s="336" t="s">
        <v>849</v>
      </c>
      <c r="C6" s="336" t="s">
        <v>850</v>
      </c>
      <c r="D6" s="336" t="s">
        <v>851</v>
      </c>
      <c r="E6" s="336" t="s">
        <v>852</v>
      </c>
      <c r="F6" s="336" t="s">
        <v>853</v>
      </c>
    </row>
    <row r="7" spans="1:16383" ht="45" customHeight="1" x14ac:dyDescent="0.2">
      <c r="A7" s="309" t="s">
        <v>854</v>
      </c>
      <c r="B7" s="336" t="s">
        <v>855</v>
      </c>
      <c r="C7" s="336" t="s">
        <v>840</v>
      </c>
      <c r="D7" s="336" t="s">
        <v>856</v>
      </c>
      <c r="E7" s="336" t="s">
        <v>840</v>
      </c>
      <c r="F7" s="336" t="s">
        <v>840</v>
      </c>
    </row>
    <row r="8" spans="1:16383" ht="45" customHeight="1" x14ac:dyDescent="0.2">
      <c r="A8" s="309" t="s">
        <v>857</v>
      </c>
      <c r="B8" s="336" t="s">
        <v>840</v>
      </c>
      <c r="C8" s="336" t="s">
        <v>858</v>
      </c>
      <c r="D8" s="336" t="s">
        <v>840</v>
      </c>
      <c r="E8" s="336" t="s">
        <v>840</v>
      </c>
      <c r="F8" s="336" t="s">
        <v>840</v>
      </c>
    </row>
    <row r="9" spans="1:16383" ht="45" customHeight="1" x14ac:dyDescent="0.2">
      <c r="A9" s="309" t="s">
        <v>859</v>
      </c>
      <c r="B9" s="336" t="s">
        <v>840</v>
      </c>
      <c r="C9" s="336" t="s">
        <v>840</v>
      </c>
      <c r="D9" s="336" t="s">
        <v>858</v>
      </c>
      <c r="E9" s="336" t="s">
        <v>840</v>
      </c>
      <c r="F9" s="336" t="s">
        <v>840</v>
      </c>
    </row>
    <row r="10" spans="1:16383" ht="22.5" customHeight="1" x14ac:dyDescent="0.2">
      <c r="A10" s="300" t="s">
        <v>14</v>
      </c>
      <c r="B10" s="513" t="s">
        <v>470</v>
      </c>
      <c r="C10" s="514"/>
      <c r="D10" s="514"/>
      <c r="E10" s="514"/>
      <c r="F10" s="515"/>
    </row>
    <row r="11" spans="1:16383" ht="12.75" customHeight="1" x14ac:dyDescent="0.2">
      <c r="A11" s="192"/>
      <c r="B11" s="192"/>
      <c r="C11" s="192"/>
      <c r="D11" s="192"/>
      <c r="E11" s="192"/>
      <c r="F11" s="192"/>
    </row>
    <row r="12" spans="1:16383" ht="12.75" customHeight="1" x14ac:dyDescent="0.2">
      <c r="B12" s="193"/>
      <c r="C12" s="193"/>
      <c r="D12" s="193"/>
    </row>
    <row r="13" spans="1:16383" ht="22.5" customHeight="1" x14ac:dyDescent="0.2">
      <c r="A13" s="490" t="s">
        <v>293</v>
      </c>
      <c r="B13" s="490"/>
      <c r="C13" s="490"/>
      <c r="D13" s="490"/>
      <c r="E13" s="490"/>
      <c r="F13" s="490"/>
      <c r="G13" s="490"/>
    </row>
    <row r="14" spans="1:16383" ht="22.5" customHeight="1" x14ac:dyDescent="0.2">
      <c r="A14" s="490" t="s">
        <v>4</v>
      </c>
      <c r="B14" s="490"/>
      <c r="C14" s="490"/>
      <c r="D14" s="490"/>
      <c r="E14" s="490"/>
      <c r="F14" s="490"/>
      <c r="G14" s="490"/>
    </row>
    <row r="15" spans="1:16383" ht="33" customHeight="1" x14ac:dyDescent="0.2">
      <c r="A15" s="191" t="s">
        <v>294</v>
      </c>
      <c r="B15" s="194" t="s">
        <v>5</v>
      </c>
      <c r="C15" s="194" t="s">
        <v>6</v>
      </c>
      <c r="D15" s="194" t="s">
        <v>7</v>
      </c>
      <c r="E15" s="194" t="s">
        <v>8</v>
      </c>
      <c r="F15" s="194" t="s">
        <v>481</v>
      </c>
      <c r="G15" s="194" t="s">
        <v>9</v>
      </c>
    </row>
    <row r="16" spans="1:16383" ht="242.25" x14ac:dyDescent="0.2">
      <c r="A16" s="301" t="s">
        <v>555</v>
      </c>
      <c r="B16" s="290"/>
      <c r="C16" s="290"/>
      <c r="D16" s="290"/>
      <c r="E16" s="290"/>
      <c r="F16" s="290"/>
      <c r="G16" s="303" t="s">
        <v>2184</v>
      </c>
    </row>
    <row r="17" spans="1:7" ht="54.95" customHeight="1" x14ac:dyDescent="0.2">
      <c r="A17" s="301" t="s">
        <v>556</v>
      </c>
      <c r="B17" s="290"/>
      <c r="C17" s="290"/>
      <c r="D17" s="290"/>
      <c r="E17" s="290"/>
      <c r="F17" s="290"/>
      <c r="G17" s="303" t="s">
        <v>2185</v>
      </c>
    </row>
    <row r="18" spans="1:7" ht="63.75" x14ac:dyDescent="0.2">
      <c r="A18" s="301" t="s">
        <v>557</v>
      </c>
      <c r="B18" s="290"/>
      <c r="C18" s="290"/>
      <c r="D18" s="290"/>
      <c r="E18" s="290"/>
      <c r="F18" s="290"/>
      <c r="G18" s="303" t="s">
        <v>2186</v>
      </c>
    </row>
    <row r="19" spans="1:7" ht="22.5" customHeight="1" x14ac:dyDescent="0.2">
      <c r="A19" s="301" t="s">
        <v>558</v>
      </c>
      <c r="B19" s="290"/>
      <c r="C19" s="290"/>
      <c r="D19" s="290"/>
      <c r="E19" s="290"/>
      <c r="F19" s="290"/>
      <c r="G19" s="303" t="s">
        <v>840</v>
      </c>
    </row>
    <row r="20" spans="1:7" ht="22.5" customHeight="1" x14ac:dyDescent="0.2">
      <c r="A20" s="301" t="s">
        <v>559</v>
      </c>
      <c r="B20" s="290"/>
      <c r="C20" s="290"/>
      <c r="D20" s="290"/>
      <c r="E20" s="290"/>
      <c r="F20" s="290"/>
      <c r="G20" s="303"/>
    </row>
    <row r="21" spans="1:7" ht="22.5" customHeight="1" x14ac:dyDescent="0.2">
      <c r="A21" s="301" t="s">
        <v>561</v>
      </c>
      <c r="B21" s="290"/>
      <c r="C21" s="290"/>
      <c r="D21" s="290"/>
      <c r="E21" s="290"/>
      <c r="F21" s="290"/>
      <c r="G21" s="303"/>
    </row>
    <row r="22" spans="1:7" ht="12.75" customHeight="1" x14ac:dyDescent="0.2"/>
    <row r="23" spans="1:7" ht="22.5" customHeight="1" x14ac:dyDescent="0.2">
      <c r="A23" s="490" t="s">
        <v>295</v>
      </c>
      <c r="B23" s="490"/>
      <c r="C23" s="490"/>
      <c r="D23" s="490"/>
      <c r="E23" s="490"/>
      <c r="F23" s="490"/>
      <c r="G23" s="490"/>
    </row>
    <row r="24" spans="1:7" ht="22.5" customHeight="1" x14ac:dyDescent="0.2">
      <c r="A24" s="490" t="s">
        <v>11</v>
      </c>
      <c r="B24" s="490"/>
      <c r="C24" s="490"/>
      <c r="D24" s="490"/>
      <c r="E24" s="490"/>
      <c r="F24" s="490"/>
      <c r="G24" s="490"/>
    </row>
    <row r="25" spans="1:7" ht="33" customHeight="1" x14ac:dyDescent="0.2">
      <c r="A25" s="191" t="s">
        <v>10</v>
      </c>
      <c r="B25" s="191" t="s">
        <v>5</v>
      </c>
      <c r="C25" s="191" t="s">
        <v>6</v>
      </c>
      <c r="D25" s="191" t="s">
        <v>7</v>
      </c>
      <c r="E25" s="191" t="s">
        <v>8</v>
      </c>
      <c r="F25" s="191" t="s">
        <v>481</v>
      </c>
      <c r="G25" s="191" t="s">
        <v>9</v>
      </c>
    </row>
    <row r="26" spans="1:7" ht="22.5" customHeight="1" x14ac:dyDescent="0.2">
      <c r="A26" s="299"/>
      <c r="B26" s="195"/>
      <c r="C26" s="195"/>
      <c r="D26" s="195"/>
      <c r="E26" s="195"/>
      <c r="F26" s="195"/>
      <c r="G26" s="206"/>
    </row>
    <row r="27" spans="1:7" ht="12.75" customHeight="1" x14ac:dyDescent="0.2"/>
    <row r="28" spans="1:7" ht="22.5" customHeight="1" x14ac:dyDescent="0.2">
      <c r="A28" s="490" t="s">
        <v>295</v>
      </c>
      <c r="B28" s="490"/>
      <c r="C28" s="490"/>
      <c r="D28" s="490"/>
      <c r="E28" s="490"/>
      <c r="F28" s="490"/>
      <c r="G28" s="490"/>
    </row>
    <row r="29" spans="1:7" ht="22.5" customHeight="1" x14ac:dyDescent="0.2">
      <c r="A29" s="490" t="s">
        <v>12</v>
      </c>
      <c r="B29" s="490"/>
      <c r="C29" s="490"/>
      <c r="D29" s="490"/>
      <c r="E29" s="490"/>
      <c r="F29" s="490"/>
      <c r="G29" s="490"/>
    </row>
    <row r="30" spans="1:7" ht="33" customHeight="1" x14ac:dyDescent="0.2">
      <c r="A30" s="191" t="s">
        <v>10</v>
      </c>
      <c r="B30" s="191" t="s">
        <v>5</v>
      </c>
      <c r="C30" s="191" t="s">
        <v>6</v>
      </c>
      <c r="D30" s="191" t="s">
        <v>7</v>
      </c>
      <c r="E30" s="191" t="s">
        <v>8</v>
      </c>
      <c r="F30" s="191" t="s">
        <v>481</v>
      </c>
      <c r="G30" s="191" t="s">
        <v>9</v>
      </c>
    </row>
    <row r="31" spans="1:7" ht="22.5" customHeight="1" x14ac:dyDescent="0.2">
      <c r="A31" s="299"/>
      <c r="B31" s="195"/>
      <c r="C31" s="195"/>
      <c r="D31" s="195"/>
      <c r="E31" s="195"/>
      <c r="F31" s="195"/>
      <c r="G31" s="206"/>
    </row>
  </sheetData>
  <mergeCells count="10">
    <mergeCell ref="A2:F2"/>
    <mergeCell ref="A29:G29"/>
    <mergeCell ref="B10:F10"/>
    <mergeCell ref="A13:G13"/>
    <mergeCell ref="A14:G14"/>
    <mergeCell ref="A3:F3"/>
    <mergeCell ref="A4:A5"/>
    <mergeCell ref="A23:G23"/>
    <mergeCell ref="A24:G24"/>
    <mergeCell ref="A28:G28"/>
  </mergeCells>
  <conditionalFormatting sqref="B6:F9">
    <cfRule type="cellIs" dxfId="14" priority="1" operator="equal">
      <formula>""</formula>
    </cfRule>
  </conditionalFormatting>
  <hyperlinks>
    <hyperlink ref="A1" location="Overview!A1" display="Back to Overview" xr:uid="{1F6D899E-15CF-4118-AEB3-DE22D08FE86E}"/>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32"/>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82" t="str">
        <f>Overview!B4&amp;" - Illustrative LLFs in WPD South Wales Area (GSP Group_K) for year beginning "&amp;TEXT(Overview!$D$4,"d mmmm yyyy")&amp;""</f>
        <v>Leep Electricity Networks Limited - Illustrative LLFs in WPD South Wales Area (GSP Group_K) for year beginning 1 April 2026</v>
      </c>
      <c r="B3" s="423"/>
      <c r="C3" s="423"/>
      <c r="D3" s="423"/>
      <c r="E3" s="424"/>
    </row>
    <row r="4" spans="1:9" ht="19.5" customHeight="1" x14ac:dyDescent="0.2">
      <c r="A4" s="505" t="s">
        <v>13</v>
      </c>
      <c r="B4" s="191" t="s">
        <v>5</v>
      </c>
      <c r="C4" s="191" t="s">
        <v>6</v>
      </c>
      <c r="D4" s="191" t="s">
        <v>7</v>
      </c>
      <c r="E4" s="191" t="s">
        <v>8</v>
      </c>
    </row>
    <row r="5" spans="1:9" ht="39" customHeight="1" x14ac:dyDescent="0.2">
      <c r="A5" s="506"/>
      <c r="B5" s="191" t="s">
        <v>2077</v>
      </c>
      <c r="C5" s="191" t="s">
        <v>2078</v>
      </c>
      <c r="D5" s="191" t="s">
        <v>2079</v>
      </c>
      <c r="E5" s="191" t="s">
        <v>2080</v>
      </c>
    </row>
    <row r="6" spans="1:9" ht="45" customHeight="1" x14ac:dyDescent="0.2">
      <c r="A6" s="308" t="s">
        <v>2081</v>
      </c>
      <c r="B6" s="336" t="s">
        <v>840</v>
      </c>
      <c r="C6" s="336" t="s">
        <v>840</v>
      </c>
      <c r="D6" s="336" t="s">
        <v>2134</v>
      </c>
      <c r="E6" s="336" t="s">
        <v>2135</v>
      </c>
    </row>
    <row r="7" spans="1:9" ht="45" customHeight="1" x14ac:dyDescent="0.2">
      <c r="A7" s="308" t="s">
        <v>2084</v>
      </c>
      <c r="B7" s="336" t="s">
        <v>2085</v>
      </c>
      <c r="C7" s="336" t="s">
        <v>2136</v>
      </c>
      <c r="D7" s="336" t="s">
        <v>2134</v>
      </c>
      <c r="E7" s="336" t="s">
        <v>2137</v>
      </c>
    </row>
    <row r="8" spans="1:9" ht="45" customHeight="1" x14ac:dyDescent="0.2">
      <c r="A8" s="308" t="s">
        <v>841</v>
      </c>
      <c r="B8" s="336" t="s">
        <v>840</v>
      </c>
      <c r="C8" s="336" t="s">
        <v>840</v>
      </c>
      <c r="D8" s="336" t="s">
        <v>2134</v>
      </c>
      <c r="E8" s="336" t="s">
        <v>2135</v>
      </c>
    </row>
    <row r="9" spans="1:9" ht="25.5" customHeight="1" x14ac:dyDescent="0.2">
      <c r="A9" s="200" t="s">
        <v>14</v>
      </c>
      <c r="B9" s="507" t="s">
        <v>15</v>
      </c>
      <c r="C9" s="508"/>
      <c r="D9" s="508"/>
      <c r="E9" s="509"/>
    </row>
    <row r="10" spans="1:9" ht="12.75" customHeight="1" x14ac:dyDescent="0.2">
      <c r="A10" s="201"/>
      <c r="B10" s="202"/>
      <c r="C10" s="202"/>
      <c r="D10" s="202"/>
      <c r="E10" s="202"/>
    </row>
    <row r="11" spans="1:9" ht="12.75" customHeight="1" x14ac:dyDescent="0.2">
      <c r="A11" s="203"/>
      <c r="B11" s="202"/>
      <c r="C11" s="202"/>
      <c r="D11" s="202"/>
      <c r="E11" s="202"/>
    </row>
    <row r="12" spans="1:9" ht="22.5" customHeight="1" x14ac:dyDescent="0.2">
      <c r="A12" s="427" t="s">
        <v>482</v>
      </c>
      <c r="B12" s="499"/>
      <c r="C12" s="499"/>
      <c r="D12" s="499"/>
      <c r="E12" s="499"/>
      <c r="F12" s="428"/>
    </row>
    <row r="13" spans="1:9" ht="22.5" customHeight="1" x14ac:dyDescent="0.2">
      <c r="A13" s="427" t="s">
        <v>4</v>
      </c>
      <c r="B13" s="499"/>
      <c r="C13" s="499"/>
      <c r="D13" s="499"/>
      <c r="E13" s="499"/>
      <c r="F13" s="428"/>
    </row>
    <row r="14" spans="1:9" ht="33" customHeight="1" x14ac:dyDescent="0.2">
      <c r="A14" s="191" t="s">
        <v>483</v>
      </c>
      <c r="B14" s="191" t="s">
        <v>5</v>
      </c>
      <c r="C14" s="191" t="s">
        <v>6</v>
      </c>
      <c r="D14" s="191" t="s">
        <v>7</v>
      </c>
      <c r="E14" s="191" t="s">
        <v>8</v>
      </c>
      <c r="F14" s="191" t="s">
        <v>9</v>
      </c>
    </row>
    <row r="15" spans="1:9" ht="54.95" customHeight="1" x14ac:dyDescent="0.2">
      <c r="A15" s="204" t="s">
        <v>568</v>
      </c>
      <c r="B15" s="195"/>
      <c r="C15" s="195"/>
      <c r="D15" s="195"/>
      <c r="E15" s="195"/>
      <c r="F15" s="303"/>
    </row>
    <row r="16" spans="1:9" ht="22.5" customHeight="1" x14ac:dyDescent="0.2">
      <c r="A16" s="204" t="s">
        <v>569</v>
      </c>
      <c r="B16" s="195"/>
      <c r="C16" s="195"/>
      <c r="D16" s="195"/>
      <c r="E16" s="195"/>
      <c r="F16" s="303"/>
    </row>
    <row r="17" spans="1:6" ht="22.5" customHeight="1" x14ac:dyDescent="0.2">
      <c r="A17" s="204" t="s">
        <v>570</v>
      </c>
      <c r="B17" s="195"/>
      <c r="C17" s="195"/>
      <c r="D17" s="195"/>
      <c r="E17" s="195"/>
      <c r="F17" s="303"/>
    </row>
    <row r="18" spans="1:6" ht="22.5" customHeight="1" x14ac:dyDescent="0.2">
      <c r="A18" s="204" t="s">
        <v>571</v>
      </c>
      <c r="B18" s="195"/>
      <c r="C18" s="195"/>
      <c r="D18" s="195"/>
      <c r="E18" s="195"/>
      <c r="F18" s="303"/>
    </row>
    <row r="19" spans="1:6" ht="22.5" customHeight="1" x14ac:dyDescent="0.2">
      <c r="A19" s="204" t="s">
        <v>565</v>
      </c>
      <c r="B19" s="195"/>
      <c r="C19" s="195"/>
      <c r="D19" s="195"/>
      <c r="E19" s="195"/>
      <c r="F19" s="303" t="s">
        <v>840</v>
      </c>
    </row>
    <row r="20" spans="1:6" ht="38.25" x14ac:dyDescent="0.2">
      <c r="A20" s="204" t="s">
        <v>564</v>
      </c>
      <c r="B20" s="195"/>
      <c r="C20" s="195"/>
      <c r="D20" s="195"/>
      <c r="E20" s="195"/>
      <c r="F20" s="303" t="s">
        <v>2187</v>
      </c>
    </row>
    <row r="21" spans="1:6" ht="38.25" x14ac:dyDescent="0.2">
      <c r="A21" s="204" t="s">
        <v>563</v>
      </c>
      <c r="B21" s="195"/>
      <c r="C21" s="195"/>
      <c r="D21" s="195"/>
      <c r="E21" s="195"/>
      <c r="F21" s="303" t="s">
        <v>2188</v>
      </c>
    </row>
    <row r="22" spans="1:6" ht="140.25" x14ac:dyDescent="0.2">
      <c r="A22" s="204" t="s">
        <v>562</v>
      </c>
      <c r="B22" s="195"/>
      <c r="C22" s="195"/>
      <c r="D22" s="195"/>
      <c r="E22" s="195"/>
      <c r="F22" s="303" t="s">
        <v>2189</v>
      </c>
    </row>
    <row r="23" spans="1:6" ht="12.75" customHeight="1" x14ac:dyDescent="0.2"/>
    <row r="24" spans="1:6" ht="22.5" customHeight="1" x14ac:dyDescent="0.2">
      <c r="A24" s="427" t="s">
        <v>295</v>
      </c>
      <c r="B24" s="499"/>
      <c r="C24" s="499"/>
      <c r="D24" s="499"/>
      <c r="E24" s="499"/>
      <c r="F24" s="428"/>
    </row>
    <row r="25" spans="1:6" ht="22.5" customHeight="1" x14ac:dyDescent="0.2">
      <c r="A25" s="427" t="s">
        <v>11</v>
      </c>
      <c r="B25" s="499"/>
      <c r="C25" s="499"/>
      <c r="D25" s="499"/>
      <c r="E25" s="499"/>
      <c r="F25" s="428"/>
    </row>
    <row r="26" spans="1:6" ht="33" customHeight="1" x14ac:dyDescent="0.2">
      <c r="A26" s="191" t="s">
        <v>10</v>
      </c>
      <c r="B26" s="191" t="s">
        <v>5</v>
      </c>
      <c r="C26" s="191" t="s">
        <v>6</v>
      </c>
      <c r="D26" s="191" t="s">
        <v>7</v>
      </c>
      <c r="E26" s="191" t="s">
        <v>8</v>
      </c>
      <c r="F26" s="191" t="s">
        <v>9</v>
      </c>
    </row>
    <row r="27" spans="1:6" ht="22.5" customHeight="1" x14ac:dyDescent="0.2">
      <c r="A27" s="205"/>
      <c r="B27" s="195"/>
      <c r="C27" s="195"/>
      <c r="D27" s="195"/>
      <c r="E27" s="195"/>
      <c r="F27" s="206"/>
    </row>
    <row r="28" spans="1:6" ht="12.75" customHeight="1" x14ac:dyDescent="0.2"/>
    <row r="29" spans="1:6" ht="22.5" customHeight="1" x14ac:dyDescent="0.2">
      <c r="A29" s="427" t="s">
        <v>295</v>
      </c>
      <c r="B29" s="499"/>
      <c r="C29" s="499"/>
      <c r="D29" s="499"/>
      <c r="E29" s="499"/>
      <c r="F29" s="428"/>
    </row>
    <row r="30" spans="1:6" ht="22.5" customHeight="1" x14ac:dyDescent="0.2">
      <c r="A30" s="427" t="s">
        <v>12</v>
      </c>
      <c r="B30" s="499"/>
      <c r="C30" s="499"/>
      <c r="D30" s="499"/>
      <c r="E30" s="499"/>
      <c r="F30" s="428"/>
    </row>
    <row r="31" spans="1:6" ht="33" customHeight="1" x14ac:dyDescent="0.2">
      <c r="A31" s="191" t="s">
        <v>10</v>
      </c>
      <c r="B31" s="191" t="s">
        <v>5</v>
      </c>
      <c r="C31" s="191" t="s">
        <v>6</v>
      </c>
      <c r="D31" s="191" t="s">
        <v>7</v>
      </c>
      <c r="E31" s="191" t="s">
        <v>8</v>
      </c>
      <c r="F31" s="191" t="s">
        <v>9</v>
      </c>
    </row>
    <row r="32" spans="1:6" ht="22.5" customHeight="1" x14ac:dyDescent="0.2">
      <c r="A32" s="204"/>
      <c r="B32" s="195"/>
      <c r="C32" s="195"/>
      <c r="D32" s="195"/>
      <c r="E32" s="195"/>
      <c r="F32" s="206"/>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3" priority="1" operator="equal">
      <formula>""</formula>
    </cfRule>
  </conditionalFormatting>
  <hyperlinks>
    <hyperlink ref="A1" location="Overview!A1" display="Back to Overview" xr:uid="{1040A379-9344-40D0-8586-2A4AD84F1D4E}"/>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2"/>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82" t="str">
        <f>Overview!B4&amp;" - Illustrative LLFs in WPD South West Area (GSP Group_L) for year beginning "&amp;TEXT(Overview!$D$4,"d mmmm yyyy")&amp;""</f>
        <v>Leep Electricity Networks Limited - Illustrative LLFs in WPD South West Area (GSP Group_L) for year beginning 1 April 2026</v>
      </c>
      <c r="B3" s="423"/>
      <c r="C3" s="423"/>
      <c r="D3" s="423"/>
      <c r="E3" s="424"/>
    </row>
    <row r="4" spans="1:9" ht="19.5" customHeight="1" x14ac:dyDescent="0.2">
      <c r="A4" s="505" t="s">
        <v>13</v>
      </c>
      <c r="B4" s="191" t="s">
        <v>5</v>
      </c>
      <c r="C4" s="191" t="s">
        <v>6</v>
      </c>
      <c r="D4" s="191" t="s">
        <v>7</v>
      </c>
      <c r="E4" s="191" t="s">
        <v>8</v>
      </c>
    </row>
    <row r="5" spans="1:9" ht="42.75" customHeight="1" x14ac:dyDescent="0.2">
      <c r="A5" s="506"/>
      <c r="B5" s="191" t="s">
        <v>5</v>
      </c>
      <c r="C5" s="191" t="s">
        <v>6</v>
      </c>
      <c r="D5" s="191" t="s">
        <v>7</v>
      </c>
      <c r="E5" s="191" t="s">
        <v>8</v>
      </c>
    </row>
    <row r="6" spans="1:9" ht="45" customHeight="1" x14ac:dyDescent="0.2">
      <c r="A6" s="199">
        <v>0</v>
      </c>
      <c r="B6" s="336" t="s">
        <v>2077</v>
      </c>
      <c r="C6" s="336" t="s">
        <v>2078</v>
      </c>
      <c r="D6" s="336" t="s">
        <v>2079</v>
      </c>
      <c r="E6" s="336" t="s">
        <v>2080</v>
      </c>
    </row>
    <row r="7" spans="1:9" ht="45" customHeight="1" x14ac:dyDescent="0.2">
      <c r="A7" s="199" t="s">
        <v>2081</v>
      </c>
      <c r="B7" s="336" t="s">
        <v>840</v>
      </c>
      <c r="C7" s="336" t="s">
        <v>840</v>
      </c>
      <c r="D7" s="336" t="s">
        <v>2145</v>
      </c>
      <c r="E7" s="336" t="s">
        <v>2146</v>
      </c>
    </row>
    <row r="8" spans="1:9" ht="45" customHeight="1" x14ac:dyDescent="0.2">
      <c r="A8" s="199" t="s">
        <v>2084</v>
      </c>
      <c r="B8" s="336" t="s">
        <v>469</v>
      </c>
      <c r="C8" s="336" t="s">
        <v>2147</v>
      </c>
      <c r="D8" s="336" t="s">
        <v>2145</v>
      </c>
      <c r="E8" s="336" t="s">
        <v>2148</v>
      </c>
    </row>
    <row r="9" spans="1:9" ht="25.5" customHeight="1" x14ac:dyDescent="0.2">
      <c r="A9" s="200" t="s">
        <v>14</v>
      </c>
      <c r="B9" s="510" t="s">
        <v>15</v>
      </c>
      <c r="C9" s="511"/>
      <c r="D9" s="511"/>
      <c r="E9" s="512"/>
    </row>
    <row r="10" spans="1:9" ht="12.75" customHeight="1" x14ac:dyDescent="0.2">
      <c r="A10" s="201"/>
      <c r="B10" s="202"/>
      <c r="C10" s="202"/>
      <c r="D10" s="202"/>
      <c r="E10" s="202"/>
    </row>
    <row r="11" spans="1:9" ht="12.75" customHeight="1" x14ac:dyDescent="0.2">
      <c r="A11" s="203"/>
      <c r="B11" s="202"/>
      <c r="C11" s="202"/>
      <c r="D11" s="202"/>
      <c r="E11" s="202"/>
    </row>
    <row r="12" spans="1:9" ht="22.5" customHeight="1" x14ac:dyDescent="0.2">
      <c r="A12" s="427" t="s">
        <v>482</v>
      </c>
      <c r="B12" s="499"/>
      <c r="C12" s="499"/>
      <c r="D12" s="499"/>
      <c r="E12" s="499"/>
      <c r="F12" s="428"/>
    </row>
    <row r="13" spans="1:9" ht="22.5" customHeight="1" x14ac:dyDescent="0.2">
      <c r="A13" s="427" t="s">
        <v>4</v>
      </c>
      <c r="B13" s="499"/>
      <c r="C13" s="499"/>
      <c r="D13" s="499"/>
      <c r="E13" s="499"/>
      <c r="F13" s="428"/>
    </row>
    <row r="14" spans="1:9" ht="33" customHeight="1" x14ac:dyDescent="0.2">
      <c r="A14" s="191" t="s">
        <v>483</v>
      </c>
      <c r="B14" s="191" t="s">
        <v>5</v>
      </c>
      <c r="C14" s="191" t="s">
        <v>6</v>
      </c>
      <c r="D14" s="191" t="s">
        <v>7</v>
      </c>
      <c r="E14" s="191" t="s">
        <v>8</v>
      </c>
      <c r="F14" s="191" t="s">
        <v>9</v>
      </c>
    </row>
    <row r="15" spans="1:9" ht="30" customHeight="1" x14ac:dyDescent="0.2">
      <c r="A15" s="204" t="s">
        <v>568</v>
      </c>
      <c r="B15" s="109"/>
      <c r="C15" s="109"/>
      <c r="D15" s="109"/>
      <c r="E15" s="109"/>
      <c r="F15" s="303"/>
    </row>
    <row r="16" spans="1:9" ht="22.5" customHeight="1" x14ac:dyDescent="0.2">
      <c r="A16" s="204" t="s">
        <v>569</v>
      </c>
      <c r="B16" s="109"/>
      <c r="C16" s="109"/>
      <c r="D16" s="109"/>
      <c r="E16" s="109"/>
      <c r="F16" s="303"/>
    </row>
    <row r="17" spans="1:7" ht="22.5" customHeight="1" x14ac:dyDescent="0.2">
      <c r="A17" s="204" t="s">
        <v>570</v>
      </c>
      <c r="B17" s="109"/>
      <c r="C17" s="109"/>
      <c r="D17" s="109"/>
      <c r="E17" s="109"/>
      <c r="F17" s="303"/>
    </row>
    <row r="18" spans="1:7" ht="22.5" customHeight="1" x14ac:dyDescent="0.2">
      <c r="A18" s="204" t="s">
        <v>571</v>
      </c>
      <c r="B18" s="109"/>
      <c r="C18" s="109"/>
      <c r="D18" s="109"/>
      <c r="E18" s="109"/>
      <c r="F18" s="303"/>
    </row>
    <row r="19" spans="1:7" ht="22.5" customHeight="1" x14ac:dyDescent="0.2">
      <c r="A19" s="204" t="s">
        <v>565</v>
      </c>
      <c r="B19" s="109"/>
      <c r="C19" s="109"/>
      <c r="D19" s="109"/>
      <c r="E19" s="109"/>
      <c r="F19" s="303" t="s">
        <v>840</v>
      </c>
      <c r="G19" s="305">
        <v>4</v>
      </c>
    </row>
    <row r="20" spans="1:7" ht="38.25" x14ac:dyDescent="0.2">
      <c r="A20" s="204" t="s">
        <v>564</v>
      </c>
      <c r="B20" s="109"/>
      <c r="C20" s="109"/>
      <c r="D20" s="109"/>
      <c r="E20" s="109"/>
      <c r="F20" s="303" t="s">
        <v>2190</v>
      </c>
      <c r="G20" s="305">
        <v>3</v>
      </c>
    </row>
    <row r="21" spans="1:7" ht="38.25" x14ac:dyDescent="0.2">
      <c r="A21" s="204" t="s">
        <v>563</v>
      </c>
      <c r="B21" s="109"/>
      <c r="C21" s="109"/>
      <c r="D21" s="109"/>
      <c r="E21" s="109"/>
      <c r="F21" s="303" t="s">
        <v>2191</v>
      </c>
      <c r="G21" s="305">
        <v>2</v>
      </c>
    </row>
    <row r="22" spans="1:7" ht="140.25" x14ac:dyDescent="0.2">
      <c r="A22" s="204" t="s">
        <v>562</v>
      </c>
      <c r="B22" s="109"/>
      <c r="C22" s="109"/>
      <c r="D22" s="109"/>
      <c r="E22" s="109"/>
      <c r="F22" s="303" t="s">
        <v>2192</v>
      </c>
      <c r="G22" s="305">
        <v>1</v>
      </c>
    </row>
    <row r="23" spans="1:7" ht="12.75" customHeight="1" x14ac:dyDescent="0.2"/>
    <row r="24" spans="1:7" ht="22.5" customHeight="1" x14ac:dyDescent="0.2">
      <c r="A24" s="427" t="s">
        <v>295</v>
      </c>
      <c r="B24" s="499"/>
      <c r="C24" s="499"/>
      <c r="D24" s="499"/>
      <c r="E24" s="499"/>
      <c r="F24" s="428"/>
    </row>
    <row r="25" spans="1:7" ht="22.5" customHeight="1" x14ac:dyDescent="0.2">
      <c r="A25" s="427" t="s">
        <v>11</v>
      </c>
      <c r="B25" s="499"/>
      <c r="C25" s="499"/>
      <c r="D25" s="499"/>
      <c r="E25" s="499"/>
      <c r="F25" s="428"/>
    </row>
    <row r="26" spans="1:7" ht="33" customHeight="1" x14ac:dyDescent="0.2">
      <c r="A26" s="191" t="s">
        <v>10</v>
      </c>
      <c r="B26" s="191" t="s">
        <v>5</v>
      </c>
      <c r="C26" s="191" t="s">
        <v>6</v>
      </c>
      <c r="D26" s="191" t="s">
        <v>7</v>
      </c>
      <c r="E26" s="191" t="s">
        <v>8</v>
      </c>
      <c r="F26" s="191" t="s">
        <v>9</v>
      </c>
    </row>
    <row r="27" spans="1:7" ht="22.5" customHeight="1" x14ac:dyDescent="0.2">
      <c r="A27" s="205"/>
      <c r="B27" s="195"/>
      <c r="C27" s="195"/>
      <c r="D27" s="195"/>
      <c r="E27" s="195"/>
      <c r="F27" s="206"/>
    </row>
    <row r="28" spans="1:7" ht="12.75" customHeight="1" x14ac:dyDescent="0.2"/>
    <row r="29" spans="1:7" ht="22.5" customHeight="1" x14ac:dyDescent="0.2">
      <c r="A29" s="427" t="s">
        <v>295</v>
      </c>
      <c r="B29" s="499"/>
      <c r="C29" s="499"/>
      <c r="D29" s="499"/>
      <c r="E29" s="499"/>
      <c r="F29" s="428"/>
    </row>
    <row r="30" spans="1:7" ht="22.5" customHeight="1" x14ac:dyDescent="0.2">
      <c r="A30" s="427" t="s">
        <v>12</v>
      </c>
      <c r="B30" s="499"/>
      <c r="C30" s="499"/>
      <c r="D30" s="499"/>
      <c r="E30" s="499"/>
      <c r="F30" s="428"/>
    </row>
    <row r="31" spans="1:7" ht="33" customHeight="1" x14ac:dyDescent="0.2">
      <c r="A31" s="191" t="s">
        <v>10</v>
      </c>
      <c r="B31" s="191" t="s">
        <v>5</v>
      </c>
      <c r="C31" s="191" t="s">
        <v>6</v>
      </c>
      <c r="D31" s="191" t="s">
        <v>7</v>
      </c>
      <c r="E31" s="191" t="s">
        <v>8</v>
      </c>
      <c r="F31" s="191" t="s">
        <v>9</v>
      </c>
    </row>
    <row r="32" spans="1:7" ht="22.5" customHeight="1" x14ac:dyDescent="0.2">
      <c r="A32" s="205"/>
      <c r="B32" s="195"/>
      <c r="C32" s="195"/>
      <c r="D32" s="195"/>
      <c r="E32" s="195"/>
      <c r="F32" s="206"/>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2" priority="1" operator="equal">
      <formula>""</formula>
    </cfRule>
  </conditionalFormatting>
  <hyperlinks>
    <hyperlink ref="A1" location="Overview!A1" display="Back to Overview" xr:uid="{E1AD3CAD-F7B0-4093-B1E2-BA977764939F}"/>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33"/>
  <sheetViews>
    <sheetView zoomScale="70" zoomScaleNormal="70" workbookViewId="0"/>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3" t="s">
        <v>574</v>
      </c>
      <c r="B2" s="493"/>
      <c r="C2" s="493"/>
      <c r="D2" s="493"/>
      <c r="E2" s="493"/>
      <c r="F2" s="493"/>
    </row>
    <row r="3" spans="1:7" ht="47.25" customHeight="1" x14ac:dyDescent="0.2">
      <c r="A3" s="382" t="str">
        <f>Overview!B4&amp;" - Illustrative LLFs in NPG Yorkshire Area (GSP Group_M) for year beginning "&amp;TEXT(Overview!$D$4,"d mmmm yyyy")&amp;""</f>
        <v>Leep Electricity Networks Limited - Illustrative LLFs in NPG Yorkshire Area (GSP Group_M) for year beginning 1 April 2026</v>
      </c>
      <c r="B3" s="423"/>
      <c r="C3" s="423"/>
      <c r="D3" s="423"/>
      <c r="E3" s="424"/>
    </row>
    <row r="4" spans="1:7" ht="19.5" customHeight="1" x14ac:dyDescent="0.2">
      <c r="A4" s="505" t="s">
        <v>13</v>
      </c>
      <c r="B4" s="191" t="s">
        <v>5</v>
      </c>
      <c r="C4" s="191" t="s">
        <v>6</v>
      </c>
      <c r="D4" s="191" t="s">
        <v>7</v>
      </c>
      <c r="E4" s="191" t="s">
        <v>8</v>
      </c>
    </row>
    <row r="5" spans="1:7" ht="37.5" customHeight="1" x14ac:dyDescent="0.2">
      <c r="A5" s="506"/>
      <c r="B5" s="191" t="s">
        <v>5</v>
      </c>
      <c r="C5" s="191" t="s">
        <v>6</v>
      </c>
      <c r="D5" s="191" t="s">
        <v>7</v>
      </c>
      <c r="E5" s="191" t="s">
        <v>8</v>
      </c>
    </row>
    <row r="6" spans="1:7" ht="45" customHeight="1" x14ac:dyDescent="0.2">
      <c r="A6" s="310">
        <v>0</v>
      </c>
      <c r="B6" s="336" t="s">
        <v>840</v>
      </c>
      <c r="C6" s="336" t="s">
        <v>840</v>
      </c>
      <c r="D6" s="336" t="s">
        <v>840</v>
      </c>
      <c r="E6" s="336" t="s">
        <v>840</v>
      </c>
    </row>
    <row r="7" spans="1:7" ht="45" customHeight="1" x14ac:dyDescent="0.2">
      <c r="A7" s="310">
        <v>0</v>
      </c>
      <c r="B7" s="336" t="s">
        <v>840</v>
      </c>
      <c r="C7" s="336" t="s">
        <v>840</v>
      </c>
      <c r="D7" s="336" t="s">
        <v>840</v>
      </c>
      <c r="E7" s="336" t="s">
        <v>840</v>
      </c>
    </row>
    <row r="8" spans="1:7" ht="45" customHeight="1" x14ac:dyDescent="0.2">
      <c r="A8" s="310">
        <v>0</v>
      </c>
      <c r="B8" s="336" t="s">
        <v>840</v>
      </c>
      <c r="C8" s="336" t="s">
        <v>840</v>
      </c>
      <c r="D8" s="336" t="s">
        <v>840</v>
      </c>
      <c r="E8" s="336" t="s">
        <v>840</v>
      </c>
    </row>
    <row r="9" spans="1:7" ht="45" customHeight="1" x14ac:dyDescent="0.2">
      <c r="A9" s="310">
        <v>0</v>
      </c>
      <c r="B9" s="336" t="s">
        <v>840</v>
      </c>
      <c r="C9" s="336" t="s">
        <v>840</v>
      </c>
      <c r="D9" s="336" t="s">
        <v>840</v>
      </c>
      <c r="E9" s="336" t="s">
        <v>840</v>
      </c>
      <c r="F9" s="22" t="s">
        <v>484</v>
      </c>
    </row>
    <row r="10" spans="1:7" ht="21.75" customHeight="1" x14ac:dyDescent="0.2">
      <c r="A10" s="172" t="s">
        <v>14</v>
      </c>
      <c r="B10" s="516" t="s">
        <v>15</v>
      </c>
      <c r="C10" s="516"/>
      <c r="D10" s="516"/>
      <c r="E10" s="516"/>
      <c r="F10" s="24" t="s">
        <v>484</v>
      </c>
    </row>
    <row r="11" spans="1:7" ht="12.75" customHeight="1" x14ac:dyDescent="0.2">
      <c r="A11" s="201"/>
      <c r="B11" s="202"/>
      <c r="C11" s="202"/>
      <c r="D11" s="202"/>
      <c r="E11" s="202"/>
    </row>
    <row r="12" spans="1:7" ht="12.75" customHeight="1" x14ac:dyDescent="0.2">
      <c r="B12" s="202"/>
      <c r="C12" s="202"/>
      <c r="D12" s="202"/>
      <c r="E12" s="202"/>
    </row>
    <row r="13" spans="1:7" ht="22.5" customHeight="1" x14ac:dyDescent="0.2">
      <c r="A13" s="427" t="s">
        <v>293</v>
      </c>
      <c r="B13" s="499"/>
      <c r="C13" s="499"/>
      <c r="D13" s="499"/>
      <c r="E13" s="499"/>
      <c r="F13" s="428"/>
    </row>
    <row r="14" spans="1:7" ht="22.5" customHeight="1" x14ac:dyDescent="0.2">
      <c r="A14" s="427" t="s">
        <v>4</v>
      </c>
      <c r="B14" s="499"/>
      <c r="C14" s="499"/>
      <c r="D14" s="499"/>
      <c r="E14" s="499"/>
      <c r="F14" s="428"/>
    </row>
    <row r="15" spans="1:7" ht="33" customHeight="1" x14ac:dyDescent="0.2">
      <c r="A15" s="191" t="s">
        <v>294</v>
      </c>
      <c r="B15" s="191" t="s">
        <v>5</v>
      </c>
      <c r="C15" s="191" t="s">
        <v>6</v>
      </c>
      <c r="D15" s="191" t="s">
        <v>7</v>
      </c>
      <c r="E15" s="191" t="s">
        <v>8</v>
      </c>
      <c r="F15" s="191" t="s">
        <v>9</v>
      </c>
    </row>
    <row r="16" spans="1:7" ht="229.5" x14ac:dyDescent="0.2">
      <c r="A16" s="204" t="s">
        <v>562</v>
      </c>
      <c r="B16" s="204"/>
      <c r="C16" s="204"/>
      <c r="D16" s="204"/>
      <c r="E16" s="204"/>
      <c r="F16" s="303" t="s">
        <v>2193</v>
      </c>
      <c r="G16" s="305">
        <v>1</v>
      </c>
    </row>
    <row r="17" spans="1:7" ht="63.75" x14ac:dyDescent="0.2">
      <c r="A17" s="204" t="s">
        <v>563</v>
      </c>
      <c r="B17" s="204"/>
      <c r="C17" s="204"/>
      <c r="D17" s="204"/>
      <c r="E17" s="204"/>
      <c r="F17" s="303" t="s">
        <v>2194</v>
      </c>
      <c r="G17" s="305">
        <v>2</v>
      </c>
    </row>
    <row r="18" spans="1:7" ht="38.25" x14ac:dyDescent="0.2">
      <c r="A18" s="204" t="s">
        <v>564</v>
      </c>
      <c r="B18" s="204"/>
      <c r="C18" s="204"/>
      <c r="D18" s="204"/>
      <c r="E18" s="204"/>
      <c r="F18" s="303" t="s">
        <v>2195</v>
      </c>
      <c r="G18" s="305">
        <v>3</v>
      </c>
    </row>
    <row r="19" spans="1:7" ht="22.5" customHeight="1" x14ac:dyDescent="0.2">
      <c r="A19" s="204" t="s">
        <v>565</v>
      </c>
      <c r="B19" s="204"/>
      <c r="C19" s="204"/>
      <c r="D19" s="204"/>
      <c r="E19" s="204"/>
      <c r="F19" s="303" t="s">
        <v>840</v>
      </c>
      <c r="G19" s="305">
        <v>4</v>
      </c>
    </row>
    <row r="20" spans="1:7" ht="30" customHeight="1" x14ac:dyDescent="0.2">
      <c r="A20" s="204" t="s">
        <v>566</v>
      </c>
      <c r="B20" s="204"/>
      <c r="C20" s="204"/>
      <c r="D20" s="204"/>
      <c r="E20" s="204"/>
      <c r="F20" s="303"/>
      <c r="G20" s="305"/>
    </row>
    <row r="21" spans="1:7" ht="30" customHeight="1" x14ac:dyDescent="0.2">
      <c r="A21" s="204" t="s">
        <v>567</v>
      </c>
      <c r="B21" s="204"/>
      <c r="C21" s="204"/>
      <c r="D21" s="204"/>
      <c r="E21" s="204"/>
      <c r="F21" s="303"/>
    </row>
    <row r="22" spans="1:7" ht="12.75" customHeight="1" x14ac:dyDescent="0.2"/>
    <row r="23" spans="1:7" ht="22.5" customHeight="1" x14ac:dyDescent="0.2">
      <c r="A23" s="427" t="s">
        <v>295</v>
      </c>
      <c r="B23" s="499"/>
      <c r="C23" s="499"/>
      <c r="D23" s="499"/>
      <c r="E23" s="499"/>
      <c r="F23" s="428"/>
    </row>
    <row r="24" spans="1:7" ht="22.5" customHeight="1" x14ac:dyDescent="0.2">
      <c r="A24" s="427" t="s">
        <v>11</v>
      </c>
      <c r="B24" s="499"/>
      <c r="C24" s="499"/>
      <c r="D24" s="499"/>
      <c r="E24" s="499"/>
      <c r="F24" s="428"/>
    </row>
    <row r="25" spans="1:7" ht="33" customHeight="1" x14ac:dyDescent="0.2">
      <c r="A25" s="191" t="s">
        <v>10</v>
      </c>
      <c r="B25" s="191" t="s">
        <v>5</v>
      </c>
      <c r="C25" s="191" t="s">
        <v>6</v>
      </c>
      <c r="D25" s="191" t="s">
        <v>7</v>
      </c>
      <c r="E25" s="191" t="s">
        <v>8</v>
      </c>
      <c r="F25" s="191" t="s">
        <v>9</v>
      </c>
    </row>
    <row r="26" spans="1:7" ht="22.5" customHeight="1" x14ac:dyDescent="0.2">
      <c r="A26" s="209"/>
      <c r="B26" s="212"/>
      <c r="C26" s="212"/>
      <c r="D26" s="212"/>
      <c r="E26" s="212"/>
      <c r="F26" s="209"/>
    </row>
    <row r="27" spans="1:7" ht="12.75" customHeight="1" x14ac:dyDescent="0.2">
      <c r="A27" s="209"/>
    </row>
    <row r="28" spans="1:7" ht="22.5" customHeight="1" x14ac:dyDescent="0.2">
      <c r="A28" s="427" t="s">
        <v>295</v>
      </c>
      <c r="B28" s="499"/>
      <c r="C28" s="499"/>
      <c r="D28" s="499"/>
      <c r="E28" s="499"/>
      <c r="F28" s="428"/>
    </row>
    <row r="29" spans="1:7" ht="22.5" customHeight="1" x14ac:dyDescent="0.2">
      <c r="A29" s="427" t="s">
        <v>12</v>
      </c>
      <c r="B29" s="499"/>
      <c r="C29" s="499"/>
      <c r="D29" s="499"/>
      <c r="E29" s="499"/>
      <c r="F29" s="428"/>
    </row>
    <row r="30" spans="1:7" ht="33" customHeight="1" x14ac:dyDescent="0.2">
      <c r="A30" s="191" t="s">
        <v>10</v>
      </c>
      <c r="B30" s="191" t="s">
        <v>5</v>
      </c>
      <c r="C30" s="191" t="s">
        <v>6</v>
      </c>
      <c r="D30" s="191" t="s">
        <v>7</v>
      </c>
      <c r="E30" s="191" t="s">
        <v>8</v>
      </c>
      <c r="F30" s="191" t="s">
        <v>9</v>
      </c>
    </row>
    <row r="31" spans="1:7" ht="22.5" customHeight="1" x14ac:dyDescent="0.2">
      <c r="A31" s="109"/>
      <c r="B31" s="195"/>
      <c r="C31" s="195"/>
      <c r="D31" s="195"/>
      <c r="E31" s="195"/>
      <c r="F31" s="213"/>
    </row>
    <row r="32" spans="1:7" x14ac:dyDescent="0.2">
      <c r="A32" s="214"/>
      <c r="B32" s="207"/>
      <c r="C32" s="207"/>
      <c r="D32" s="207"/>
      <c r="E32" s="207"/>
      <c r="F32" s="190"/>
    </row>
    <row r="33" spans="1:6" x14ac:dyDescent="0.2">
      <c r="A33" s="214"/>
      <c r="B33" s="207"/>
      <c r="C33" s="207"/>
      <c r="D33" s="207"/>
      <c r="E33" s="207"/>
      <c r="F33" s="190"/>
    </row>
  </sheetData>
  <mergeCells count="10">
    <mergeCell ref="A2:F2"/>
    <mergeCell ref="A23:F23"/>
    <mergeCell ref="A24:F24"/>
    <mergeCell ref="A28:F28"/>
    <mergeCell ref="A29:F29"/>
    <mergeCell ref="A3:E3"/>
    <mergeCell ref="A4:A5"/>
    <mergeCell ref="B10:E10"/>
    <mergeCell ref="A13:F13"/>
    <mergeCell ref="A14:F14"/>
  </mergeCells>
  <conditionalFormatting sqref="B6:E9">
    <cfRule type="cellIs" dxfId="11" priority="1" operator="equal">
      <formula>""</formula>
    </cfRule>
  </conditionalFormatting>
  <hyperlinks>
    <hyperlink ref="A1" location="Overview!A1" display="Back to Overview" xr:uid="{9C34B6C2-E72C-48C2-A5C4-5ED76B8BFCEE}"/>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pageSetUpPr fitToPage="1"/>
  </sheetPr>
  <dimension ref="A1:I32"/>
  <sheetViews>
    <sheetView zoomScale="70" zoomScaleNormal="70" workbookViewId="0"/>
  </sheetViews>
  <sheetFormatPr defaultColWidth="9.140625" defaultRowHeight="12.75" x14ac:dyDescent="0.2"/>
  <cols>
    <col min="1" max="6" width="24" style="22" customWidth="1"/>
    <col min="7" max="8" width="9.140625" style="22"/>
    <col min="9" max="9" width="14.5703125" style="22" customWidth="1"/>
    <col min="10" max="16384" width="9.140625" style="22"/>
  </cols>
  <sheetData>
    <row r="1" spans="1:9" s="98" customFormat="1" ht="27.75" customHeight="1" x14ac:dyDescent="0.2">
      <c r="A1" s="32" t="s">
        <v>19</v>
      </c>
      <c r="B1" s="111"/>
      <c r="D1" s="111"/>
      <c r="E1" s="111"/>
      <c r="F1" s="111"/>
      <c r="G1" s="178"/>
      <c r="H1" s="99"/>
      <c r="I1" s="99"/>
    </row>
    <row r="2" spans="1:9" ht="39.950000000000003" customHeight="1" x14ac:dyDescent="0.2">
      <c r="A2" s="493" t="s">
        <v>574</v>
      </c>
      <c r="B2" s="493"/>
      <c r="C2" s="493"/>
      <c r="D2" s="493"/>
      <c r="E2" s="493"/>
      <c r="F2" s="493"/>
    </row>
    <row r="3" spans="1:9" ht="47.25" customHeight="1" x14ac:dyDescent="0.2">
      <c r="A3" s="382" t="str">
        <f>Overview!B4&amp;" - Illustrative LLFs in SP Distribution Area (GSP Group _N) for year beginning "&amp;TEXT(Overview!$D$4,"d mmmm yyyy")&amp;""</f>
        <v>Leep Electricity Networks Limited - Illustrative LLFs in SP Distribution Area (GSP Group _N) for year beginning 1 April 2026</v>
      </c>
      <c r="B3" s="423"/>
      <c r="C3" s="423"/>
      <c r="D3" s="423"/>
      <c r="E3" s="424"/>
    </row>
    <row r="4" spans="1:9" ht="19.5" customHeight="1" x14ac:dyDescent="0.2">
      <c r="A4" s="505" t="s">
        <v>13</v>
      </c>
      <c r="B4" s="191" t="s">
        <v>5</v>
      </c>
      <c r="C4" s="191" t="s">
        <v>6</v>
      </c>
      <c r="D4" s="191" t="s">
        <v>7</v>
      </c>
      <c r="E4" s="191" t="s">
        <v>8</v>
      </c>
    </row>
    <row r="5" spans="1:9" ht="42.75" customHeight="1" x14ac:dyDescent="0.2">
      <c r="A5" s="506"/>
      <c r="B5" s="191" t="s">
        <v>2077</v>
      </c>
      <c r="C5" s="191" t="s">
        <v>2078</v>
      </c>
      <c r="D5" s="191" t="s">
        <v>2079</v>
      </c>
      <c r="E5" s="191" t="s">
        <v>2080</v>
      </c>
    </row>
    <row r="6" spans="1:9" ht="45" customHeight="1" x14ac:dyDescent="0.2">
      <c r="A6" s="308" t="s">
        <v>2100</v>
      </c>
      <c r="B6" s="336" t="s">
        <v>2101</v>
      </c>
      <c r="C6" s="336" t="s">
        <v>2102</v>
      </c>
      <c r="D6" s="336" t="s">
        <v>840</v>
      </c>
      <c r="E6" s="336" t="s">
        <v>840</v>
      </c>
    </row>
    <row r="7" spans="1:9" ht="45" customHeight="1" x14ac:dyDescent="0.2">
      <c r="A7" s="308" t="s">
        <v>854</v>
      </c>
      <c r="B7" s="336" t="s">
        <v>2101</v>
      </c>
      <c r="C7" s="336" t="s">
        <v>2103</v>
      </c>
      <c r="D7" s="336" t="s">
        <v>2104</v>
      </c>
      <c r="E7" s="336" t="s">
        <v>2085</v>
      </c>
    </row>
    <row r="8" spans="1:9" ht="45" customHeight="1" x14ac:dyDescent="0.2">
      <c r="A8" s="308" t="s">
        <v>841</v>
      </c>
      <c r="B8" s="336" t="s">
        <v>2101</v>
      </c>
      <c r="C8" s="336" t="s">
        <v>2102</v>
      </c>
      <c r="D8" s="336" t="s">
        <v>840</v>
      </c>
      <c r="E8" s="336" t="s">
        <v>840</v>
      </c>
    </row>
    <row r="9" spans="1:9" ht="25.5" customHeight="1" x14ac:dyDescent="0.2">
      <c r="A9" s="200" t="s">
        <v>14</v>
      </c>
      <c r="B9" s="510" t="s">
        <v>15</v>
      </c>
      <c r="C9" s="511"/>
      <c r="D9" s="511"/>
      <c r="E9" s="512"/>
    </row>
    <row r="10" spans="1:9" ht="12.75" customHeight="1" x14ac:dyDescent="0.2">
      <c r="A10" s="201"/>
      <c r="B10" s="202"/>
      <c r="C10" s="202"/>
      <c r="D10" s="202"/>
      <c r="E10" s="202"/>
    </row>
    <row r="11" spans="1:9" ht="12.75" customHeight="1" x14ac:dyDescent="0.2">
      <c r="A11" s="203"/>
      <c r="B11" s="202"/>
      <c r="C11" s="202"/>
      <c r="D11" s="202"/>
      <c r="E11" s="202"/>
    </row>
    <row r="12" spans="1:9" ht="22.5" customHeight="1" x14ac:dyDescent="0.2">
      <c r="A12" s="427" t="s">
        <v>482</v>
      </c>
      <c r="B12" s="499"/>
      <c r="C12" s="499"/>
      <c r="D12" s="499"/>
      <c r="E12" s="499"/>
      <c r="F12" s="428"/>
    </row>
    <row r="13" spans="1:9" ht="22.5" customHeight="1" x14ac:dyDescent="0.2">
      <c r="A13" s="427" t="s">
        <v>4</v>
      </c>
      <c r="B13" s="499"/>
      <c r="C13" s="499"/>
      <c r="D13" s="499"/>
      <c r="E13" s="499"/>
      <c r="F13" s="428"/>
    </row>
    <row r="14" spans="1:9" ht="33" customHeight="1" x14ac:dyDescent="0.2">
      <c r="A14" s="191" t="s">
        <v>483</v>
      </c>
      <c r="B14" s="191" t="s">
        <v>5</v>
      </c>
      <c r="C14" s="191" t="s">
        <v>6</v>
      </c>
      <c r="D14" s="191" t="s">
        <v>7</v>
      </c>
      <c r="E14" s="191" t="s">
        <v>8</v>
      </c>
      <c r="F14" s="191" t="s">
        <v>9</v>
      </c>
    </row>
    <row r="15" spans="1:9" ht="127.5" x14ac:dyDescent="0.2">
      <c r="A15" s="204" t="s">
        <v>555</v>
      </c>
      <c r="B15" s="109"/>
      <c r="C15" s="109"/>
      <c r="D15" s="109"/>
      <c r="E15" s="109"/>
      <c r="F15" s="303" t="s">
        <v>2196</v>
      </c>
      <c r="G15" s="305">
        <v>1</v>
      </c>
    </row>
    <row r="16" spans="1:9" ht="25.5" x14ac:dyDescent="0.2">
      <c r="A16" s="204" t="s">
        <v>556</v>
      </c>
      <c r="B16" s="109"/>
      <c r="C16" s="109"/>
      <c r="D16" s="109"/>
      <c r="E16" s="109"/>
      <c r="F16" s="303" t="s">
        <v>2197</v>
      </c>
      <c r="G16" s="305">
        <v>2</v>
      </c>
    </row>
    <row r="17" spans="1:7" ht="38.25" x14ac:dyDescent="0.2">
      <c r="A17" s="204" t="s">
        <v>557</v>
      </c>
      <c r="B17" s="109"/>
      <c r="C17" s="109"/>
      <c r="D17" s="109"/>
      <c r="E17" s="109"/>
      <c r="F17" s="303" t="s">
        <v>2198</v>
      </c>
      <c r="G17" s="305">
        <v>3</v>
      </c>
    </row>
    <row r="18" spans="1:7" ht="22.5" customHeight="1" x14ac:dyDescent="0.2">
      <c r="A18" s="204" t="s">
        <v>558</v>
      </c>
      <c r="B18" s="109"/>
      <c r="C18" s="109"/>
      <c r="D18" s="109"/>
      <c r="E18" s="109"/>
      <c r="F18" s="303" t="s">
        <v>840</v>
      </c>
      <c r="G18" s="305">
        <v>4</v>
      </c>
    </row>
    <row r="19" spans="1:7" ht="22.5" customHeight="1" x14ac:dyDescent="0.2">
      <c r="A19" s="204" t="s">
        <v>546</v>
      </c>
      <c r="B19" s="109"/>
      <c r="C19" s="109"/>
      <c r="D19" s="109"/>
      <c r="E19" s="109"/>
      <c r="F19" s="303"/>
    </row>
    <row r="20" spans="1:7" ht="22.5" customHeight="1" x14ac:dyDescent="0.2">
      <c r="A20" s="204" t="s">
        <v>547</v>
      </c>
      <c r="B20" s="109"/>
      <c r="C20" s="109"/>
      <c r="D20" s="109"/>
      <c r="E20" s="109"/>
      <c r="F20" s="303"/>
    </row>
    <row r="21" spans="1:7" ht="22.5" customHeight="1" x14ac:dyDescent="0.2">
      <c r="A21" s="204" t="s">
        <v>561</v>
      </c>
      <c r="B21" s="302"/>
      <c r="C21" s="302"/>
      <c r="D21" s="302"/>
      <c r="E21" s="302"/>
      <c r="F21" s="252"/>
    </row>
    <row r="22" spans="1:7" ht="22.5" customHeight="1" x14ac:dyDescent="0.2">
      <c r="A22" s="204" t="s">
        <v>561</v>
      </c>
      <c r="B22" s="302"/>
      <c r="C22" s="302"/>
      <c r="D22" s="302"/>
      <c r="E22" s="302"/>
      <c r="F22" s="252"/>
    </row>
    <row r="23" spans="1:7" ht="12.75" customHeight="1" x14ac:dyDescent="0.2"/>
    <row r="24" spans="1:7" ht="22.5" customHeight="1" x14ac:dyDescent="0.2">
      <c r="A24" s="427" t="s">
        <v>295</v>
      </c>
      <c r="B24" s="499"/>
      <c r="C24" s="499"/>
      <c r="D24" s="499"/>
      <c r="E24" s="499"/>
      <c r="F24" s="428"/>
    </row>
    <row r="25" spans="1:7" ht="22.5" customHeight="1" x14ac:dyDescent="0.2">
      <c r="A25" s="427" t="s">
        <v>11</v>
      </c>
      <c r="B25" s="499"/>
      <c r="C25" s="499"/>
      <c r="D25" s="499"/>
      <c r="E25" s="499"/>
      <c r="F25" s="428"/>
    </row>
    <row r="26" spans="1:7" ht="33" customHeight="1" x14ac:dyDescent="0.2">
      <c r="A26" s="191" t="s">
        <v>10</v>
      </c>
      <c r="B26" s="191" t="s">
        <v>5</v>
      </c>
      <c r="C26" s="191" t="s">
        <v>6</v>
      </c>
      <c r="D26" s="191" t="s">
        <v>7</v>
      </c>
      <c r="E26" s="191" t="s">
        <v>8</v>
      </c>
      <c r="F26" s="191" t="s">
        <v>9</v>
      </c>
    </row>
    <row r="27" spans="1:7" ht="22.5" customHeight="1" x14ac:dyDescent="0.2">
      <c r="A27" s="205"/>
      <c r="B27" s="195"/>
      <c r="C27" s="195"/>
      <c r="D27" s="195"/>
      <c r="E27" s="195"/>
      <c r="F27" s="206"/>
    </row>
    <row r="28" spans="1:7" ht="12.75" customHeight="1" x14ac:dyDescent="0.2"/>
    <row r="29" spans="1:7" ht="22.5" customHeight="1" x14ac:dyDescent="0.2">
      <c r="A29" s="427" t="s">
        <v>295</v>
      </c>
      <c r="B29" s="499"/>
      <c r="C29" s="499"/>
      <c r="D29" s="499"/>
      <c r="E29" s="499"/>
      <c r="F29" s="428"/>
    </row>
    <row r="30" spans="1:7" ht="22.5" customHeight="1" x14ac:dyDescent="0.2">
      <c r="A30" s="427" t="s">
        <v>12</v>
      </c>
      <c r="B30" s="499"/>
      <c r="C30" s="499"/>
      <c r="D30" s="499"/>
      <c r="E30" s="499"/>
      <c r="F30" s="428"/>
    </row>
    <row r="31" spans="1:7" ht="33" customHeight="1" x14ac:dyDescent="0.2">
      <c r="A31" s="191" t="s">
        <v>10</v>
      </c>
      <c r="B31" s="191" t="s">
        <v>5</v>
      </c>
      <c r="C31" s="191" t="s">
        <v>6</v>
      </c>
      <c r="D31" s="191" t="s">
        <v>7</v>
      </c>
      <c r="E31" s="191" t="s">
        <v>8</v>
      </c>
      <c r="F31" s="191" t="s">
        <v>9</v>
      </c>
    </row>
    <row r="32" spans="1:7" ht="22.5" customHeight="1" x14ac:dyDescent="0.2">
      <c r="A32" s="205"/>
      <c r="B32" s="195"/>
      <c r="C32" s="195"/>
      <c r="D32" s="195"/>
      <c r="E32" s="195"/>
      <c r="F32" s="206"/>
    </row>
  </sheetData>
  <mergeCells count="10">
    <mergeCell ref="A2:F2"/>
    <mergeCell ref="A24:F24"/>
    <mergeCell ref="A25:F25"/>
    <mergeCell ref="A29:F29"/>
    <mergeCell ref="A30:F30"/>
    <mergeCell ref="A3:E3"/>
    <mergeCell ref="A4:A5"/>
    <mergeCell ref="B9:E9"/>
    <mergeCell ref="A12:F12"/>
    <mergeCell ref="A13:F13"/>
  </mergeCells>
  <conditionalFormatting sqref="B6:E8">
    <cfRule type="cellIs" dxfId="10" priority="1" operator="equal">
      <formula>""</formula>
    </cfRule>
  </conditionalFormatting>
  <hyperlinks>
    <hyperlink ref="A1" location="Overview!A1" display="Back to Overview" xr:uid="{73F404CC-3508-4FB1-8366-A46F0B2D190A}"/>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pageSetUpPr fitToPage="1"/>
  </sheetPr>
  <dimension ref="A1:G31"/>
  <sheetViews>
    <sheetView zoomScale="70" zoomScaleNormal="70" workbookViewId="0"/>
  </sheetViews>
  <sheetFormatPr defaultColWidth="9.140625" defaultRowHeight="12.75" x14ac:dyDescent="0.2"/>
  <cols>
    <col min="1" max="6" width="24" style="22" customWidth="1"/>
    <col min="7" max="16384" width="9.140625" style="22"/>
  </cols>
  <sheetData>
    <row r="1" spans="1:7" ht="27.75" customHeight="1" x14ac:dyDescent="0.2">
      <c r="A1" s="32" t="s">
        <v>19</v>
      </c>
    </row>
    <row r="2" spans="1:7" ht="39.950000000000003" customHeight="1" x14ac:dyDescent="0.2">
      <c r="A2" s="493" t="s">
        <v>574</v>
      </c>
      <c r="B2" s="493"/>
      <c r="C2" s="493"/>
      <c r="D2" s="493"/>
      <c r="E2" s="493"/>
      <c r="F2" s="493"/>
    </row>
    <row r="3" spans="1:7" ht="47.25" customHeight="1" x14ac:dyDescent="0.2">
      <c r="A3" s="382" t="str">
        <f>Overview!B4&amp;" - Illustrative LLFs in SSE SHEPD Area (GSP Group_P) for year beginning "&amp;TEXT(Overview!$D$4,"d mmmm yyyy")&amp;""</f>
        <v>Leep Electricity Networks Limited - Illustrative LLFs in SSE SHEPD Area (GSP Group_P) for year beginning 1 April 2026</v>
      </c>
      <c r="B3" s="423"/>
      <c r="C3" s="423"/>
      <c r="D3" s="423"/>
      <c r="E3" s="424"/>
    </row>
    <row r="4" spans="1:7" ht="19.5" customHeight="1" x14ac:dyDescent="0.2">
      <c r="A4" s="505" t="s">
        <v>13</v>
      </c>
      <c r="B4" s="191" t="s">
        <v>5</v>
      </c>
      <c r="C4" s="191" t="s">
        <v>6</v>
      </c>
      <c r="D4" s="191" t="s">
        <v>7</v>
      </c>
      <c r="E4" s="191" t="s">
        <v>8</v>
      </c>
    </row>
    <row r="5" spans="1:7" ht="37.5" customHeight="1" x14ac:dyDescent="0.2">
      <c r="A5" s="506"/>
      <c r="B5" s="191" t="s">
        <v>2077</v>
      </c>
      <c r="C5" s="191" t="s">
        <v>2078</v>
      </c>
      <c r="D5" s="191" t="s">
        <v>2079</v>
      </c>
      <c r="E5" s="191" t="s">
        <v>2080</v>
      </c>
    </row>
    <row r="6" spans="1:7" ht="45" customHeight="1" x14ac:dyDescent="0.2">
      <c r="A6" s="200" t="s">
        <v>2155</v>
      </c>
      <c r="B6" s="336" t="s">
        <v>2156</v>
      </c>
      <c r="C6" s="336" t="s">
        <v>2156</v>
      </c>
      <c r="D6" s="336" t="s">
        <v>2156</v>
      </c>
      <c r="E6" s="336" t="s">
        <v>2156</v>
      </c>
    </row>
    <row r="7" spans="1:7" ht="45" customHeight="1" x14ac:dyDescent="0.2">
      <c r="A7" s="200" t="s">
        <v>2155</v>
      </c>
      <c r="B7" s="336" t="s">
        <v>2156</v>
      </c>
      <c r="C7" s="336" t="s">
        <v>2156</v>
      </c>
      <c r="D7" s="336" t="s">
        <v>2156</v>
      </c>
      <c r="E7" s="336" t="s">
        <v>2156</v>
      </c>
    </row>
    <row r="8" spans="1:7" ht="21.75" customHeight="1" x14ac:dyDescent="0.2">
      <c r="A8" s="172" t="s">
        <v>14</v>
      </c>
      <c r="B8" s="516" t="s">
        <v>15</v>
      </c>
      <c r="C8" s="516"/>
      <c r="D8" s="516"/>
      <c r="E8" s="516"/>
      <c r="F8" s="24" t="s">
        <v>484</v>
      </c>
    </row>
    <row r="9" spans="1:7" ht="12.75" customHeight="1" x14ac:dyDescent="0.2">
      <c r="A9" s="201"/>
      <c r="B9" s="202"/>
      <c r="C9" s="202"/>
      <c r="D9" s="202"/>
      <c r="E9" s="202"/>
    </row>
    <row r="10" spans="1:7" ht="12.75" customHeight="1" x14ac:dyDescent="0.2">
      <c r="B10" s="202"/>
      <c r="C10" s="202"/>
      <c r="D10" s="202"/>
      <c r="E10" s="202"/>
    </row>
    <row r="11" spans="1:7" ht="22.5" customHeight="1" x14ac:dyDescent="0.2">
      <c r="A11" s="427" t="s">
        <v>293</v>
      </c>
      <c r="B11" s="499"/>
      <c r="C11" s="499"/>
      <c r="D11" s="499"/>
      <c r="E11" s="499"/>
      <c r="F11" s="428"/>
    </row>
    <row r="12" spans="1:7" ht="22.5" customHeight="1" x14ac:dyDescent="0.2">
      <c r="A12" s="427" t="s">
        <v>4</v>
      </c>
      <c r="B12" s="499"/>
      <c r="C12" s="499"/>
      <c r="D12" s="499"/>
      <c r="E12" s="499"/>
      <c r="F12" s="428"/>
    </row>
    <row r="13" spans="1:7" ht="33" customHeight="1" x14ac:dyDescent="0.2">
      <c r="A13" s="191" t="s">
        <v>294</v>
      </c>
      <c r="B13" s="191" t="s">
        <v>5</v>
      </c>
      <c r="C13" s="191" t="s">
        <v>6</v>
      </c>
      <c r="D13" s="191" t="s">
        <v>7</v>
      </c>
      <c r="E13" s="191" t="s">
        <v>8</v>
      </c>
      <c r="F13" s="191" t="s">
        <v>9</v>
      </c>
    </row>
    <row r="14" spans="1:7" ht="89.25" x14ac:dyDescent="0.2">
      <c r="A14" s="204" t="s">
        <v>555</v>
      </c>
      <c r="B14" s="109"/>
      <c r="C14" s="109"/>
      <c r="D14" s="109"/>
      <c r="E14" s="109"/>
      <c r="F14" s="303" t="s">
        <v>2199</v>
      </c>
      <c r="G14" s="305">
        <v>1</v>
      </c>
    </row>
    <row r="15" spans="1:7" ht="25.5" x14ac:dyDescent="0.2">
      <c r="A15" s="204" t="s">
        <v>556</v>
      </c>
      <c r="B15" s="109"/>
      <c r="C15" s="109"/>
      <c r="D15" s="109"/>
      <c r="E15" s="109"/>
      <c r="F15" s="303" t="s">
        <v>2200</v>
      </c>
      <c r="G15" s="305">
        <v>2</v>
      </c>
    </row>
    <row r="16" spans="1:7" ht="25.5" x14ac:dyDescent="0.2">
      <c r="A16" s="204" t="s">
        <v>557</v>
      </c>
      <c r="B16" s="109"/>
      <c r="C16" s="109"/>
      <c r="D16" s="109"/>
      <c r="E16" s="109"/>
      <c r="F16" s="303" t="s">
        <v>2201</v>
      </c>
      <c r="G16" s="305">
        <v>3</v>
      </c>
    </row>
    <row r="17" spans="1:7" ht="22.5" customHeight="1" x14ac:dyDescent="0.2">
      <c r="A17" s="204" t="s">
        <v>558</v>
      </c>
      <c r="B17" s="109"/>
      <c r="C17" s="109"/>
      <c r="D17" s="109"/>
      <c r="E17" s="109"/>
      <c r="F17" s="303" t="s">
        <v>840</v>
      </c>
      <c r="G17" s="305">
        <v>4</v>
      </c>
    </row>
    <row r="18" spans="1:7" ht="30" customHeight="1" x14ac:dyDescent="0.2">
      <c r="A18" s="204" t="s">
        <v>559</v>
      </c>
      <c r="B18" s="109"/>
      <c r="C18" s="109"/>
      <c r="D18" s="109"/>
      <c r="E18" s="109"/>
      <c r="F18" s="303" t="s">
        <v>2202</v>
      </c>
      <c r="G18" s="305"/>
    </row>
    <row r="19" spans="1:7" ht="30" customHeight="1" x14ac:dyDescent="0.2">
      <c r="A19" s="204" t="s">
        <v>560</v>
      </c>
      <c r="B19" s="285"/>
      <c r="C19" s="285"/>
      <c r="D19" s="285"/>
      <c r="E19" s="285"/>
      <c r="F19" s="285"/>
    </row>
    <row r="20" spans="1:7" ht="12.75" customHeight="1" x14ac:dyDescent="0.2"/>
    <row r="21" spans="1:7" ht="22.5" customHeight="1" x14ac:dyDescent="0.2">
      <c r="A21" s="427" t="s">
        <v>295</v>
      </c>
      <c r="B21" s="499"/>
      <c r="C21" s="499"/>
      <c r="D21" s="499"/>
      <c r="E21" s="499"/>
      <c r="F21" s="428"/>
    </row>
    <row r="22" spans="1:7" ht="22.5" customHeight="1" x14ac:dyDescent="0.2">
      <c r="A22" s="427" t="s">
        <v>11</v>
      </c>
      <c r="B22" s="499"/>
      <c r="C22" s="499"/>
      <c r="D22" s="499"/>
      <c r="E22" s="499"/>
      <c r="F22" s="428"/>
    </row>
    <row r="23" spans="1:7" ht="33" customHeight="1" x14ac:dyDescent="0.2">
      <c r="A23" s="191" t="s">
        <v>10</v>
      </c>
      <c r="B23" s="191" t="s">
        <v>5</v>
      </c>
      <c r="C23" s="191" t="s">
        <v>6</v>
      </c>
      <c r="D23" s="191" t="s">
        <v>7</v>
      </c>
      <c r="E23" s="191" t="s">
        <v>8</v>
      </c>
      <c r="F23" s="191" t="s">
        <v>9</v>
      </c>
    </row>
    <row r="24" spans="1:7" ht="22.5" customHeight="1" x14ac:dyDescent="0.2">
      <c r="A24" s="209"/>
      <c r="B24" s="212"/>
      <c r="C24" s="212"/>
      <c r="D24" s="212"/>
      <c r="E24" s="212"/>
      <c r="F24" s="209"/>
    </row>
    <row r="25" spans="1:7" ht="12.75" customHeight="1" x14ac:dyDescent="0.2">
      <c r="A25" s="209"/>
    </row>
    <row r="26" spans="1:7" ht="22.5" customHeight="1" x14ac:dyDescent="0.2">
      <c r="A26" s="427" t="s">
        <v>295</v>
      </c>
      <c r="B26" s="499"/>
      <c r="C26" s="499"/>
      <c r="D26" s="499"/>
      <c r="E26" s="499"/>
      <c r="F26" s="428"/>
    </row>
    <row r="27" spans="1:7" ht="22.5" customHeight="1" x14ac:dyDescent="0.2">
      <c r="A27" s="427" t="s">
        <v>12</v>
      </c>
      <c r="B27" s="499"/>
      <c r="C27" s="499"/>
      <c r="D27" s="499"/>
      <c r="E27" s="499"/>
      <c r="F27" s="428"/>
    </row>
    <row r="28" spans="1:7" ht="33" customHeight="1" x14ac:dyDescent="0.2">
      <c r="A28" s="191" t="s">
        <v>10</v>
      </c>
      <c r="B28" s="191" t="s">
        <v>5</v>
      </c>
      <c r="C28" s="191" t="s">
        <v>6</v>
      </c>
      <c r="D28" s="191" t="s">
        <v>7</v>
      </c>
      <c r="E28" s="191" t="s">
        <v>8</v>
      </c>
      <c r="F28" s="191" t="s">
        <v>9</v>
      </c>
    </row>
    <row r="29" spans="1:7" ht="22.5" customHeight="1" x14ac:dyDescent="0.2">
      <c r="A29" s="109"/>
      <c r="B29" s="195"/>
      <c r="C29" s="195"/>
      <c r="D29" s="195"/>
      <c r="E29" s="195"/>
      <c r="F29" s="213"/>
    </row>
    <row r="30" spans="1:7" x14ac:dyDescent="0.2">
      <c r="A30" s="214"/>
      <c r="B30" s="207"/>
      <c r="C30" s="207"/>
      <c r="D30" s="207"/>
      <c r="E30" s="207"/>
      <c r="F30" s="190"/>
    </row>
    <row r="31" spans="1:7" x14ac:dyDescent="0.2">
      <c r="A31" s="214"/>
      <c r="B31" s="207"/>
      <c r="C31" s="207"/>
      <c r="D31" s="207"/>
      <c r="E31" s="207"/>
      <c r="F31" s="190"/>
    </row>
  </sheetData>
  <mergeCells count="10">
    <mergeCell ref="A2:F2"/>
    <mergeCell ref="A21:F21"/>
    <mergeCell ref="A22:F22"/>
    <mergeCell ref="A26:F26"/>
    <mergeCell ref="A27:F27"/>
    <mergeCell ref="A3:E3"/>
    <mergeCell ref="A4:A5"/>
    <mergeCell ref="B8:E8"/>
    <mergeCell ref="A11:F11"/>
    <mergeCell ref="A12:F12"/>
  </mergeCells>
  <conditionalFormatting sqref="B6:E7">
    <cfRule type="cellIs" dxfId="9" priority="1" operator="equal">
      <formula>""</formula>
    </cfRule>
  </conditionalFormatting>
  <hyperlinks>
    <hyperlink ref="A1" location="Overview!A1" display="Back to Overview" xr:uid="{B19ACF07-F2B6-4B13-99C4-614AF473A113}"/>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P128"/>
  <sheetViews>
    <sheetView zoomScale="80" zoomScaleNormal="80" workbookViewId="0"/>
  </sheetViews>
  <sheetFormatPr defaultColWidth="9.140625" defaultRowHeight="27.75" customHeight="1" x14ac:dyDescent="0.2"/>
  <cols>
    <col min="1" max="1" width="16" style="1" bestFit="1" customWidth="1"/>
    <col min="2" max="2" width="20.7109375" style="1" customWidth="1"/>
    <col min="3" max="3" width="22.28515625" style="2" customWidth="1"/>
    <col min="4" max="4" width="20.7109375" style="1" customWidth="1"/>
    <col min="5" max="5" width="21.5703125" style="2" customWidth="1"/>
    <col min="6" max="7" width="15.7109375" style="2" customWidth="1"/>
    <col min="8" max="8" width="15.7109375" style="7" customWidth="1"/>
    <col min="9" max="10" width="15.7109375" style="3" customWidth="1"/>
    <col min="11" max="12" width="15.7109375" style="1" customWidth="1"/>
    <col min="13" max="13" width="16.5703125" style="1" customWidth="1"/>
    <col min="14" max="15" width="15.5703125" style="1" customWidth="1"/>
    <col min="16" max="16" width="14.85546875" style="1" customWidth="1"/>
    <col min="17" max="16384" width="9.140625" style="1"/>
  </cols>
  <sheetData>
    <row r="1" spans="1:16" ht="56.25" customHeight="1" x14ac:dyDescent="0.2">
      <c r="A1" s="32" t="s">
        <v>19</v>
      </c>
      <c r="B1" s="32"/>
      <c r="D1" s="14"/>
      <c r="E1" s="245"/>
      <c r="F1" s="245"/>
    </row>
    <row r="2" spans="1:16" ht="27.75" customHeight="1" x14ac:dyDescent="0.2">
      <c r="A2" s="517" t="s">
        <v>496</v>
      </c>
      <c r="B2" s="517"/>
      <c r="C2" s="517"/>
      <c r="D2" s="517"/>
      <c r="E2" s="517"/>
      <c r="F2" s="517"/>
      <c r="G2" s="517"/>
      <c r="H2" s="517"/>
      <c r="I2" s="517"/>
      <c r="J2" s="517"/>
      <c r="K2" s="517"/>
      <c r="L2" s="517"/>
      <c r="M2" s="517"/>
      <c r="N2" s="517"/>
      <c r="O2" s="517"/>
      <c r="P2" s="517"/>
    </row>
    <row r="3" spans="1:16" ht="17.25" customHeight="1" x14ac:dyDescent="0.2">
      <c r="A3" s="32"/>
      <c r="B3" s="32"/>
      <c r="D3" s="14"/>
    </row>
    <row r="4" spans="1:16" s="8" customFormat="1" ht="39.950000000000003" customHeight="1" x14ac:dyDescent="0.2">
      <c r="A4" s="371" t="str">
        <f>Overview!B4&amp;" - Effective from "&amp;TEXT(Overview!$D$4,"d mmmm yyyy")&amp;" - Final new or amended EHV charges in UKPN EPN Area (GSP Group_A)"</f>
        <v>Leep Electricity Networks Limited - Effective from 1 April 2026 - Final new or amended EHV charges in UKPN EPN Area (GSP Group_A)</v>
      </c>
      <c r="B4" s="371"/>
      <c r="C4" s="371"/>
      <c r="D4" s="371"/>
      <c r="E4" s="371"/>
      <c r="F4" s="371"/>
      <c r="G4" s="371"/>
      <c r="H4" s="371"/>
      <c r="I4" s="371"/>
      <c r="J4" s="371"/>
      <c r="K4" s="371"/>
      <c r="L4" s="371"/>
      <c r="M4" s="371"/>
      <c r="N4" s="371"/>
      <c r="O4" s="215"/>
    </row>
    <row r="5" spans="1:16" ht="65.099999999999994" customHeight="1" x14ac:dyDescent="0.2">
      <c r="A5" s="19" t="s">
        <v>499</v>
      </c>
      <c r="B5" s="19" t="s">
        <v>475</v>
      </c>
      <c r="C5" s="19" t="s">
        <v>286</v>
      </c>
      <c r="D5" s="19" t="s">
        <v>476</v>
      </c>
      <c r="E5" s="19" t="s">
        <v>287</v>
      </c>
      <c r="F5" s="216" t="s">
        <v>29</v>
      </c>
      <c r="G5" s="130" t="s">
        <v>406</v>
      </c>
      <c r="H5" s="129" t="s">
        <v>297</v>
      </c>
      <c r="I5" s="129" t="s">
        <v>404</v>
      </c>
      <c r="J5" s="129" t="s">
        <v>460</v>
      </c>
      <c r="K5" s="129" t="s">
        <v>407</v>
      </c>
      <c r="L5" s="129" t="s">
        <v>298</v>
      </c>
      <c r="M5" s="129" t="s">
        <v>405</v>
      </c>
      <c r="N5" s="129" t="s">
        <v>461</v>
      </c>
      <c r="O5" s="215"/>
      <c r="P5" s="215"/>
    </row>
    <row r="6" spans="1:16" ht="22.5" customHeight="1" x14ac:dyDescent="0.2">
      <c r="A6" s="217"/>
      <c r="B6" s="217"/>
      <c r="C6" s="217"/>
      <c r="D6" s="217"/>
      <c r="E6" s="218"/>
      <c r="F6" s="219"/>
      <c r="G6" s="220"/>
      <c r="H6" s="221"/>
      <c r="I6" s="221"/>
      <c r="J6" s="221"/>
      <c r="K6" s="222"/>
      <c r="L6" s="223"/>
      <c r="M6" s="223"/>
      <c r="N6" s="223"/>
      <c r="O6" s="215"/>
    </row>
    <row r="7" spans="1:16" ht="22.5" customHeight="1" x14ac:dyDescent="0.2">
      <c r="A7" s="215"/>
      <c r="B7" s="215"/>
      <c r="C7" s="215"/>
      <c r="D7" s="224"/>
      <c r="E7" s="224"/>
      <c r="F7" s="224"/>
      <c r="G7" s="224"/>
      <c r="H7" s="225"/>
      <c r="I7" s="226"/>
      <c r="J7" s="226"/>
      <c r="K7" s="215"/>
      <c r="L7" s="215"/>
      <c r="M7" s="215"/>
      <c r="N7" s="215"/>
      <c r="O7" s="215"/>
    </row>
    <row r="8" spans="1:16" ht="39.950000000000003" customHeight="1" x14ac:dyDescent="0.2">
      <c r="A8" s="371" t="str">
        <f>Overview!B4&amp;" - Effective from "&amp;TEXT(Overview!$D$4,"d mmmm yyyy")&amp;" - Final new or amended EHV line loss factors in UKPN EPN Area (GSP Group_A)"</f>
        <v>Leep Electricity Networks Limited - Effective from 1 April 2026 - Final new or amended EHV line loss factors in UKPN EPN Area (GSP Group_A)</v>
      </c>
      <c r="B8" s="371"/>
      <c r="C8" s="371"/>
      <c r="D8" s="371"/>
      <c r="E8" s="371"/>
      <c r="F8" s="371"/>
      <c r="G8" s="371"/>
      <c r="H8" s="371"/>
      <c r="I8" s="371"/>
      <c r="J8" s="371"/>
      <c r="K8" s="371"/>
      <c r="L8" s="371"/>
      <c r="M8" s="371"/>
      <c r="N8" s="371"/>
      <c r="O8" s="371"/>
      <c r="P8" s="371"/>
    </row>
    <row r="9" spans="1:16" ht="65.099999999999994" customHeight="1" x14ac:dyDescent="0.2">
      <c r="A9" s="19" t="s">
        <v>499</v>
      </c>
      <c r="B9" s="19" t="s">
        <v>475</v>
      </c>
      <c r="C9" s="19" t="s">
        <v>286</v>
      </c>
      <c r="D9" s="19" t="s">
        <v>476</v>
      </c>
      <c r="E9" s="19" t="s">
        <v>287</v>
      </c>
      <c r="F9" s="216" t="s">
        <v>29</v>
      </c>
      <c r="G9" s="227" t="s">
        <v>485</v>
      </c>
      <c r="H9" s="227" t="s">
        <v>486</v>
      </c>
      <c r="I9" s="227" t="s">
        <v>487</v>
      </c>
      <c r="J9" s="227" t="s">
        <v>488</v>
      </c>
      <c r="K9" s="227" t="s">
        <v>489</v>
      </c>
      <c r="L9" s="228" t="s">
        <v>490</v>
      </c>
      <c r="M9" s="228" t="s">
        <v>491</v>
      </c>
      <c r="N9" s="228" t="s">
        <v>492</v>
      </c>
      <c r="O9" s="228" t="s">
        <v>493</v>
      </c>
      <c r="P9" s="228" t="s">
        <v>494</v>
      </c>
    </row>
    <row r="10" spans="1:16" ht="22.5" customHeight="1" x14ac:dyDescent="0.2">
      <c r="A10" s="217"/>
      <c r="B10" s="217"/>
      <c r="C10" s="217"/>
      <c r="D10" s="217"/>
      <c r="E10" s="218"/>
      <c r="F10" s="229"/>
      <c r="G10" s="230"/>
      <c r="H10" s="230"/>
      <c r="I10" s="231"/>
      <c r="J10" s="232"/>
      <c r="K10" s="232"/>
      <c r="L10" s="233"/>
      <c r="M10" s="233"/>
      <c r="N10" s="233"/>
      <c r="O10" s="233"/>
      <c r="P10" s="233"/>
    </row>
    <row r="11" spans="1:16" ht="22.5" customHeight="1" thickBot="1" x14ac:dyDescent="0.25">
      <c r="A11" s="234"/>
      <c r="B11" s="234"/>
      <c r="C11" s="234"/>
      <c r="D11" s="235"/>
      <c r="E11" s="235"/>
      <c r="F11" s="235"/>
      <c r="G11" s="235"/>
      <c r="H11" s="236"/>
      <c r="I11" s="237"/>
      <c r="J11" s="237"/>
      <c r="K11" s="234"/>
      <c r="L11" s="234"/>
      <c r="M11" s="234"/>
      <c r="N11" s="234"/>
      <c r="O11" s="234"/>
      <c r="P11" s="234"/>
    </row>
    <row r="12" spans="1:16" ht="22.5" customHeight="1" x14ac:dyDescent="0.2">
      <c r="A12" s="215"/>
      <c r="B12" s="215"/>
      <c r="C12" s="215"/>
      <c r="D12" s="224"/>
      <c r="E12" s="224"/>
      <c r="F12" s="224"/>
      <c r="G12" s="224"/>
      <c r="H12" s="225"/>
      <c r="I12" s="226"/>
      <c r="J12" s="226"/>
      <c r="K12" s="215"/>
      <c r="L12" s="215"/>
      <c r="M12" s="215"/>
      <c r="N12" s="215"/>
      <c r="O12" s="215"/>
    </row>
    <row r="13" spans="1:16" ht="39.950000000000003" customHeight="1" x14ac:dyDescent="0.2">
      <c r="A13" s="518" t="str">
        <f>Overview!B4&amp;" - Effective from "&amp;TEXT(Overview!$D$4,"d mmmm yyyy")&amp;" - Final new or amended EHV charges in WPD EM Area (GSP Group_B)"</f>
        <v>Leep Electricity Networks Limited - Effective from 1 April 2026 - Final new or amended EHV charges in WPD EM Area (GSP Group_B)</v>
      </c>
      <c r="B13" s="518"/>
      <c r="C13" s="518"/>
      <c r="D13" s="518"/>
      <c r="E13" s="518"/>
      <c r="F13" s="518"/>
      <c r="G13" s="518"/>
      <c r="H13" s="518"/>
      <c r="I13" s="518"/>
      <c r="J13" s="518"/>
      <c r="K13" s="518"/>
      <c r="L13" s="518"/>
      <c r="M13" s="518"/>
      <c r="N13" s="518"/>
      <c r="O13" s="215"/>
    </row>
    <row r="14" spans="1:16" ht="65.099999999999994" customHeight="1" x14ac:dyDescent="0.2">
      <c r="A14" s="19" t="s">
        <v>499</v>
      </c>
      <c r="B14" s="19" t="s">
        <v>475</v>
      </c>
      <c r="C14" s="19" t="s">
        <v>286</v>
      </c>
      <c r="D14" s="19" t="s">
        <v>476</v>
      </c>
      <c r="E14" s="19" t="s">
        <v>287</v>
      </c>
      <c r="F14" s="216" t="s">
        <v>29</v>
      </c>
      <c r="G14" s="130" t="s">
        <v>406</v>
      </c>
      <c r="H14" s="129" t="s">
        <v>297</v>
      </c>
      <c r="I14" s="129" t="s">
        <v>404</v>
      </c>
      <c r="J14" s="129" t="s">
        <v>460</v>
      </c>
      <c r="K14" s="129" t="s">
        <v>407</v>
      </c>
      <c r="L14" s="129" t="s">
        <v>298</v>
      </c>
      <c r="M14" s="129" t="s">
        <v>405</v>
      </c>
      <c r="N14" s="129" t="s">
        <v>461</v>
      </c>
      <c r="O14" s="215"/>
      <c r="P14" s="215"/>
    </row>
    <row r="15" spans="1:16" ht="22.5" customHeight="1" x14ac:dyDescent="0.2">
      <c r="A15" s="217"/>
      <c r="B15" s="217"/>
      <c r="C15" s="217"/>
      <c r="D15" s="217"/>
      <c r="E15" s="218"/>
      <c r="F15" s="219"/>
      <c r="G15" s="220"/>
      <c r="H15" s="221"/>
      <c r="I15" s="221"/>
      <c r="J15" s="221"/>
      <c r="K15" s="222"/>
      <c r="L15" s="223"/>
      <c r="M15" s="223"/>
      <c r="N15" s="223"/>
      <c r="O15" s="215"/>
      <c r="P15" s="215"/>
    </row>
    <row r="16" spans="1:16" ht="27.75" customHeight="1" x14ac:dyDescent="0.2">
      <c r="A16" s="215"/>
      <c r="B16" s="215"/>
      <c r="C16" s="215"/>
      <c r="D16" s="224"/>
      <c r="E16" s="224"/>
      <c r="F16" s="224"/>
      <c r="G16" s="224"/>
      <c r="H16" s="225"/>
      <c r="I16" s="226"/>
      <c r="J16" s="226"/>
      <c r="K16" s="215"/>
      <c r="L16" s="215"/>
      <c r="M16" s="215"/>
      <c r="N16" s="215"/>
      <c r="O16" s="215"/>
    </row>
    <row r="17" spans="1:16" ht="39.950000000000003" customHeight="1" x14ac:dyDescent="0.2">
      <c r="A17" s="371" t="str">
        <f>Overview!B4&amp;" - Effective from "&amp;TEXT(Overview!$D$4,"d mmmm yyyy")&amp;" - Final new or amended EHV line loss factors in WPD EM Area (GSP Group_B)"</f>
        <v>Leep Electricity Networks Limited - Effective from 1 April 2026 - Final new or amended EHV line loss factors in WPD EM Area (GSP Group_B)</v>
      </c>
      <c r="B17" s="371"/>
      <c r="C17" s="371"/>
      <c r="D17" s="371"/>
      <c r="E17" s="371"/>
      <c r="F17" s="371"/>
      <c r="G17" s="371"/>
      <c r="H17" s="371"/>
      <c r="I17" s="371"/>
      <c r="J17" s="371"/>
      <c r="K17" s="371"/>
      <c r="L17" s="371"/>
      <c r="M17" s="371"/>
      <c r="N17" s="371"/>
      <c r="O17" s="215"/>
    </row>
    <row r="18" spans="1:16" ht="65.099999999999994" customHeight="1" x14ac:dyDescent="0.2">
      <c r="A18" s="19" t="s">
        <v>499</v>
      </c>
      <c r="B18" s="19" t="s">
        <v>475</v>
      </c>
      <c r="C18" s="19" t="s">
        <v>286</v>
      </c>
      <c r="D18" s="19" t="s">
        <v>476</v>
      </c>
      <c r="E18" s="19" t="s">
        <v>287</v>
      </c>
      <c r="F18" s="216" t="s">
        <v>29</v>
      </c>
      <c r="G18" s="227" t="s">
        <v>485</v>
      </c>
      <c r="H18" s="227" t="s">
        <v>486</v>
      </c>
      <c r="I18" s="227" t="s">
        <v>487</v>
      </c>
      <c r="J18" s="227" t="s">
        <v>488</v>
      </c>
      <c r="K18" s="228" t="s">
        <v>490</v>
      </c>
      <c r="L18" s="228" t="s">
        <v>491</v>
      </c>
      <c r="M18" s="228" t="s">
        <v>492</v>
      </c>
      <c r="N18" s="228" t="s">
        <v>493</v>
      </c>
    </row>
    <row r="19" spans="1:16" ht="22.5" customHeight="1" x14ac:dyDescent="0.2">
      <c r="A19" s="217"/>
      <c r="B19" s="217"/>
      <c r="C19" s="217"/>
      <c r="D19" s="217"/>
      <c r="E19" s="218"/>
      <c r="F19" s="229"/>
      <c r="G19" s="230"/>
      <c r="H19" s="230"/>
      <c r="I19" s="231"/>
      <c r="J19" s="232"/>
      <c r="K19" s="233"/>
      <c r="L19" s="233"/>
      <c r="M19" s="233"/>
      <c r="N19" s="233"/>
    </row>
    <row r="20" spans="1:16" ht="22.5" customHeight="1" thickBot="1" x14ac:dyDescent="0.25">
      <c r="A20" s="234"/>
      <c r="B20" s="234"/>
      <c r="C20" s="234"/>
      <c r="D20" s="235"/>
      <c r="E20" s="235"/>
      <c r="F20" s="235"/>
      <c r="G20" s="235"/>
      <c r="H20" s="236"/>
      <c r="I20" s="237"/>
      <c r="J20" s="237"/>
      <c r="K20" s="234"/>
      <c r="L20" s="234"/>
      <c r="M20" s="234"/>
      <c r="N20" s="238"/>
      <c r="O20" s="238"/>
      <c r="P20" s="238"/>
    </row>
    <row r="21" spans="1:16" ht="22.5" customHeight="1" x14ac:dyDescent="0.2">
      <c r="A21" s="215"/>
      <c r="B21" s="215"/>
      <c r="C21" s="215"/>
      <c r="D21" s="224"/>
      <c r="E21" s="224"/>
      <c r="F21" s="224"/>
      <c r="G21" s="224"/>
      <c r="H21" s="225"/>
      <c r="I21" s="226"/>
      <c r="J21" s="226"/>
      <c r="K21" s="215"/>
      <c r="L21" s="215"/>
      <c r="M21" s="215"/>
      <c r="N21" s="215"/>
      <c r="O21" s="215"/>
    </row>
    <row r="22" spans="1:16" ht="39.950000000000003" customHeight="1" x14ac:dyDescent="0.2">
      <c r="A22" s="371" t="str">
        <f>Overview!B4&amp;" - Effective from "&amp;TEXT(Overview!$D$4,"d mmmm yyyy")&amp;" - Final new or amended EHV charges in UKPN LPN Area (GSP Group_C)"</f>
        <v>Leep Electricity Networks Limited - Effective from 1 April 2026 - Final new or amended EHV charges in UKPN LPN Area (GSP Group_C)</v>
      </c>
      <c r="B22" s="371"/>
      <c r="C22" s="371"/>
      <c r="D22" s="371"/>
      <c r="E22" s="371"/>
      <c r="F22" s="371"/>
      <c r="G22" s="371"/>
      <c r="H22" s="371"/>
      <c r="I22" s="371"/>
      <c r="J22" s="371"/>
      <c r="K22" s="371"/>
      <c r="L22" s="371"/>
      <c r="M22" s="371"/>
      <c r="N22" s="371"/>
      <c r="O22" s="215"/>
    </row>
    <row r="23" spans="1:16" ht="65.099999999999994" customHeight="1" x14ac:dyDescent="0.2">
      <c r="A23" s="19" t="s">
        <v>499</v>
      </c>
      <c r="B23" s="19" t="s">
        <v>475</v>
      </c>
      <c r="C23" s="19" t="s">
        <v>286</v>
      </c>
      <c r="D23" s="19" t="s">
        <v>476</v>
      </c>
      <c r="E23" s="19" t="s">
        <v>287</v>
      </c>
      <c r="F23" s="216" t="s">
        <v>29</v>
      </c>
      <c r="G23" s="130" t="s">
        <v>406</v>
      </c>
      <c r="H23" s="129" t="s">
        <v>297</v>
      </c>
      <c r="I23" s="129" t="s">
        <v>404</v>
      </c>
      <c r="J23" s="129" t="s">
        <v>460</v>
      </c>
      <c r="K23" s="129" t="s">
        <v>407</v>
      </c>
      <c r="L23" s="129" t="s">
        <v>298</v>
      </c>
      <c r="M23" s="129" t="s">
        <v>405</v>
      </c>
      <c r="N23" s="129" t="s">
        <v>461</v>
      </c>
      <c r="O23" s="215"/>
      <c r="P23" s="215"/>
    </row>
    <row r="24" spans="1:16" ht="22.5" customHeight="1" x14ac:dyDescent="0.2">
      <c r="A24" s="217"/>
      <c r="B24" s="217"/>
      <c r="C24" s="217"/>
      <c r="D24" s="217"/>
      <c r="E24" s="218"/>
      <c r="F24" s="219"/>
      <c r="G24" s="220"/>
      <c r="H24" s="221"/>
      <c r="I24" s="221"/>
      <c r="J24" s="221"/>
      <c r="K24" s="222"/>
      <c r="L24" s="223"/>
      <c r="M24" s="223"/>
      <c r="N24" s="223"/>
      <c r="O24" s="215"/>
      <c r="P24" s="215"/>
    </row>
    <row r="25" spans="1:16" ht="22.5" customHeight="1" x14ac:dyDescent="0.2">
      <c r="A25" s="215"/>
      <c r="B25" s="215"/>
      <c r="C25" s="215"/>
      <c r="D25" s="224"/>
      <c r="E25" s="224"/>
      <c r="F25" s="224"/>
      <c r="G25" s="224"/>
      <c r="H25" s="225"/>
      <c r="I25" s="226"/>
      <c r="J25" s="226"/>
      <c r="K25" s="215"/>
      <c r="L25" s="215"/>
      <c r="M25" s="215"/>
      <c r="N25" s="215"/>
      <c r="O25" s="215"/>
    </row>
    <row r="26" spans="1:16" ht="39.950000000000003" customHeight="1" x14ac:dyDescent="0.2">
      <c r="A26" s="371" t="str">
        <f>Overview!B4&amp;" - Effective from "&amp;TEXT(Overview!$D$4,"d mmmm yyyy")&amp;" - Final new or amended EHV line loss factors in UKPN LPN Area (GSP Group_C)"</f>
        <v>Leep Electricity Networks Limited - Effective from 1 April 2026 - Final new or amended EHV line loss factors in UKPN LPN Area (GSP Group_C)</v>
      </c>
      <c r="B26" s="371"/>
      <c r="C26" s="371"/>
      <c r="D26" s="371"/>
      <c r="E26" s="371"/>
      <c r="F26" s="371"/>
      <c r="G26" s="371"/>
      <c r="H26" s="371"/>
      <c r="I26" s="371"/>
      <c r="J26" s="371"/>
      <c r="K26" s="371"/>
      <c r="L26" s="371"/>
      <c r="M26" s="371"/>
      <c r="N26" s="371"/>
      <c r="O26" s="371"/>
      <c r="P26" s="371"/>
    </row>
    <row r="27" spans="1:16" ht="65.099999999999994" customHeight="1" x14ac:dyDescent="0.2">
      <c r="A27" s="19" t="s">
        <v>499</v>
      </c>
      <c r="B27" s="19" t="s">
        <v>475</v>
      </c>
      <c r="C27" s="19" t="s">
        <v>286</v>
      </c>
      <c r="D27" s="19" t="s">
        <v>476</v>
      </c>
      <c r="E27" s="19" t="s">
        <v>287</v>
      </c>
      <c r="F27" s="216" t="s">
        <v>29</v>
      </c>
      <c r="G27" s="227" t="s">
        <v>485</v>
      </c>
      <c r="H27" s="227" t="s">
        <v>486</v>
      </c>
      <c r="I27" s="227" t="s">
        <v>487</v>
      </c>
      <c r="J27" s="227" t="s">
        <v>488</v>
      </c>
      <c r="K27" s="227" t="s">
        <v>489</v>
      </c>
      <c r="L27" s="228" t="s">
        <v>490</v>
      </c>
      <c r="M27" s="228" t="s">
        <v>491</v>
      </c>
      <c r="N27" s="228" t="s">
        <v>492</v>
      </c>
      <c r="O27" s="228" t="s">
        <v>493</v>
      </c>
      <c r="P27" s="228" t="s">
        <v>494</v>
      </c>
    </row>
    <row r="28" spans="1:16" ht="22.5" customHeight="1" x14ac:dyDescent="0.2">
      <c r="A28" s="217"/>
      <c r="B28" s="217"/>
      <c r="C28" s="217"/>
      <c r="D28" s="217"/>
      <c r="E28" s="218"/>
      <c r="F28" s="229"/>
      <c r="G28" s="230"/>
      <c r="H28" s="230"/>
      <c r="I28" s="231"/>
      <c r="J28" s="232"/>
      <c r="K28" s="232"/>
      <c r="L28" s="233"/>
      <c r="M28" s="233"/>
      <c r="N28" s="233"/>
      <c r="O28" s="233"/>
      <c r="P28" s="233"/>
    </row>
    <row r="29" spans="1:16" ht="27.75" customHeight="1" thickBot="1" x14ac:dyDescent="0.25">
      <c r="A29" s="234"/>
      <c r="B29" s="234"/>
      <c r="C29" s="234"/>
      <c r="D29" s="235"/>
      <c r="E29" s="235"/>
      <c r="F29" s="235"/>
      <c r="G29" s="235"/>
      <c r="H29" s="236"/>
      <c r="I29" s="237"/>
      <c r="J29" s="237"/>
      <c r="K29" s="234"/>
      <c r="L29" s="234"/>
      <c r="M29" s="234"/>
      <c r="N29" s="234"/>
      <c r="O29" s="234"/>
      <c r="P29" s="234"/>
    </row>
    <row r="30" spans="1:16" ht="27.75" customHeight="1" x14ac:dyDescent="0.2">
      <c r="A30" s="215"/>
      <c r="B30" s="215"/>
      <c r="C30" s="215"/>
      <c r="D30" s="224"/>
      <c r="E30" s="224"/>
      <c r="F30" s="224"/>
      <c r="G30" s="224"/>
      <c r="H30" s="225"/>
      <c r="I30" s="226"/>
      <c r="J30" s="226"/>
      <c r="K30" s="215"/>
      <c r="L30" s="215"/>
      <c r="M30" s="215"/>
      <c r="N30" s="215"/>
      <c r="O30" s="215"/>
    </row>
    <row r="31" spans="1:16" ht="39.950000000000003" customHeight="1" x14ac:dyDescent="0.2">
      <c r="A31" s="371" t="str">
        <f>Overview!B4&amp;" - Effective from "&amp;TEXT(Overview!$D$4,"d mmmm yyyy")&amp;" - Final new or amended EHV charges in SP Manweb Area (GSP Group_D)"</f>
        <v>Leep Electricity Networks Limited - Effective from 1 April 2026 - Final new or amended EHV charges in SP Manweb Area (GSP Group_D)</v>
      </c>
      <c r="B31" s="371"/>
      <c r="C31" s="371"/>
      <c r="D31" s="371"/>
      <c r="E31" s="371"/>
      <c r="F31" s="371"/>
      <c r="G31" s="371"/>
      <c r="H31" s="371"/>
      <c r="I31" s="371"/>
      <c r="J31" s="371"/>
      <c r="K31" s="371"/>
      <c r="L31" s="371"/>
      <c r="M31" s="371"/>
      <c r="N31" s="371"/>
      <c r="O31" s="215"/>
    </row>
    <row r="32" spans="1:16" ht="65.099999999999994" customHeight="1" x14ac:dyDescent="0.2">
      <c r="A32" s="19" t="s">
        <v>499</v>
      </c>
      <c r="B32" s="19" t="s">
        <v>475</v>
      </c>
      <c r="C32" s="19" t="s">
        <v>286</v>
      </c>
      <c r="D32" s="19" t="s">
        <v>476</v>
      </c>
      <c r="E32" s="19" t="s">
        <v>287</v>
      </c>
      <c r="F32" s="216" t="s">
        <v>29</v>
      </c>
      <c r="G32" s="130" t="s">
        <v>406</v>
      </c>
      <c r="H32" s="129" t="s">
        <v>297</v>
      </c>
      <c r="I32" s="129" t="s">
        <v>404</v>
      </c>
      <c r="J32" s="129" t="s">
        <v>460</v>
      </c>
      <c r="K32" s="129" t="s">
        <v>407</v>
      </c>
      <c r="L32" s="129" t="s">
        <v>298</v>
      </c>
      <c r="M32" s="129" t="s">
        <v>405</v>
      </c>
      <c r="N32" s="129" t="s">
        <v>461</v>
      </c>
      <c r="O32" s="215"/>
      <c r="P32" s="215"/>
    </row>
    <row r="33" spans="1:16" ht="22.5" customHeight="1" x14ac:dyDescent="0.2">
      <c r="A33" s="217"/>
      <c r="B33" s="217"/>
      <c r="C33" s="217"/>
      <c r="D33" s="217"/>
      <c r="E33" s="218"/>
      <c r="F33" s="219"/>
      <c r="G33" s="220"/>
      <c r="H33" s="221"/>
      <c r="I33" s="221"/>
      <c r="J33" s="221"/>
      <c r="K33" s="222"/>
      <c r="L33" s="223"/>
      <c r="M33" s="223"/>
      <c r="N33" s="223"/>
      <c r="O33" s="215"/>
      <c r="P33" s="215"/>
    </row>
    <row r="34" spans="1:16" ht="27.75" customHeight="1" x14ac:dyDescent="0.2">
      <c r="A34" s="215"/>
      <c r="B34" s="215"/>
      <c r="C34" s="215"/>
      <c r="D34" s="224"/>
      <c r="E34" s="224"/>
      <c r="F34" s="224"/>
      <c r="G34" s="224"/>
      <c r="H34" s="225"/>
      <c r="I34" s="226"/>
      <c r="J34" s="226"/>
      <c r="K34" s="215"/>
      <c r="L34" s="215"/>
      <c r="M34" s="215"/>
      <c r="N34" s="215"/>
      <c r="O34" s="215"/>
    </row>
    <row r="35" spans="1:16" ht="39.950000000000003" customHeight="1" x14ac:dyDescent="0.2">
      <c r="A35" s="371" t="str">
        <f>Overview!B4&amp;" - Effective from "&amp;TEXT(Overview!$D$4,"d mmmm yyyy")&amp;" - Final new or amended EHV line loss factors in SP Manweb Area (GSP Group_D)"</f>
        <v>Leep Electricity Networks Limited - Effective from 1 April 2026 - Final new or amended EHV line loss factors in SP Manweb Area (GSP Group_D)</v>
      </c>
      <c r="B35" s="371"/>
      <c r="C35" s="371"/>
      <c r="D35" s="371"/>
      <c r="E35" s="371"/>
      <c r="F35" s="371"/>
      <c r="G35" s="371"/>
      <c r="H35" s="371"/>
      <c r="I35" s="371"/>
      <c r="J35" s="371"/>
      <c r="K35" s="371"/>
      <c r="L35" s="371"/>
      <c r="M35" s="371"/>
      <c r="N35" s="371"/>
    </row>
    <row r="36" spans="1:16" ht="65.099999999999994" customHeight="1" x14ac:dyDescent="0.2">
      <c r="A36" s="19" t="s">
        <v>499</v>
      </c>
      <c r="B36" s="19" t="s">
        <v>475</v>
      </c>
      <c r="C36" s="19" t="s">
        <v>286</v>
      </c>
      <c r="D36" s="19" t="s">
        <v>476</v>
      </c>
      <c r="E36" s="19" t="s">
        <v>287</v>
      </c>
      <c r="F36" s="216" t="s">
        <v>29</v>
      </c>
      <c r="G36" s="227" t="s">
        <v>485</v>
      </c>
      <c r="H36" s="227" t="s">
        <v>486</v>
      </c>
      <c r="I36" s="227" t="s">
        <v>487</v>
      </c>
      <c r="J36" s="227" t="s">
        <v>488</v>
      </c>
      <c r="K36" s="228" t="s">
        <v>490</v>
      </c>
      <c r="L36" s="228" t="s">
        <v>491</v>
      </c>
      <c r="M36" s="228" t="s">
        <v>492</v>
      </c>
      <c r="N36" s="228" t="s">
        <v>493</v>
      </c>
    </row>
    <row r="37" spans="1:16" ht="22.5" customHeight="1" x14ac:dyDescent="0.2">
      <c r="A37" s="217"/>
      <c r="B37" s="217"/>
      <c r="C37" s="217"/>
      <c r="D37" s="217"/>
      <c r="E37" s="218"/>
      <c r="F37" s="229"/>
      <c r="G37" s="230"/>
      <c r="H37" s="230"/>
      <c r="I37" s="231"/>
      <c r="J37" s="232"/>
      <c r="K37" s="233"/>
      <c r="L37" s="233"/>
      <c r="M37" s="233"/>
      <c r="N37" s="233"/>
    </row>
    <row r="38" spans="1:16" ht="27.75" customHeight="1" thickBot="1" x14ac:dyDescent="0.25">
      <c r="A38" s="234"/>
      <c r="B38" s="234"/>
      <c r="C38" s="234"/>
      <c r="D38" s="235"/>
      <c r="E38" s="235"/>
      <c r="F38" s="235"/>
      <c r="G38" s="235"/>
      <c r="H38" s="236"/>
      <c r="I38" s="237"/>
      <c r="J38" s="237"/>
      <c r="K38" s="234"/>
      <c r="L38" s="234"/>
      <c r="M38" s="234"/>
      <c r="N38" s="238"/>
      <c r="O38" s="238"/>
      <c r="P38" s="238"/>
    </row>
    <row r="39" spans="1:16" ht="27.75" customHeight="1" x14ac:dyDescent="0.2">
      <c r="A39" s="215"/>
      <c r="B39" s="215"/>
      <c r="C39" s="215"/>
      <c r="D39" s="224"/>
      <c r="E39" s="224"/>
      <c r="F39" s="224"/>
      <c r="G39" s="224"/>
      <c r="H39" s="225"/>
      <c r="I39" s="226"/>
      <c r="J39" s="226"/>
      <c r="K39" s="215"/>
      <c r="L39" s="215"/>
      <c r="M39" s="215"/>
      <c r="N39" s="215"/>
      <c r="O39" s="215"/>
    </row>
    <row r="40" spans="1:16" ht="39.950000000000003" customHeight="1" x14ac:dyDescent="0.2">
      <c r="A40" s="371" t="str">
        <f>Overview!B4&amp;" - Effective from "&amp;TEXT(Overview!$D$4,"d mmmm yyyy")&amp;" - Final new or amended EHV charges in WPD West Midlands Area (GSP Group_E)"</f>
        <v>Leep Electricity Networks Limited - Effective from 1 April 2026 - Final new or amended EHV charges in WPD West Midlands Area (GSP Group_E)</v>
      </c>
      <c r="B40" s="371"/>
      <c r="C40" s="371"/>
      <c r="D40" s="371"/>
      <c r="E40" s="371"/>
      <c r="F40" s="371"/>
      <c r="G40" s="371"/>
      <c r="H40" s="371"/>
      <c r="I40" s="371"/>
      <c r="J40" s="371"/>
      <c r="K40" s="371"/>
      <c r="L40" s="371"/>
      <c r="M40" s="371"/>
      <c r="N40" s="371"/>
      <c r="O40" s="215"/>
    </row>
    <row r="41" spans="1:16" ht="65.099999999999994" customHeight="1" x14ac:dyDescent="0.2">
      <c r="A41" s="19" t="s">
        <v>499</v>
      </c>
      <c r="B41" s="19" t="s">
        <v>475</v>
      </c>
      <c r="C41" s="19" t="s">
        <v>286</v>
      </c>
      <c r="D41" s="19" t="s">
        <v>476</v>
      </c>
      <c r="E41" s="19" t="s">
        <v>287</v>
      </c>
      <c r="F41" s="216" t="s">
        <v>29</v>
      </c>
      <c r="G41" s="130" t="s">
        <v>406</v>
      </c>
      <c r="H41" s="129" t="s">
        <v>297</v>
      </c>
      <c r="I41" s="129" t="s">
        <v>404</v>
      </c>
      <c r="J41" s="129" t="s">
        <v>460</v>
      </c>
      <c r="K41" s="129" t="s">
        <v>407</v>
      </c>
      <c r="L41" s="129" t="s">
        <v>298</v>
      </c>
      <c r="M41" s="129" t="s">
        <v>405</v>
      </c>
      <c r="N41" s="129" t="s">
        <v>461</v>
      </c>
      <c r="O41" s="215"/>
      <c r="P41" s="215"/>
    </row>
    <row r="42" spans="1:16" ht="22.5" customHeight="1" x14ac:dyDescent="0.2">
      <c r="A42" s="217"/>
      <c r="B42" s="217"/>
      <c r="C42" s="217"/>
      <c r="D42" s="217"/>
      <c r="E42" s="218"/>
      <c r="F42" s="219"/>
      <c r="G42" s="220"/>
      <c r="H42" s="221"/>
      <c r="I42" s="221"/>
      <c r="J42" s="221"/>
      <c r="K42" s="222"/>
      <c r="L42" s="223"/>
      <c r="M42" s="223"/>
      <c r="N42" s="223"/>
      <c r="O42" s="215"/>
      <c r="P42" s="215"/>
    </row>
    <row r="43" spans="1:16" ht="27.75" customHeight="1" x14ac:dyDescent="0.2">
      <c r="A43" s="215"/>
      <c r="B43" s="215"/>
      <c r="C43" s="215"/>
      <c r="D43" s="224"/>
      <c r="E43" s="224"/>
      <c r="F43" s="224"/>
      <c r="G43" s="224"/>
      <c r="H43" s="225"/>
      <c r="I43" s="226"/>
      <c r="J43" s="226"/>
      <c r="K43" s="215"/>
      <c r="L43" s="215"/>
      <c r="M43" s="215"/>
      <c r="N43" s="215"/>
      <c r="O43" s="215"/>
    </row>
    <row r="44" spans="1:16" ht="39.950000000000003" customHeight="1" x14ac:dyDescent="0.2">
      <c r="A44" s="371" t="str">
        <f>Overview!B4&amp;" - Effective from "&amp;TEXT(Overview!$D$4,"d mmmm yyyy")&amp;" - Final new or amended EHV line loss factors in WPD West Midlands Area (GSP Group_E)"</f>
        <v>Leep Electricity Networks Limited - Effective from 1 April 2026 - Final new or amended EHV line loss factors in WPD West Midlands Area (GSP Group_E)</v>
      </c>
      <c r="B44" s="371"/>
      <c r="C44" s="371"/>
      <c r="D44" s="371"/>
      <c r="E44" s="371"/>
      <c r="F44" s="371"/>
      <c r="G44" s="371"/>
      <c r="H44" s="371"/>
      <c r="I44" s="371"/>
      <c r="J44" s="371"/>
      <c r="K44" s="371"/>
      <c r="L44" s="371"/>
      <c r="M44" s="371"/>
      <c r="N44" s="371"/>
    </row>
    <row r="45" spans="1:16" ht="65.099999999999994" customHeight="1" x14ac:dyDescent="0.2">
      <c r="A45" s="19" t="s">
        <v>499</v>
      </c>
      <c r="B45" s="19" t="s">
        <v>475</v>
      </c>
      <c r="C45" s="19" t="s">
        <v>286</v>
      </c>
      <c r="D45" s="19" t="s">
        <v>476</v>
      </c>
      <c r="E45" s="19" t="s">
        <v>287</v>
      </c>
      <c r="F45" s="216" t="s">
        <v>29</v>
      </c>
      <c r="G45" s="227" t="s">
        <v>485</v>
      </c>
      <c r="H45" s="227" t="s">
        <v>486</v>
      </c>
      <c r="I45" s="227" t="s">
        <v>487</v>
      </c>
      <c r="J45" s="227" t="s">
        <v>488</v>
      </c>
      <c r="K45" s="228" t="s">
        <v>490</v>
      </c>
      <c r="L45" s="228" t="s">
        <v>491</v>
      </c>
      <c r="M45" s="228" t="s">
        <v>492</v>
      </c>
      <c r="N45" s="228" t="s">
        <v>493</v>
      </c>
    </row>
    <row r="46" spans="1:16" ht="22.5" customHeight="1" x14ac:dyDescent="0.2">
      <c r="A46" s="217"/>
      <c r="B46" s="217"/>
      <c r="C46" s="217"/>
      <c r="D46" s="217"/>
      <c r="E46" s="218"/>
      <c r="F46" s="229"/>
      <c r="G46" s="230"/>
      <c r="H46" s="230"/>
      <c r="I46" s="231"/>
      <c r="J46" s="232"/>
      <c r="K46" s="233"/>
      <c r="L46" s="233"/>
      <c r="M46" s="233"/>
      <c r="N46" s="233"/>
    </row>
    <row r="47" spans="1:16" ht="27.75" customHeight="1" thickBot="1" x14ac:dyDescent="0.25">
      <c r="A47" s="234"/>
      <c r="B47" s="234"/>
      <c r="C47" s="234"/>
      <c r="D47" s="235"/>
      <c r="E47" s="235"/>
      <c r="F47" s="235"/>
      <c r="G47" s="235"/>
      <c r="H47" s="236"/>
      <c r="I47" s="237"/>
      <c r="J47" s="237"/>
      <c r="K47" s="234"/>
      <c r="L47" s="234"/>
      <c r="M47" s="234"/>
      <c r="N47" s="238"/>
      <c r="O47" s="238"/>
      <c r="P47" s="238"/>
    </row>
    <row r="48" spans="1:16" ht="27.75" customHeight="1" x14ac:dyDescent="0.2">
      <c r="A48" s="215"/>
      <c r="B48" s="215"/>
      <c r="C48" s="215"/>
      <c r="D48" s="224"/>
      <c r="E48" s="224"/>
      <c r="F48" s="224"/>
      <c r="G48" s="224"/>
      <c r="H48" s="225"/>
      <c r="I48" s="226"/>
      <c r="J48" s="226"/>
      <c r="K48" s="215"/>
      <c r="L48" s="215"/>
      <c r="M48" s="215"/>
      <c r="N48" s="215"/>
      <c r="O48" s="215"/>
    </row>
    <row r="49" spans="1:16" ht="39.950000000000003" customHeight="1" x14ac:dyDescent="0.2">
      <c r="A49" s="371" t="str">
        <f>Overview!B4&amp;" - Effective from "&amp;TEXT(Overview!$D$4,"d mmmm yyyy")&amp;" - Final new or amended EHV charges in NPG Northeast Area (GSP Group_F)"</f>
        <v>Leep Electricity Networks Limited - Effective from 1 April 2026 - Final new or amended EHV charges in NPG Northeast Area (GSP Group_F)</v>
      </c>
      <c r="B49" s="371"/>
      <c r="C49" s="371"/>
      <c r="D49" s="371"/>
      <c r="E49" s="371"/>
      <c r="F49" s="371"/>
      <c r="G49" s="371"/>
      <c r="H49" s="371"/>
      <c r="I49" s="371"/>
      <c r="J49" s="371"/>
      <c r="K49" s="371"/>
      <c r="L49" s="371"/>
      <c r="M49" s="371"/>
      <c r="N49" s="371"/>
      <c r="O49" s="215"/>
    </row>
    <row r="50" spans="1:16" ht="65.099999999999994" customHeight="1" x14ac:dyDescent="0.2">
      <c r="A50" s="19" t="s">
        <v>499</v>
      </c>
      <c r="B50" s="19" t="s">
        <v>475</v>
      </c>
      <c r="C50" s="19" t="s">
        <v>286</v>
      </c>
      <c r="D50" s="19" t="s">
        <v>476</v>
      </c>
      <c r="E50" s="19" t="s">
        <v>287</v>
      </c>
      <c r="F50" s="216" t="s">
        <v>29</v>
      </c>
      <c r="G50" s="130" t="s">
        <v>406</v>
      </c>
      <c r="H50" s="129" t="s">
        <v>297</v>
      </c>
      <c r="I50" s="129" t="s">
        <v>404</v>
      </c>
      <c r="J50" s="129" t="s">
        <v>460</v>
      </c>
      <c r="K50" s="129" t="s">
        <v>407</v>
      </c>
      <c r="L50" s="129" t="s">
        <v>298</v>
      </c>
      <c r="M50" s="129" t="s">
        <v>405</v>
      </c>
      <c r="N50" s="129" t="s">
        <v>461</v>
      </c>
      <c r="O50" s="215"/>
      <c r="P50" s="215"/>
    </row>
    <row r="51" spans="1:16" ht="22.5" customHeight="1" x14ac:dyDescent="0.2">
      <c r="A51" s="217"/>
      <c r="B51" s="217"/>
      <c r="C51" s="217"/>
      <c r="D51" s="217"/>
      <c r="E51" s="218"/>
      <c r="F51" s="219"/>
      <c r="G51" s="220"/>
      <c r="H51" s="221"/>
      <c r="I51" s="221"/>
      <c r="J51" s="221"/>
      <c r="K51" s="222"/>
      <c r="L51" s="223"/>
      <c r="M51" s="223"/>
      <c r="N51" s="223"/>
      <c r="O51" s="215"/>
      <c r="P51" s="215"/>
    </row>
    <row r="52" spans="1:16" ht="27.75" customHeight="1" x14ac:dyDescent="0.2">
      <c r="A52" s="215"/>
      <c r="B52" s="215"/>
      <c r="C52" s="215"/>
      <c r="D52" s="224"/>
      <c r="E52" s="224"/>
      <c r="F52" s="224"/>
      <c r="G52" s="224"/>
      <c r="H52" s="225"/>
      <c r="I52" s="226"/>
      <c r="J52" s="226"/>
      <c r="K52" s="215"/>
      <c r="L52" s="215"/>
      <c r="M52" s="215"/>
      <c r="N52" s="215"/>
      <c r="O52" s="215"/>
    </row>
    <row r="53" spans="1:16" ht="39.950000000000003" customHeight="1" x14ac:dyDescent="0.2">
      <c r="A53" s="371" t="str">
        <f>Overview!B4&amp;" - Effective from "&amp;TEXT(Overview!$D$4,"d mmmm yyyy")&amp;" - Final new or amended EHV line loss factors in NPG Northeast Area (GSP Group_F)"</f>
        <v>Leep Electricity Networks Limited - Effective from 1 April 2026 - Final new or amended EHV line loss factors in NPG Northeast Area (GSP Group_F)</v>
      </c>
      <c r="B53" s="371"/>
      <c r="C53" s="371"/>
      <c r="D53" s="371"/>
      <c r="E53" s="371"/>
      <c r="F53" s="371"/>
      <c r="G53" s="371"/>
      <c r="H53" s="371"/>
      <c r="I53" s="371"/>
      <c r="J53" s="371"/>
      <c r="K53" s="371"/>
      <c r="L53" s="371"/>
      <c r="M53" s="371"/>
      <c r="N53" s="371"/>
    </row>
    <row r="54" spans="1:16" ht="65.099999999999994" customHeight="1" x14ac:dyDescent="0.2">
      <c r="A54" s="19" t="s">
        <v>499</v>
      </c>
      <c r="B54" s="19" t="s">
        <v>475</v>
      </c>
      <c r="C54" s="19" t="s">
        <v>286</v>
      </c>
      <c r="D54" s="19" t="s">
        <v>476</v>
      </c>
      <c r="E54" s="19" t="s">
        <v>287</v>
      </c>
      <c r="F54" s="216" t="s">
        <v>29</v>
      </c>
      <c r="G54" s="227" t="s">
        <v>485</v>
      </c>
      <c r="H54" s="227" t="s">
        <v>486</v>
      </c>
      <c r="I54" s="227" t="s">
        <v>487</v>
      </c>
      <c r="J54" s="227" t="s">
        <v>488</v>
      </c>
      <c r="K54" s="228" t="s">
        <v>490</v>
      </c>
      <c r="L54" s="228" t="s">
        <v>491</v>
      </c>
      <c r="M54" s="228" t="s">
        <v>492</v>
      </c>
      <c r="N54" s="228" t="s">
        <v>493</v>
      </c>
    </row>
    <row r="55" spans="1:16" ht="22.5" customHeight="1" x14ac:dyDescent="0.2">
      <c r="A55" s="217"/>
      <c r="B55" s="217"/>
      <c r="C55" s="217"/>
      <c r="D55" s="217"/>
      <c r="E55" s="218"/>
      <c r="F55" s="229"/>
      <c r="G55" s="230"/>
      <c r="H55" s="230"/>
      <c r="I55" s="231"/>
      <c r="J55" s="232"/>
      <c r="K55" s="233"/>
      <c r="L55" s="233"/>
      <c r="M55" s="233"/>
      <c r="N55" s="233"/>
    </row>
    <row r="56" spans="1:16" ht="27.75" customHeight="1" thickBot="1" x14ac:dyDescent="0.25">
      <c r="A56" s="234"/>
      <c r="B56" s="234"/>
      <c r="C56" s="234"/>
      <c r="D56" s="235"/>
      <c r="E56" s="235"/>
      <c r="F56" s="235"/>
      <c r="G56" s="235"/>
      <c r="H56" s="236"/>
      <c r="I56" s="237"/>
      <c r="J56" s="237"/>
      <c r="K56" s="234"/>
      <c r="L56" s="234"/>
      <c r="M56" s="234"/>
      <c r="N56" s="238"/>
      <c r="O56" s="238"/>
      <c r="P56" s="238"/>
    </row>
    <row r="57" spans="1:16" ht="27.75" customHeight="1" x14ac:dyDescent="0.2">
      <c r="A57" s="215"/>
      <c r="B57" s="215"/>
      <c r="C57" s="215"/>
      <c r="D57" s="224"/>
      <c r="E57" s="224"/>
      <c r="F57" s="224"/>
      <c r="G57" s="224"/>
      <c r="H57" s="225"/>
      <c r="I57" s="226"/>
      <c r="J57" s="226"/>
      <c r="K57" s="215"/>
      <c r="L57" s="215"/>
      <c r="M57" s="215"/>
      <c r="N57" s="215"/>
      <c r="O57" s="215"/>
    </row>
    <row r="58" spans="1:16" ht="39.950000000000003" customHeight="1" x14ac:dyDescent="0.2">
      <c r="A58" s="371" t="str">
        <f>Overview!B4&amp;" - Effective from "&amp;TEXT(Overview!$D$4,"d mmmm yyyy")&amp;" - Final new or amended EHV charges in Electricity North West Area (GSP Group_G)"</f>
        <v>Leep Electricity Networks Limited - Effective from 1 April 2026 - Final new or amended EHV charges in Electricity North West Area (GSP Group_G)</v>
      </c>
      <c r="B58" s="371"/>
      <c r="C58" s="371"/>
      <c r="D58" s="371"/>
      <c r="E58" s="371"/>
      <c r="F58" s="371"/>
      <c r="G58" s="371"/>
      <c r="H58" s="371"/>
      <c r="I58" s="371"/>
      <c r="J58" s="371"/>
      <c r="K58" s="371"/>
      <c r="L58" s="371"/>
      <c r="M58" s="371"/>
      <c r="N58" s="371"/>
      <c r="O58" s="215"/>
    </row>
    <row r="59" spans="1:16" ht="65.099999999999994" customHeight="1" x14ac:dyDescent="0.2">
      <c r="A59" s="19" t="s">
        <v>499</v>
      </c>
      <c r="B59" s="19" t="s">
        <v>475</v>
      </c>
      <c r="C59" s="19" t="s">
        <v>286</v>
      </c>
      <c r="D59" s="19" t="s">
        <v>476</v>
      </c>
      <c r="E59" s="19" t="s">
        <v>287</v>
      </c>
      <c r="F59" s="216" t="s">
        <v>29</v>
      </c>
      <c r="G59" s="130" t="s">
        <v>406</v>
      </c>
      <c r="H59" s="129" t="s">
        <v>297</v>
      </c>
      <c r="I59" s="129" t="s">
        <v>404</v>
      </c>
      <c r="J59" s="129" t="s">
        <v>460</v>
      </c>
      <c r="K59" s="129" t="s">
        <v>407</v>
      </c>
      <c r="L59" s="129" t="s">
        <v>298</v>
      </c>
      <c r="M59" s="129" t="s">
        <v>405</v>
      </c>
      <c r="N59" s="129" t="s">
        <v>461</v>
      </c>
      <c r="O59" s="215"/>
      <c r="P59" s="215"/>
    </row>
    <row r="60" spans="1:16" ht="22.5" customHeight="1" x14ac:dyDescent="0.2">
      <c r="A60" s="217"/>
      <c r="B60" s="217"/>
      <c r="C60" s="217"/>
      <c r="D60" s="217"/>
      <c r="E60" s="218"/>
      <c r="F60" s="219"/>
      <c r="G60" s="220"/>
      <c r="H60" s="221"/>
      <c r="I60" s="221"/>
      <c r="J60" s="221"/>
      <c r="K60" s="222"/>
      <c r="L60" s="223"/>
      <c r="M60" s="223"/>
      <c r="N60" s="223"/>
      <c r="O60" s="215"/>
      <c r="P60" s="215"/>
    </row>
    <row r="61" spans="1:16" ht="27.75" customHeight="1" x14ac:dyDescent="0.2">
      <c r="A61" s="215"/>
      <c r="B61" s="215"/>
      <c r="C61" s="215"/>
      <c r="D61" s="224"/>
      <c r="E61" s="224"/>
      <c r="F61" s="224"/>
      <c r="G61" s="224"/>
      <c r="H61" s="225"/>
      <c r="I61" s="226"/>
      <c r="J61" s="226"/>
      <c r="K61" s="215"/>
      <c r="L61" s="215"/>
      <c r="M61" s="215"/>
      <c r="N61" s="215"/>
      <c r="O61" s="215"/>
    </row>
    <row r="62" spans="1:16" ht="39.950000000000003" customHeight="1" x14ac:dyDescent="0.2">
      <c r="A62" s="371" t="str">
        <f>Overview!B4&amp;" - Effective from "&amp;TEXT(Overview!$D$4,"d mmmm yyyy")&amp;" - Final new or amended EHV line loss factors in Electricity North West Area (GSP Group_G)"</f>
        <v>Leep Electricity Networks Limited - Effective from 1 April 2026 - Final new or amended EHV line loss factors in Electricity North West Area (GSP Group_G)</v>
      </c>
      <c r="B62" s="371"/>
      <c r="C62" s="371"/>
      <c r="D62" s="371"/>
      <c r="E62" s="371"/>
      <c r="F62" s="371"/>
      <c r="G62" s="371"/>
      <c r="H62" s="371"/>
      <c r="I62" s="371"/>
      <c r="J62" s="371"/>
      <c r="K62" s="371"/>
      <c r="L62" s="371"/>
      <c r="M62" s="371"/>
      <c r="N62" s="371"/>
    </row>
    <row r="63" spans="1:16" ht="65.099999999999994" customHeight="1" x14ac:dyDescent="0.2">
      <c r="A63" s="19" t="s">
        <v>499</v>
      </c>
      <c r="B63" s="19" t="s">
        <v>475</v>
      </c>
      <c r="C63" s="19" t="s">
        <v>286</v>
      </c>
      <c r="D63" s="19" t="s">
        <v>476</v>
      </c>
      <c r="E63" s="19" t="s">
        <v>287</v>
      </c>
      <c r="F63" s="216" t="s">
        <v>29</v>
      </c>
      <c r="G63" s="227" t="s">
        <v>485</v>
      </c>
      <c r="H63" s="227" t="s">
        <v>486</v>
      </c>
      <c r="I63" s="227" t="s">
        <v>487</v>
      </c>
      <c r="J63" s="227" t="s">
        <v>488</v>
      </c>
      <c r="K63" s="228" t="s">
        <v>490</v>
      </c>
      <c r="L63" s="228" t="s">
        <v>491</v>
      </c>
      <c r="M63" s="228" t="s">
        <v>492</v>
      </c>
      <c r="N63" s="228" t="s">
        <v>493</v>
      </c>
    </row>
    <row r="64" spans="1:16" ht="22.5" customHeight="1" x14ac:dyDescent="0.2">
      <c r="A64" s="217"/>
      <c r="B64" s="217"/>
      <c r="C64" s="217"/>
      <c r="D64" s="217"/>
      <c r="E64" s="218"/>
      <c r="F64" s="229"/>
      <c r="G64" s="230"/>
      <c r="H64" s="230"/>
      <c r="I64" s="231"/>
      <c r="J64" s="232"/>
      <c r="K64" s="233"/>
      <c r="L64" s="233"/>
      <c r="M64" s="233"/>
      <c r="N64" s="233"/>
    </row>
    <row r="65" spans="1:16" ht="27.75" customHeight="1" thickBot="1" x14ac:dyDescent="0.25">
      <c r="A65" s="234"/>
      <c r="B65" s="234"/>
      <c r="C65" s="234"/>
      <c r="D65" s="235"/>
      <c r="E65" s="235"/>
      <c r="F65" s="235"/>
      <c r="G65" s="235"/>
      <c r="H65" s="236"/>
      <c r="I65" s="237"/>
      <c r="J65" s="237"/>
      <c r="K65" s="234"/>
      <c r="L65" s="234"/>
      <c r="M65" s="234"/>
      <c r="N65" s="238"/>
      <c r="O65" s="238"/>
      <c r="P65" s="238"/>
    </row>
    <row r="66" spans="1:16" ht="27.75" customHeight="1" x14ac:dyDescent="0.2">
      <c r="A66" s="239"/>
      <c r="B66" s="239"/>
      <c r="C66" s="239"/>
      <c r="D66" s="240"/>
      <c r="E66" s="240"/>
      <c r="F66" s="240"/>
      <c r="G66" s="240"/>
      <c r="H66" s="241"/>
      <c r="I66" s="242"/>
      <c r="J66" s="242"/>
      <c r="K66" s="239"/>
      <c r="L66" s="239"/>
      <c r="M66" s="239"/>
      <c r="N66" s="215"/>
      <c r="O66" s="215"/>
      <c r="P66" s="215"/>
    </row>
    <row r="67" spans="1:16" ht="42" customHeight="1" x14ac:dyDescent="0.2">
      <c r="A67" s="371" t="str">
        <f>Overview!B4&amp;" - Effective from "&amp;TEXT(Overview!$D$4,"d mmmm yyyy")&amp;" - Final new or amended EHV charges in SSE SEPD Area (GSP Group_H)"</f>
        <v>Leep Electricity Networks Limited - Effective from 1 April 2026 - Final new or amended EHV charges in SSE SEPD Area (GSP Group_H)</v>
      </c>
      <c r="B67" s="371"/>
      <c r="C67" s="371"/>
      <c r="D67" s="371"/>
      <c r="E67" s="371"/>
      <c r="F67" s="371"/>
      <c r="G67" s="371"/>
      <c r="H67" s="371"/>
      <c r="I67" s="371"/>
      <c r="J67" s="371"/>
      <c r="K67" s="371"/>
      <c r="L67" s="371"/>
      <c r="M67" s="371"/>
      <c r="N67" s="371"/>
      <c r="O67" s="215"/>
    </row>
    <row r="68" spans="1:16" ht="68.25" customHeight="1" x14ac:dyDescent="0.2">
      <c r="A68" s="19" t="s">
        <v>499</v>
      </c>
      <c r="B68" s="19" t="s">
        <v>475</v>
      </c>
      <c r="C68" s="19" t="s">
        <v>286</v>
      </c>
      <c r="D68" s="19" t="s">
        <v>476</v>
      </c>
      <c r="E68" s="19" t="s">
        <v>287</v>
      </c>
      <c r="F68" s="216" t="s">
        <v>29</v>
      </c>
      <c r="G68" s="130" t="s">
        <v>406</v>
      </c>
      <c r="H68" s="129" t="s">
        <v>297</v>
      </c>
      <c r="I68" s="129" t="s">
        <v>404</v>
      </c>
      <c r="J68" s="129" t="s">
        <v>460</v>
      </c>
      <c r="K68" s="129" t="s">
        <v>407</v>
      </c>
      <c r="L68" s="129" t="s">
        <v>298</v>
      </c>
      <c r="M68" s="129" t="s">
        <v>405</v>
      </c>
      <c r="N68" s="129" t="s">
        <v>461</v>
      </c>
      <c r="O68" s="215"/>
      <c r="P68" s="215"/>
    </row>
    <row r="69" spans="1:16" ht="27.75" customHeight="1" x14ac:dyDescent="0.2">
      <c r="A69" s="217"/>
      <c r="B69" s="217"/>
      <c r="C69" s="217"/>
      <c r="D69" s="217"/>
      <c r="E69" s="218"/>
      <c r="F69" s="219"/>
      <c r="G69" s="220"/>
      <c r="H69" s="221"/>
      <c r="I69" s="221"/>
      <c r="J69" s="221"/>
      <c r="K69" s="222"/>
      <c r="L69" s="223"/>
      <c r="M69" s="223"/>
      <c r="N69" s="223"/>
      <c r="O69" s="215"/>
      <c r="P69" s="215"/>
    </row>
    <row r="70" spans="1:16" ht="27.75" customHeight="1" x14ac:dyDescent="0.2">
      <c r="A70" s="215"/>
      <c r="B70" s="215"/>
      <c r="C70" s="215"/>
      <c r="D70" s="224"/>
      <c r="E70" s="224"/>
      <c r="F70" s="224"/>
      <c r="G70" s="224"/>
      <c r="H70" s="225"/>
      <c r="I70" s="226"/>
      <c r="J70" s="226"/>
      <c r="K70" s="215"/>
      <c r="L70" s="215"/>
      <c r="M70" s="215"/>
      <c r="N70" s="215"/>
      <c r="O70" s="215"/>
    </row>
    <row r="71" spans="1:16" ht="48" customHeight="1" x14ac:dyDescent="0.2">
      <c r="A71" s="371" t="str">
        <f>Overview!B4&amp;" - Effective from "&amp;TEXT(Overview!$D$4,"d mmmm yyyy")&amp;" - Final new or amended EHV line loss factors in SSE SEPD Area (GSP Group_H)"</f>
        <v>Leep Electricity Networks Limited - Effective from 1 April 2026 - Final new or amended EHV line loss factors in SSE SEPD Area (GSP Group_H)</v>
      </c>
      <c r="B71" s="371"/>
      <c r="C71" s="371"/>
      <c r="D71" s="371"/>
      <c r="E71" s="371"/>
      <c r="F71" s="371"/>
      <c r="G71" s="371"/>
      <c r="H71" s="371"/>
      <c r="I71" s="371"/>
      <c r="J71" s="371"/>
      <c r="K71" s="371"/>
      <c r="L71" s="371"/>
      <c r="M71" s="371"/>
      <c r="N71" s="371"/>
      <c r="O71" s="371"/>
      <c r="P71" s="371"/>
    </row>
    <row r="72" spans="1:16" ht="45.75" customHeight="1" x14ac:dyDescent="0.2">
      <c r="A72" s="19" t="s">
        <v>499</v>
      </c>
      <c r="B72" s="19" t="s">
        <v>475</v>
      </c>
      <c r="C72" s="19" t="s">
        <v>286</v>
      </c>
      <c r="D72" s="19" t="s">
        <v>476</v>
      </c>
      <c r="E72" s="19" t="s">
        <v>287</v>
      </c>
      <c r="F72" s="216" t="s">
        <v>29</v>
      </c>
      <c r="G72" s="227" t="s">
        <v>485</v>
      </c>
      <c r="H72" s="227" t="s">
        <v>486</v>
      </c>
      <c r="I72" s="227" t="s">
        <v>487</v>
      </c>
      <c r="J72" s="227" t="s">
        <v>488</v>
      </c>
      <c r="K72" s="227" t="s">
        <v>489</v>
      </c>
      <c r="L72" s="228" t="s">
        <v>490</v>
      </c>
      <c r="M72" s="228" t="s">
        <v>491</v>
      </c>
      <c r="N72" s="228" t="s">
        <v>492</v>
      </c>
      <c r="O72" s="228" t="s">
        <v>493</v>
      </c>
      <c r="P72" s="228" t="s">
        <v>494</v>
      </c>
    </row>
    <row r="73" spans="1:16" ht="27.75" customHeight="1" x14ac:dyDescent="0.2">
      <c r="A73" s="217"/>
      <c r="B73" s="217"/>
      <c r="C73" s="217"/>
      <c r="D73" s="217"/>
      <c r="E73" s="218"/>
      <c r="F73" s="229"/>
      <c r="G73" s="230"/>
      <c r="H73" s="230"/>
      <c r="I73" s="231"/>
      <c r="J73" s="232"/>
      <c r="K73" s="232"/>
      <c r="L73" s="233"/>
      <c r="M73" s="233"/>
      <c r="N73" s="233"/>
      <c r="O73" s="233"/>
      <c r="P73" s="233"/>
    </row>
    <row r="74" spans="1:16" ht="27.75" customHeight="1" thickBot="1" x14ac:dyDescent="0.25">
      <c r="A74" s="234"/>
      <c r="B74" s="234"/>
      <c r="C74" s="234"/>
      <c r="D74" s="235"/>
      <c r="E74" s="235"/>
      <c r="F74" s="235"/>
      <c r="G74" s="235"/>
      <c r="H74" s="236"/>
      <c r="I74" s="237"/>
      <c r="J74" s="237"/>
      <c r="K74" s="234"/>
      <c r="L74" s="234"/>
      <c r="M74" s="234"/>
      <c r="N74" s="234"/>
      <c r="O74" s="234"/>
      <c r="P74" s="238"/>
    </row>
    <row r="75" spans="1:16" ht="27.75" customHeight="1" x14ac:dyDescent="0.2">
      <c r="A75" s="239"/>
      <c r="B75" s="239"/>
      <c r="C75" s="239"/>
      <c r="D75" s="240"/>
      <c r="E75" s="240"/>
      <c r="F75" s="240"/>
      <c r="G75" s="240"/>
      <c r="H75" s="241"/>
      <c r="I75" s="242"/>
      <c r="J75" s="242"/>
      <c r="K75" s="239"/>
      <c r="L75" s="239"/>
      <c r="M75" s="239"/>
      <c r="N75" s="215"/>
      <c r="O75" s="215"/>
    </row>
    <row r="76" spans="1:16" ht="39.950000000000003" customHeight="1" x14ac:dyDescent="0.2">
      <c r="A76" s="371" t="str">
        <f>Overview!B4&amp;" - Effective from "&amp;TEXT(Overview!$D$4,"d mmmm yyyy")&amp;" - Final new or amended EHV charges in UKPN SPN Area (GSP Group_J)"</f>
        <v>Leep Electricity Networks Limited - Effective from 1 April 2026 - Final new or amended EHV charges in UKPN SPN Area (GSP Group_J)</v>
      </c>
      <c r="B76" s="371"/>
      <c r="C76" s="371"/>
      <c r="D76" s="371"/>
      <c r="E76" s="371"/>
      <c r="F76" s="371"/>
      <c r="G76" s="371"/>
      <c r="H76" s="371"/>
      <c r="I76" s="371"/>
      <c r="J76" s="371"/>
      <c r="K76" s="371"/>
      <c r="L76" s="371"/>
      <c r="M76" s="371"/>
      <c r="N76" s="371"/>
      <c r="O76" s="215"/>
    </row>
    <row r="77" spans="1:16" ht="65.099999999999994" customHeight="1" x14ac:dyDescent="0.2">
      <c r="A77" s="19" t="s">
        <v>499</v>
      </c>
      <c r="B77" s="19" t="s">
        <v>475</v>
      </c>
      <c r="C77" s="19" t="s">
        <v>286</v>
      </c>
      <c r="D77" s="19" t="s">
        <v>476</v>
      </c>
      <c r="E77" s="19" t="s">
        <v>287</v>
      </c>
      <c r="F77" s="216" t="s">
        <v>29</v>
      </c>
      <c r="G77" s="130" t="s">
        <v>406</v>
      </c>
      <c r="H77" s="129" t="s">
        <v>297</v>
      </c>
      <c r="I77" s="129" t="s">
        <v>404</v>
      </c>
      <c r="J77" s="129" t="s">
        <v>460</v>
      </c>
      <c r="K77" s="129" t="s">
        <v>407</v>
      </c>
      <c r="L77" s="129" t="s">
        <v>298</v>
      </c>
      <c r="M77" s="129" t="s">
        <v>405</v>
      </c>
      <c r="N77" s="129" t="s">
        <v>461</v>
      </c>
      <c r="O77" s="215"/>
      <c r="P77" s="215"/>
    </row>
    <row r="78" spans="1:16" ht="22.5" customHeight="1" x14ac:dyDescent="0.2">
      <c r="A78" s="217"/>
      <c r="B78" s="217"/>
      <c r="C78" s="217"/>
      <c r="D78" s="217"/>
      <c r="E78" s="218"/>
      <c r="F78" s="219"/>
      <c r="G78" s="220"/>
      <c r="H78" s="221"/>
      <c r="I78" s="221"/>
      <c r="J78" s="221"/>
      <c r="K78" s="222"/>
      <c r="L78" s="223"/>
      <c r="M78" s="223"/>
      <c r="N78" s="223"/>
      <c r="O78" s="215"/>
      <c r="P78" s="215"/>
    </row>
    <row r="79" spans="1:16" ht="27.75" customHeight="1" x14ac:dyDescent="0.2">
      <c r="A79" s="215"/>
      <c r="B79" s="215"/>
      <c r="C79" s="215"/>
      <c r="D79" s="224"/>
      <c r="E79" s="224"/>
      <c r="F79" s="224"/>
      <c r="G79" s="224"/>
      <c r="H79" s="225"/>
      <c r="I79" s="226"/>
      <c r="J79" s="226"/>
      <c r="K79" s="215"/>
      <c r="L79" s="215"/>
      <c r="M79" s="215"/>
      <c r="N79" s="215"/>
      <c r="O79" s="215"/>
    </row>
    <row r="80" spans="1:16" ht="39.950000000000003" customHeight="1" x14ac:dyDescent="0.2">
      <c r="A80" s="371" t="str">
        <f>Overview!B4&amp;" - Effective from "&amp;TEXT(Overview!$D$4,"d mmmm yyyy")&amp;" - Final new or amended EHV line loss factors in UKPN SPN Area (GSP Group_J)"</f>
        <v>Leep Electricity Networks Limited - Effective from 1 April 2026 - Final new or amended EHV line loss factors in UKPN SPN Area (GSP Group_J)</v>
      </c>
      <c r="B80" s="371"/>
      <c r="C80" s="371"/>
      <c r="D80" s="371"/>
      <c r="E80" s="371"/>
      <c r="F80" s="371"/>
      <c r="G80" s="371"/>
      <c r="H80" s="371"/>
      <c r="I80" s="371"/>
      <c r="J80" s="371"/>
      <c r="K80" s="371"/>
      <c r="L80" s="371"/>
      <c r="M80" s="371"/>
      <c r="N80" s="371"/>
      <c r="O80" s="371"/>
      <c r="P80" s="371"/>
    </row>
    <row r="81" spans="1:16" ht="65.099999999999994" customHeight="1" x14ac:dyDescent="0.2">
      <c r="A81" s="19" t="s">
        <v>499</v>
      </c>
      <c r="B81" s="19" t="s">
        <v>475</v>
      </c>
      <c r="C81" s="19" t="s">
        <v>286</v>
      </c>
      <c r="D81" s="19" t="s">
        <v>476</v>
      </c>
      <c r="E81" s="19" t="s">
        <v>287</v>
      </c>
      <c r="F81" s="216" t="s">
        <v>29</v>
      </c>
      <c r="G81" s="227" t="s">
        <v>485</v>
      </c>
      <c r="H81" s="227" t="s">
        <v>486</v>
      </c>
      <c r="I81" s="227" t="s">
        <v>487</v>
      </c>
      <c r="J81" s="227" t="s">
        <v>488</v>
      </c>
      <c r="K81" s="227" t="s">
        <v>489</v>
      </c>
      <c r="L81" s="228" t="s">
        <v>490</v>
      </c>
      <c r="M81" s="228" t="s">
        <v>491</v>
      </c>
      <c r="N81" s="228" t="s">
        <v>492</v>
      </c>
      <c r="O81" s="228" t="s">
        <v>493</v>
      </c>
      <c r="P81" s="228" t="s">
        <v>494</v>
      </c>
    </row>
    <row r="82" spans="1:16" ht="22.5" customHeight="1" x14ac:dyDescent="0.2">
      <c r="A82" s="217"/>
      <c r="B82" s="217"/>
      <c r="C82" s="217"/>
      <c r="D82" s="217"/>
      <c r="E82" s="218"/>
      <c r="F82" s="229"/>
      <c r="G82" s="230"/>
      <c r="H82" s="230"/>
      <c r="I82" s="231"/>
      <c r="J82" s="232"/>
      <c r="K82" s="232"/>
      <c r="L82" s="233"/>
      <c r="M82" s="233"/>
      <c r="N82" s="233"/>
      <c r="O82" s="233"/>
      <c r="P82" s="233"/>
    </row>
    <row r="83" spans="1:16" ht="27.75" customHeight="1" thickBot="1" x14ac:dyDescent="0.25">
      <c r="A83" s="234"/>
      <c r="B83" s="234"/>
      <c r="C83" s="234"/>
      <c r="D83" s="235"/>
      <c r="E83" s="235"/>
      <c r="F83" s="235"/>
      <c r="G83" s="235"/>
      <c r="H83" s="236"/>
      <c r="I83" s="237"/>
      <c r="J83" s="237"/>
      <c r="K83" s="234"/>
      <c r="L83" s="234"/>
      <c r="M83" s="234"/>
      <c r="N83" s="234"/>
      <c r="O83" s="234"/>
      <c r="P83" s="238"/>
    </row>
    <row r="84" spans="1:16" ht="27.75" customHeight="1" x14ac:dyDescent="0.2">
      <c r="A84" s="239"/>
      <c r="B84" s="239"/>
      <c r="C84" s="239"/>
      <c r="D84" s="240"/>
      <c r="E84" s="240"/>
      <c r="F84" s="240"/>
      <c r="G84" s="240"/>
      <c r="H84" s="241"/>
      <c r="I84" s="242"/>
      <c r="J84" s="242"/>
      <c r="K84" s="239"/>
      <c r="L84" s="239"/>
      <c r="M84" s="239"/>
      <c r="N84" s="215"/>
      <c r="O84" s="215"/>
    </row>
    <row r="85" spans="1:16" ht="39.950000000000003" customHeight="1" x14ac:dyDescent="0.2">
      <c r="A85" s="371" t="str">
        <f>Overview!B4&amp;" - Effective from "&amp;TEXT(Overview!$D$4,"d mmmm yyyy")&amp;" - Final new or amended EHV charges in WPD South Wales Area (GSP Group_K)"</f>
        <v>Leep Electricity Networks Limited - Effective from 1 April 2026 - Final new or amended EHV charges in WPD South Wales Area (GSP Group_K)</v>
      </c>
      <c r="B85" s="371"/>
      <c r="C85" s="371"/>
      <c r="D85" s="371"/>
      <c r="E85" s="371"/>
      <c r="F85" s="371"/>
      <c r="G85" s="371"/>
      <c r="H85" s="371"/>
      <c r="I85" s="371"/>
      <c r="J85" s="371"/>
      <c r="K85" s="371"/>
      <c r="L85" s="371"/>
      <c r="M85" s="371"/>
      <c r="N85" s="371"/>
      <c r="O85" s="215"/>
    </row>
    <row r="86" spans="1:16" ht="65.099999999999994" customHeight="1" x14ac:dyDescent="0.2">
      <c r="A86" s="19" t="s">
        <v>499</v>
      </c>
      <c r="B86" s="19" t="s">
        <v>475</v>
      </c>
      <c r="C86" s="19" t="s">
        <v>286</v>
      </c>
      <c r="D86" s="19" t="s">
        <v>476</v>
      </c>
      <c r="E86" s="19" t="s">
        <v>287</v>
      </c>
      <c r="F86" s="216" t="s">
        <v>29</v>
      </c>
      <c r="G86" s="130" t="s">
        <v>406</v>
      </c>
      <c r="H86" s="129" t="s">
        <v>297</v>
      </c>
      <c r="I86" s="129" t="s">
        <v>404</v>
      </c>
      <c r="J86" s="129" t="s">
        <v>460</v>
      </c>
      <c r="K86" s="129" t="s">
        <v>407</v>
      </c>
      <c r="L86" s="129" t="s">
        <v>298</v>
      </c>
      <c r="M86" s="129" t="s">
        <v>405</v>
      </c>
      <c r="N86" s="129" t="s">
        <v>461</v>
      </c>
      <c r="O86" s="215"/>
      <c r="P86" s="215"/>
    </row>
    <row r="87" spans="1:16" ht="22.5" customHeight="1" x14ac:dyDescent="0.2">
      <c r="A87" s="217"/>
      <c r="B87" s="217"/>
      <c r="C87" s="217"/>
      <c r="D87" s="217"/>
      <c r="E87" s="218"/>
      <c r="F87" s="219"/>
      <c r="G87" s="220"/>
      <c r="H87" s="221"/>
      <c r="I87" s="221"/>
      <c r="J87" s="221"/>
      <c r="K87" s="222"/>
      <c r="L87" s="223"/>
      <c r="M87" s="223"/>
      <c r="N87" s="223"/>
      <c r="O87" s="215"/>
      <c r="P87" s="215"/>
    </row>
    <row r="88" spans="1:16" ht="27.75" customHeight="1" x14ac:dyDescent="0.2">
      <c r="A88" s="215"/>
      <c r="B88" s="215"/>
      <c r="C88" s="215"/>
      <c r="D88" s="224"/>
      <c r="E88" s="224"/>
      <c r="F88" s="224"/>
      <c r="G88" s="224"/>
      <c r="H88" s="225"/>
      <c r="I88" s="226"/>
      <c r="J88" s="226"/>
      <c r="K88" s="215"/>
      <c r="L88" s="215"/>
      <c r="M88" s="215"/>
      <c r="N88" s="215"/>
      <c r="O88" s="215"/>
    </row>
    <row r="89" spans="1:16" ht="39.950000000000003" customHeight="1" x14ac:dyDescent="0.2">
      <c r="A89" s="371" t="str">
        <f>Overview!B4&amp;" - Effective from "&amp;TEXT(Overview!$D$4,"d mmmm yyyy")&amp;" - Final new or amended EHV line loss factors in WPD South Wales Area (GSP Group_K)"</f>
        <v>Leep Electricity Networks Limited - Effective from 1 April 2026 - Final new or amended EHV line loss factors in WPD South Wales Area (GSP Group_K)</v>
      </c>
      <c r="B89" s="371"/>
      <c r="C89" s="371"/>
      <c r="D89" s="371"/>
      <c r="E89" s="371"/>
      <c r="F89" s="371"/>
      <c r="G89" s="371"/>
      <c r="H89" s="371"/>
      <c r="I89" s="371"/>
      <c r="J89" s="371"/>
      <c r="K89" s="371"/>
      <c r="L89" s="371"/>
      <c r="M89" s="371"/>
      <c r="N89" s="371"/>
    </row>
    <row r="90" spans="1:16" ht="65.099999999999994" customHeight="1" x14ac:dyDescent="0.2">
      <c r="A90" s="19" t="s">
        <v>499</v>
      </c>
      <c r="B90" s="19" t="s">
        <v>475</v>
      </c>
      <c r="C90" s="19" t="s">
        <v>286</v>
      </c>
      <c r="D90" s="19" t="s">
        <v>476</v>
      </c>
      <c r="E90" s="19" t="s">
        <v>287</v>
      </c>
      <c r="F90" s="216" t="s">
        <v>29</v>
      </c>
      <c r="G90" s="227" t="s">
        <v>485</v>
      </c>
      <c r="H90" s="227" t="s">
        <v>486</v>
      </c>
      <c r="I90" s="227" t="s">
        <v>487</v>
      </c>
      <c r="J90" s="227" t="s">
        <v>488</v>
      </c>
      <c r="K90" s="228" t="s">
        <v>490</v>
      </c>
      <c r="L90" s="228" t="s">
        <v>491</v>
      </c>
      <c r="M90" s="228" t="s">
        <v>492</v>
      </c>
      <c r="N90" s="228" t="s">
        <v>493</v>
      </c>
    </row>
    <row r="91" spans="1:16" ht="22.5" customHeight="1" x14ac:dyDescent="0.2">
      <c r="A91" s="217"/>
      <c r="B91" s="217"/>
      <c r="C91" s="217"/>
      <c r="D91" s="217"/>
      <c r="E91" s="218"/>
      <c r="F91" s="229"/>
      <c r="G91" s="230"/>
      <c r="H91" s="230"/>
      <c r="I91" s="231"/>
      <c r="J91" s="232"/>
      <c r="K91" s="233"/>
      <c r="L91" s="233"/>
      <c r="M91" s="233"/>
      <c r="N91" s="233"/>
    </row>
    <row r="92" spans="1:16" ht="27.75" customHeight="1" thickBot="1" x14ac:dyDescent="0.25">
      <c r="A92" s="234"/>
      <c r="B92" s="234"/>
      <c r="C92" s="234"/>
      <c r="D92" s="235"/>
      <c r="E92" s="235"/>
      <c r="F92" s="235"/>
      <c r="G92" s="235"/>
      <c r="H92" s="236"/>
      <c r="I92" s="237"/>
      <c r="J92" s="237"/>
      <c r="K92" s="234"/>
      <c r="L92" s="234"/>
      <c r="M92" s="234"/>
      <c r="N92" s="238"/>
      <c r="O92" s="238"/>
      <c r="P92" s="238"/>
    </row>
    <row r="93" spans="1:16" ht="27.75" customHeight="1" x14ac:dyDescent="0.2">
      <c r="A93" s="239"/>
      <c r="B93" s="239"/>
      <c r="C93" s="239"/>
      <c r="D93" s="240"/>
      <c r="E93" s="240"/>
      <c r="F93" s="240"/>
      <c r="G93" s="240"/>
      <c r="H93" s="241"/>
      <c r="I93" s="242"/>
      <c r="J93" s="242"/>
      <c r="K93" s="239"/>
      <c r="L93" s="239"/>
      <c r="M93" s="239"/>
      <c r="N93" s="215"/>
      <c r="O93" s="215"/>
    </row>
    <row r="94" spans="1:16" ht="39.950000000000003" customHeight="1" x14ac:dyDescent="0.2">
      <c r="A94" s="371" t="str">
        <f>Overview!B4&amp;" - Effective from "&amp;TEXT(Overview!$D$4,"d mmmm yyyy")&amp;" - Final new or amended EHV charges in WPD South West Area (GSP Group_L)"</f>
        <v>Leep Electricity Networks Limited - Effective from 1 April 2026 - Final new or amended EHV charges in WPD South West Area (GSP Group_L)</v>
      </c>
      <c r="B94" s="371"/>
      <c r="C94" s="371"/>
      <c r="D94" s="371"/>
      <c r="E94" s="371"/>
      <c r="F94" s="371"/>
      <c r="G94" s="371"/>
      <c r="H94" s="371"/>
      <c r="I94" s="371"/>
      <c r="J94" s="371"/>
      <c r="K94" s="371"/>
      <c r="L94" s="371"/>
      <c r="M94" s="371"/>
      <c r="N94" s="371"/>
      <c r="O94" s="215"/>
    </row>
    <row r="95" spans="1:16" ht="65.099999999999994" customHeight="1" x14ac:dyDescent="0.2">
      <c r="A95" s="19" t="s">
        <v>499</v>
      </c>
      <c r="B95" s="19" t="s">
        <v>475</v>
      </c>
      <c r="C95" s="19" t="s">
        <v>286</v>
      </c>
      <c r="D95" s="19" t="s">
        <v>476</v>
      </c>
      <c r="E95" s="19" t="s">
        <v>287</v>
      </c>
      <c r="F95" s="216" t="s">
        <v>29</v>
      </c>
      <c r="G95" s="130" t="s">
        <v>406</v>
      </c>
      <c r="H95" s="129" t="s">
        <v>297</v>
      </c>
      <c r="I95" s="129" t="s">
        <v>404</v>
      </c>
      <c r="J95" s="129" t="s">
        <v>460</v>
      </c>
      <c r="K95" s="129" t="s">
        <v>407</v>
      </c>
      <c r="L95" s="129" t="s">
        <v>298</v>
      </c>
      <c r="M95" s="129" t="s">
        <v>405</v>
      </c>
      <c r="N95" s="129" t="s">
        <v>461</v>
      </c>
      <c r="O95" s="215"/>
      <c r="P95" s="215"/>
    </row>
    <row r="96" spans="1:16" ht="22.5" customHeight="1" x14ac:dyDescent="0.2">
      <c r="A96" s="217"/>
      <c r="B96" s="217"/>
      <c r="C96" s="217"/>
      <c r="D96" s="217"/>
      <c r="E96" s="218"/>
      <c r="F96" s="219"/>
      <c r="G96" s="220"/>
      <c r="H96" s="221"/>
      <c r="I96" s="221"/>
      <c r="J96" s="221"/>
      <c r="K96" s="222"/>
      <c r="L96" s="223"/>
      <c r="M96" s="223"/>
      <c r="N96" s="223"/>
      <c r="O96" s="215"/>
      <c r="P96" s="215"/>
    </row>
    <row r="97" spans="1:16" ht="27.75" customHeight="1" x14ac:dyDescent="0.2">
      <c r="A97" s="215"/>
      <c r="B97" s="215"/>
      <c r="C97" s="215"/>
      <c r="D97" s="224"/>
      <c r="E97" s="224"/>
      <c r="F97" s="224"/>
      <c r="G97" s="224"/>
      <c r="H97" s="225"/>
      <c r="I97" s="226"/>
      <c r="J97" s="226"/>
      <c r="K97" s="215"/>
      <c r="L97" s="215"/>
      <c r="M97" s="215"/>
      <c r="N97" s="215"/>
      <c r="O97" s="215"/>
    </row>
    <row r="98" spans="1:16" ht="39.950000000000003" customHeight="1" x14ac:dyDescent="0.2">
      <c r="A98" s="371" t="str">
        <f>Overview!B4&amp;" - Effective from "&amp;TEXT(Overview!$D$4,"d mmmm yyyy")&amp;" - Final new or amended EHV line loss factors in WPD South West Area (GSP Group_L)"</f>
        <v>Leep Electricity Networks Limited - Effective from 1 April 2026 - Final new or amended EHV line loss factors in WPD South West Area (GSP Group_L)</v>
      </c>
      <c r="B98" s="371"/>
      <c r="C98" s="371"/>
      <c r="D98" s="371"/>
      <c r="E98" s="371"/>
      <c r="F98" s="371"/>
      <c r="G98" s="371"/>
      <c r="H98" s="371"/>
      <c r="I98" s="371"/>
      <c r="J98" s="371"/>
      <c r="K98" s="371"/>
      <c r="L98" s="371"/>
      <c r="M98" s="371"/>
      <c r="N98" s="371"/>
    </row>
    <row r="99" spans="1:16" ht="65.099999999999994" customHeight="1" x14ac:dyDescent="0.2">
      <c r="A99" s="19" t="s">
        <v>499</v>
      </c>
      <c r="B99" s="19" t="s">
        <v>475</v>
      </c>
      <c r="C99" s="19" t="s">
        <v>286</v>
      </c>
      <c r="D99" s="19" t="s">
        <v>476</v>
      </c>
      <c r="E99" s="19" t="s">
        <v>287</v>
      </c>
      <c r="F99" s="216" t="s">
        <v>29</v>
      </c>
      <c r="G99" s="227" t="s">
        <v>485</v>
      </c>
      <c r="H99" s="227" t="s">
        <v>486</v>
      </c>
      <c r="I99" s="227" t="s">
        <v>487</v>
      </c>
      <c r="J99" s="227" t="s">
        <v>488</v>
      </c>
      <c r="K99" s="228" t="s">
        <v>490</v>
      </c>
      <c r="L99" s="228" t="s">
        <v>491</v>
      </c>
      <c r="M99" s="228" t="s">
        <v>492</v>
      </c>
      <c r="N99" s="228" t="s">
        <v>493</v>
      </c>
    </row>
    <row r="100" spans="1:16" ht="22.5" customHeight="1" x14ac:dyDescent="0.2">
      <c r="A100" s="217"/>
      <c r="B100" s="217"/>
      <c r="C100" s="217"/>
      <c r="D100" s="217"/>
      <c r="E100" s="218"/>
      <c r="F100" s="229"/>
      <c r="G100" s="230"/>
      <c r="H100" s="230"/>
      <c r="I100" s="231"/>
      <c r="J100" s="232"/>
      <c r="K100" s="233"/>
      <c r="L100" s="233"/>
      <c r="M100" s="233"/>
      <c r="N100" s="233"/>
    </row>
    <row r="101" spans="1:16" ht="27.75" customHeight="1" thickBot="1" x14ac:dyDescent="0.25">
      <c r="A101" s="234"/>
      <c r="B101" s="234"/>
      <c r="C101" s="234"/>
      <c r="D101" s="235"/>
      <c r="E101" s="235"/>
      <c r="F101" s="235"/>
      <c r="G101" s="235"/>
      <c r="H101" s="236"/>
      <c r="I101" s="237"/>
      <c r="J101" s="237"/>
      <c r="K101" s="234"/>
      <c r="L101" s="234"/>
      <c r="M101" s="234"/>
      <c r="N101" s="238"/>
      <c r="O101" s="238"/>
      <c r="P101" s="238"/>
    </row>
    <row r="102" spans="1:16" ht="27.75" customHeight="1" x14ac:dyDescent="0.2">
      <c r="A102" s="215"/>
      <c r="B102" s="215"/>
      <c r="C102" s="215"/>
      <c r="D102" s="224"/>
      <c r="E102" s="224"/>
      <c r="F102" s="224"/>
      <c r="G102" s="224"/>
      <c r="H102" s="225"/>
      <c r="I102" s="226"/>
      <c r="J102" s="226"/>
      <c r="K102" s="215"/>
      <c r="L102" s="215"/>
      <c r="M102" s="215"/>
      <c r="N102" s="215"/>
      <c r="O102" s="215"/>
    </row>
    <row r="103" spans="1:16" ht="39.950000000000003" customHeight="1" x14ac:dyDescent="0.2">
      <c r="A103" s="371" t="str">
        <f>Overview!B4&amp;" - Effective from "&amp;TEXT(Overview!$D$4,"d mmmm yyyy")&amp;" - Final new or amended EHV charges in NPG Yorkshire Area (GSP Group_M)"</f>
        <v>Leep Electricity Networks Limited - Effective from 1 April 2026 - Final new or amended EHV charges in NPG Yorkshire Area (GSP Group_M)</v>
      </c>
      <c r="B103" s="371"/>
      <c r="C103" s="371"/>
      <c r="D103" s="371"/>
      <c r="E103" s="371"/>
      <c r="F103" s="371"/>
      <c r="G103" s="371"/>
      <c r="H103" s="371"/>
      <c r="I103" s="371"/>
      <c r="J103" s="371"/>
      <c r="K103" s="371"/>
      <c r="L103" s="371"/>
      <c r="M103" s="371"/>
      <c r="N103" s="371"/>
      <c r="O103" s="215"/>
    </row>
    <row r="104" spans="1:16" ht="65.099999999999994" customHeight="1" x14ac:dyDescent="0.2">
      <c r="A104" s="19" t="s">
        <v>499</v>
      </c>
      <c r="B104" s="19" t="s">
        <v>475</v>
      </c>
      <c r="C104" s="19" t="s">
        <v>286</v>
      </c>
      <c r="D104" s="19" t="s">
        <v>476</v>
      </c>
      <c r="E104" s="19" t="s">
        <v>287</v>
      </c>
      <c r="F104" s="216" t="s">
        <v>29</v>
      </c>
      <c r="G104" s="130" t="s">
        <v>406</v>
      </c>
      <c r="H104" s="129" t="s">
        <v>297</v>
      </c>
      <c r="I104" s="129" t="s">
        <v>404</v>
      </c>
      <c r="J104" s="129" t="s">
        <v>460</v>
      </c>
      <c r="K104" s="129" t="s">
        <v>407</v>
      </c>
      <c r="L104" s="129" t="s">
        <v>298</v>
      </c>
      <c r="M104" s="129" t="s">
        <v>405</v>
      </c>
      <c r="N104" s="129" t="s">
        <v>461</v>
      </c>
      <c r="O104" s="215"/>
      <c r="P104" s="215"/>
    </row>
    <row r="105" spans="1:16" ht="22.5" customHeight="1" x14ac:dyDescent="0.2">
      <c r="A105" s="217"/>
      <c r="B105" s="217"/>
      <c r="C105" s="217"/>
      <c r="D105" s="217"/>
      <c r="E105" s="218"/>
      <c r="F105" s="219"/>
      <c r="G105" s="220"/>
      <c r="H105" s="221"/>
      <c r="I105" s="221"/>
      <c r="J105" s="221"/>
      <c r="K105" s="222"/>
      <c r="L105" s="223"/>
      <c r="M105" s="223"/>
      <c r="N105" s="223"/>
      <c r="O105" s="215"/>
      <c r="P105" s="215"/>
    </row>
    <row r="106" spans="1:16" ht="27.75" customHeight="1" x14ac:dyDescent="0.2">
      <c r="A106" s="215"/>
      <c r="B106" s="215"/>
      <c r="C106" s="215"/>
      <c r="D106" s="224"/>
      <c r="E106" s="224"/>
      <c r="F106" s="224"/>
      <c r="G106" s="224"/>
      <c r="H106" s="225"/>
      <c r="I106" s="226"/>
      <c r="J106" s="226"/>
      <c r="K106" s="215"/>
      <c r="L106" s="215"/>
      <c r="M106" s="215"/>
      <c r="N106" s="215"/>
      <c r="O106" s="215"/>
    </row>
    <row r="107" spans="1:16" ht="39.950000000000003" customHeight="1" x14ac:dyDescent="0.2">
      <c r="A107" s="371" t="str">
        <f>Overview!B4&amp;" - Effective from "&amp;TEXT(Overview!$D$4,"d mmmm yyyy")&amp;" - Final new or amended EHV line loss factors in NPG Yorkshire Area (GSP Group_M)"</f>
        <v>Leep Electricity Networks Limited - Effective from 1 April 2026 - Final new or amended EHV line loss factors in NPG Yorkshire Area (GSP Group_M)</v>
      </c>
      <c r="B107" s="371"/>
      <c r="C107" s="371"/>
      <c r="D107" s="371"/>
      <c r="E107" s="371"/>
      <c r="F107" s="371"/>
      <c r="G107" s="371"/>
      <c r="H107" s="371"/>
      <c r="I107" s="371"/>
      <c r="J107" s="371"/>
      <c r="K107" s="371"/>
      <c r="L107" s="371"/>
      <c r="M107" s="371"/>
      <c r="N107" s="371"/>
    </row>
    <row r="108" spans="1:16" ht="65.099999999999994" customHeight="1" x14ac:dyDescent="0.2">
      <c r="A108" s="19" t="s">
        <v>499</v>
      </c>
      <c r="B108" s="19" t="s">
        <v>475</v>
      </c>
      <c r="C108" s="19" t="s">
        <v>286</v>
      </c>
      <c r="D108" s="19" t="s">
        <v>476</v>
      </c>
      <c r="E108" s="19" t="s">
        <v>287</v>
      </c>
      <c r="F108" s="216" t="s">
        <v>29</v>
      </c>
      <c r="G108" s="227" t="s">
        <v>485</v>
      </c>
      <c r="H108" s="227" t="s">
        <v>486</v>
      </c>
      <c r="I108" s="227" t="s">
        <v>487</v>
      </c>
      <c r="J108" s="227" t="s">
        <v>488</v>
      </c>
      <c r="K108" s="228" t="s">
        <v>490</v>
      </c>
      <c r="L108" s="228" t="s">
        <v>491</v>
      </c>
      <c r="M108" s="228" t="s">
        <v>492</v>
      </c>
      <c r="N108" s="228" t="s">
        <v>493</v>
      </c>
    </row>
    <row r="109" spans="1:16" ht="22.5" customHeight="1" x14ac:dyDescent="0.2">
      <c r="A109" s="217"/>
      <c r="B109" s="217"/>
      <c r="C109" s="217"/>
      <c r="D109" s="217"/>
      <c r="E109" s="218"/>
      <c r="F109" s="229"/>
      <c r="G109" s="230"/>
      <c r="H109" s="230"/>
      <c r="I109" s="231"/>
      <c r="J109" s="232"/>
      <c r="K109" s="233"/>
      <c r="L109" s="233"/>
      <c r="M109" s="233"/>
      <c r="N109" s="233"/>
    </row>
    <row r="110" spans="1:16" ht="27.75" customHeight="1" thickBot="1" x14ac:dyDescent="0.25">
      <c r="A110" s="234"/>
      <c r="B110" s="234"/>
      <c r="C110" s="234"/>
      <c r="D110" s="235"/>
      <c r="E110" s="235"/>
      <c r="F110" s="235"/>
      <c r="G110" s="235"/>
      <c r="H110" s="236"/>
      <c r="I110" s="237"/>
      <c r="J110" s="237"/>
      <c r="K110" s="234"/>
      <c r="L110" s="234"/>
      <c r="M110" s="234"/>
      <c r="N110" s="238"/>
      <c r="O110" s="238"/>
      <c r="P110" s="238"/>
    </row>
    <row r="111" spans="1:16" ht="27.75" customHeight="1" x14ac:dyDescent="0.2">
      <c r="A111" s="215"/>
      <c r="B111" s="215"/>
      <c r="C111" s="215"/>
      <c r="D111" s="224"/>
      <c r="E111" s="224"/>
      <c r="F111" s="224"/>
      <c r="G111" s="224"/>
      <c r="H111" s="225"/>
      <c r="I111" s="226"/>
      <c r="J111" s="226"/>
      <c r="K111" s="215"/>
      <c r="L111" s="215"/>
      <c r="M111" s="215"/>
      <c r="N111" s="215"/>
      <c r="O111" s="215"/>
    </row>
    <row r="112" spans="1:16" ht="39.950000000000003" customHeight="1" x14ac:dyDescent="0.2">
      <c r="A112" s="371" t="str">
        <f>Overview!B98&amp;" - Effective from "&amp;Overview!D98&amp;" - Final new or amended EHV charges in SP Distribution Area (GSP Group_N)"</f>
        <v xml:space="preserve"> - Effective from  - Final new or amended EHV charges in SP Distribution Area (GSP Group_N)</v>
      </c>
      <c r="B112" s="371"/>
      <c r="C112" s="371"/>
      <c r="D112" s="371"/>
      <c r="E112" s="371"/>
      <c r="F112" s="371"/>
      <c r="G112" s="371"/>
      <c r="H112" s="371"/>
      <c r="I112" s="371"/>
      <c r="J112" s="371"/>
      <c r="K112" s="371"/>
      <c r="L112" s="371"/>
      <c r="M112" s="371"/>
      <c r="N112" s="371"/>
      <c r="O112" s="215"/>
    </row>
    <row r="113" spans="1:16" ht="65.099999999999994" customHeight="1" x14ac:dyDescent="0.2">
      <c r="A113" s="19" t="s">
        <v>499</v>
      </c>
      <c r="B113" s="19" t="s">
        <v>475</v>
      </c>
      <c r="C113" s="19" t="s">
        <v>286</v>
      </c>
      <c r="D113" s="19" t="s">
        <v>476</v>
      </c>
      <c r="E113" s="19" t="s">
        <v>287</v>
      </c>
      <c r="F113" s="216" t="s">
        <v>29</v>
      </c>
      <c r="G113" s="130" t="s">
        <v>406</v>
      </c>
      <c r="H113" s="129" t="s">
        <v>297</v>
      </c>
      <c r="I113" s="129" t="s">
        <v>404</v>
      </c>
      <c r="J113" s="129" t="s">
        <v>460</v>
      </c>
      <c r="K113" s="129" t="s">
        <v>407</v>
      </c>
      <c r="L113" s="129" t="s">
        <v>298</v>
      </c>
      <c r="M113" s="129" t="s">
        <v>405</v>
      </c>
      <c r="N113" s="129" t="s">
        <v>461</v>
      </c>
      <c r="O113" s="215"/>
      <c r="P113" s="215"/>
    </row>
    <row r="114" spans="1:16" ht="22.5" customHeight="1" x14ac:dyDescent="0.2">
      <c r="A114" s="217"/>
      <c r="B114" s="217"/>
      <c r="C114" s="217"/>
      <c r="D114" s="217"/>
      <c r="E114" s="218"/>
      <c r="F114" s="219"/>
      <c r="G114" s="220"/>
      <c r="H114" s="221"/>
      <c r="I114" s="221"/>
      <c r="J114" s="221"/>
      <c r="K114" s="222"/>
      <c r="L114" s="223"/>
      <c r="M114" s="223"/>
      <c r="N114" s="223"/>
      <c r="O114" s="215"/>
      <c r="P114" s="215"/>
    </row>
    <row r="115" spans="1:16" ht="27.75" customHeight="1" x14ac:dyDescent="0.2">
      <c r="A115" s="215"/>
      <c r="B115" s="215"/>
      <c r="C115" s="215"/>
      <c r="D115" s="224"/>
      <c r="E115" s="224"/>
      <c r="F115" s="224"/>
      <c r="G115" s="224"/>
      <c r="H115" s="225"/>
      <c r="I115" s="226"/>
      <c r="J115" s="226"/>
      <c r="K115" s="215"/>
      <c r="L115" s="215"/>
      <c r="M115" s="215"/>
      <c r="N115" s="215"/>
      <c r="O115" s="215"/>
    </row>
    <row r="116" spans="1:16" ht="39.950000000000003" customHeight="1" x14ac:dyDescent="0.2">
      <c r="A116" s="371" t="str">
        <f>Overview!B98&amp;" - Effective from "&amp;Overview!D98&amp;" - Final new or amended EHV line loss factors in SP Distribution Area (GSP Group_N)"</f>
        <v xml:space="preserve"> - Effective from  - Final new or amended EHV line loss factors in SP Distribution Area (GSP Group_N)</v>
      </c>
      <c r="B116" s="371"/>
      <c r="C116" s="371"/>
      <c r="D116" s="371"/>
      <c r="E116" s="371"/>
      <c r="F116" s="371"/>
      <c r="G116" s="371"/>
      <c r="H116" s="371"/>
      <c r="I116" s="371"/>
      <c r="J116" s="371"/>
      <c r="K116" s="371"/>
      <c r="L116" s="371"/>
      <c r="M116" s="371"/>
      <c r="N116" s="371"/>
    </row>
    <row r="117" spans="1:16" ht="65.099999999999994" customHeight="1" x14ac:dyDescent="0.2">
      <c r="A117" s="19" t="s">
        <v>499</v>
      </c>
      <c r="B117" s="19" t="s">
        <v>475</v>
      </c>
      <c r="C117" s="19" t="s">
        <v>286</v>
      </c>
      <c r="D117" s="19" t="s">
        <v>476</v>
      </c>
      <c r="E117" s="19" t="s">
        <v>287</v>
      </c>
      <c r="F117" s="216" t="s">
        <v>29</v>
      </c>
      <c r="G117" s="227" t="s">
        <v>485</v>
      </c>
      <c r="H117" s="227" t="s">
        <v>486</v>
      </c>
      <c r="I117" s="227" t="s">
        <v>487</v>
      </c>
      <c r="J117" s="227" t="s">
        <v>488</v>
      </c>
      <c r="K117" s="228" t="s">
        <v>490</v>
      </c>
      <c r="L117" s="228" t="s">
        <v>491</v>
      </c>
      <c r="M117" s="228" t="s">
        <v>492</v>
      </c>
      <c r="N117" s="228" t="s">
        <v>493</v>
      </c>
    </row>
    <row r="118" spans="1:16" ht="22.5" customHeight="1" x14ac:dyDescent="0.2">
      <c r="A118" s="217"/>
      <c r="B118" s="217"/>
      <c r="C118" s="217"/>
      <c r="D118" s="217"/>
      <c r="E118" s="218"/>
      <c r="F118" s="229"/>
      <c r="G118" s="230"/>
      <c r="H118" s="230"/>
      <c r="I118" s="231"/>
      <c r="J118" s="232"/>
      <c r="K118" s="233"/>
      <c r="L118" s="233"/>
      <c r="M118" s="233"/>
      <c r="N118" s="233"/>
    </row>
    <row r="119" spans="1:16" ht="27.75" customHeight="1" thickBot="1" x14ac:dyDescent="0.25">
      <c r="A119" s="234"/>
      <c r="B119" s="234"/>
      <c r="C119" s="234"/>
      <c r="D119" s="235"/>
      <c r="E119" s="235"/>
      <c r="F119" s="235"/>
      <c r="G119" s="235"/>
      <c r="H119" s="236"/>
      <c r="I119" s="237"/>
      <c r="J119" s="237"/>
      <c r="K119" s="234"/>
      <c r="L119" s="234"/>
      <c r="M119" s="234"/>
      <c r="N119" s="238"/>
      <c r="O119" s="238"/>
      <c r="P119" s="238"/>
    </row>
    <row r="120" spans="1:16" ht="27.75" customHeight="1" x14ac:dyDescent="0.2">
      <c r="A120" s="239"/>
      <c r="B120" s="239"/>
      <c r="C120" s="239"/>
      <c r="D120" s="240"/>
      <c r="E120" s="240"/>
      <c r="F120" s="240"/>
      <c r="G120" s="240"/>
      <c r="H120" s="241"/>
      <c r="I120" s="242"/>
      <c r="J120" s="242"/>
      <c r="K120" s="239"/>
      <c r="L120" s="239"/>
      <c r="M120" s="239"/>
      <c r="N120" s="215"/>
      <c r="O120" s="215"/>
      <c r="P120" s="215"/>
    </row>
    <row r="121" spans="1:16" ht="42" customHeight="1" x14ac:dyDescent="0.2">
      <c r="A121" s="371" t="str">
        <f>Overview!B74&amp;" - Effective from "&amp;Overview!D74&amp;" - Final new or amended EHV charges in SSE SHEPD Area (GSP Group_P)"</f>
        <v xml:space="preserve"> - Effective from  - Final new or amended EHV charges in SSE SHEPD Area (GSP Group_P)</v>
      </c>
      <c r="B121" s="371"/>
      <c r="C121" s="371"/>
      <c r="D121" s="371"/>
      <c r="E121" s="371"/>
      <c r="F121" s="371"/>
      <c r="G121" s="371"/>
      <c r="H121" s="371"/>
      <c r="I121" s="371"/>
      <c r="J121" s="371"/>
      <c r="K121" s="371"/>
      <c r="L121" s="371"/>
      <c r="M121" s="371"/>
      <c r="N121" s="371"/>
      <c r="O121" s="215"/>
    </row>
    <row r="122" spans="1:16" ht="68.25" customHeight="1" x14ac:dyDescent="0.2">
      <c r="A122" s="19" t="s">
        <v>499</v>
      </c>
      <c r="B122" s="19" t="s">
        <v>475</v>
      </c>
      <c r="C122" s="19" t="s">
        <v>286</v>
      </c>
      <c r="D122" s="19" t="s">
        <v>476</v>
      </c>
      <c r="E122" s="19" t="s">
        <v>287</v>
      </c>
      <c r="F122" s="216" t="s">
        <v>29</v>
      </c>
      <c r="G122" s="130" t="s">
        <v>406</v>
      </c>
      <c r="H122" s="129" t="s">
        <v>297</v>
      </c>
      <c r="I122" s="129" t="s">
        <v>404</v>
      </c>
      <c r="J122" s="129" t="s">
        <v>460</v>
      </c>
      <c r="K122" s="129" t="s">
        <v>407</v>
      </c>
      <c r="L122" s="129" t="s">
        <v>298</v>
      </c>
      <c r="M122" s="129" t="s">
        <v>405</v>
      </c>
      <c r="N122" s="129" t="s">
        <v>461</v>
      </c>
      <c r="O122" s="215"/>
      <c r="P122" s="215"/>
    </row>
    <row r="123" spans="1:16" ht="27.75" customHeight="1" x14ac:dyDescent="0.2">
      <c r="A123" s="217"/>
      <c r="B123" s="217"/>
      <c r="C123" s="217"/>
      <c r="D123" s="217"/>
      <c r="E123" s="218"/>
      <c r="F123" s="219"/>
      <c r="G123" s="220"/>
      <c r="H123" s="221"/>
      <c r="I123" s="221"/>
      <c r="J123" s="221"/>
      <c r="K123" s="222"/>
      <c r="L123" s="223"/>
      <c r="M123" s="223"/>
      <c r="N123" s="223"/>
      <c r="O123" s="215"/>
      <c r="P123" s="215"/>
    </row>
    <row r="124" spans="1:16" ht="27.75" customHeight="1" x14ac:dyDescent="0.2">
      <c r="A124" s="215"/>
      <c r="B124" s="215"/>
      <c r="C124" s="215"/>
      <c r="D124" s="224"/>
      <c r="E124" s="224"/>
      <c r="F124" s="224"/>
      <c r="G124" s="224"/>
      <c r="H124" s="225"/>
      <c r="I124" s="226"/>
      <c r="J124" s="226"/>
      <c r="K124" s="215"/>
      <c r="L124" s="215"/>
      <c r="M124" s="215"/>
      <c r="N124" s="215"/>
      <c r="O124" s="215"/>
    </row>
    <row r="125" spans="1:16" ht="48" customHeight="1" x14ac:dyDescent="0.2">
      <c r="A125" s="371" t="str">
        <f>Overview!B74&amp;" - Effective from "&amp;Overview!D74&amp;" - Final new or amended EHV line loss factors in SSE SHEPD Area (GSP Group_P)"</f>
        <v xml:space="preserve"> - Effective from  - Final new or amended EHV line loss factors in SSE SHEPD Area (GSP Group_P)</v>
      </c>
      <c r="B125" s="371"/>
      <c r="C125" s="371"/>
      <c r="D125" s="371"/>
      <c r="E125" s="371"/>
      <c r="F125" s="371"/>
      <c r="G125" s="371"/>
      <c r="H125" s="371"/>
      <c r="I125" s="371"/>
      <c r="J125" s="371"/>
      <c r="K125" s="371"/>
      <c r="L125" s="371"/>
      <c r="M125" s="371"/>
      <c r="N125" s="371"/>
      <c r="O125" s="371"/>
      <c r="P125" s="371"/>
    </row>
    <row r="126" spans="1:16" ht="45.75" customHeight="1" x14ac:dyDescent="0.2">
      <c r="A126" s="19" t="s">
        <v>499</v>
      </c>
      <c r="B126" s="19" t="s">
        <v>475</v>
      </c>
      <c r="C126" s="19" t="s">
        <v>286</v>
      </c>
      <c r="D126" s="19" t="s">
        <v>476</v>
      </c>
      <c r="E126" s="19" t="s">
        <v>287</v>
      </c>
      <c r="F126" s="216" t="s">
        <v>29</v>
      </c>
      <c r="G126" s="227" t="s">
        <v>485</v>
      </c>
      <c r="H126" s="227" t="s">
        <v>486</v>
      </c>
      <c r="I126" s="227" t="s">
        <v>487</v>
      </c>
      <c r="J126" s="227" t="s">
        <v>488</v>
      </c>
      <c r="K126" s="227" t="s">
        <v>489</v>
      </c>
      <c r="L126" s="228" t="s">
        <v>490</v>
      </c>
      <c r="M126" s="228" t="s">
        <v>491</v>
      </c>
      <c r="N126" s="228" t="s">
        <v>492</v>
      </c>
      <c r="O126" s="228" t="s">
        <v>493</v>
      </c>
      <c r="P126" s="228" t="s">
        <v>494</v>
      </c>
    </row>
    <row r="127" spans="1:16" ht="27.75" customHeight="1" x14ac:dyDescent="0.2">
      <c r="A127" s="217"/>
      <c r="B127" s="217"/>
      <c r="C127" s="217"/>
      <c r="D127" s="217"/>
      <c r="E127" s="218"/>
      <c r="F127" s="229"/>
      <c r="G127" s="230"/>
      <c r="H127" s="230"/>
      <c r="I127" s="231"/>
      <c r="J127" s="232"/>
      <c r="K127" s="232"/>
      <c r="L127" s="233"/>
      <c r="M127" s="233"/>
      <c r="N127" s="233"/>
      <c r="O127" s="233"/>
      <c r="P127" s="233"/>
    </row>
    <row r="128" spans="1:16" ht="27.75" customHeight="1" thickBot="1" x14ac:dyDescent="0.25">
      <c r="A128" s="234"/>
      <c r="B128" s="234"/>
      <c r="C128" s="234"/>
      <c r="D128" s="235"/>
      <c r="E128" s="235"/>
      <c r="F128" s="235"/>
      <c r="G128" s="235"/>
      <c r="H128" s="236"/>
      <c r="I128" s="237"/>
      <c r="J128" s="237"/>
      <c r="K128" s="234"/>
      <c r="L128" s="234"/>
      <c r="M128" s="234"/>
      <c r="N128" s="234"/>
      <c r="O128" s="234"/>
      <c r="P128" s="238"/>
    </row>
  </sheetData>
  <mergeCells count="29">
    <mergeCell ref="A112:N112"/>
    <mergeCell ref="A116:N116"/>
    <mergeCell ref="A121:N121"/>
    <mergeCell ref="A125:P125"/>
    <mergeCell ref="A85:N85"/>
    <mergeCell ref="A94:N94"/>
    <mergeCell ref="A98:N98"/>
    <mergeCell ref="A103:N103"/>
    <mergeCell ref="A107:N107"/>
    <mergeCell ref="A89:N89"/>
    <mergeCell ref="A58:N58"/>
    <mergeCell ref="A62:N62"/>
    <mergeCell ref="A80:P80"/>
    <mergeCell ref="A4:N4"/>
    <mergeCell ref="A8:P8"/>
    <mergeCell ref="A13:N13"/>
    <mergeCell ref="A76:N76"/>
    <mergeCell ref="A35:N35"/>
    <mergeCell ref="A40:N40"/>
    <mergeCell ref="A44:N44"/>
    <mergeCell ref="A49:N49"/>
    <mergeCell ref="A53:N53"/>
    <mergeCell ref="A67:N67"/>
    <mergeCell ref="A71:P71"/>
    <mergeCell ref="A2:P2"/>
    <mergeCell ref="A17:N17"/>
    <mergeCell ref="A22:N22"/>
    <mergeCell ref="A26:P26"/>
    <mergeCell ref="A31:N31"/>
  </mergeCells>
  <hyperlinks>
    <hyperlink ref="A1" location="Overview!A1" display="Back to Overview" xr:uid="{E5B7E448-B7F4-4B65-99E6-D1E8170D7A21}"/>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2171-904A-49E7-868E-71EF985E375B}">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UKPN EPN Area (GSP Group_A)"</f>
        <v>Leep Electricity Networks Limited - Effective from 1 April 2026 - Final Supplier of Last Resort and Eligible Bad Debt Pass-Through Costs in UKPN EPN Area (GSP Group_A)</v>
      </c>
      <c r="B2" s="521"/>
      <c r="C2" s="521"/>
      <c r="D2" s="521"/>
      <c r="E2" s="522"/>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845</v>
      </c>
      <c r="D5" s="330" t="s">
        <v>840</v>
      </c>
      <c r="E5" s="330" t="s">
        <v>840</v>
      </c>
    </row>
    <row r="6" spans="1:6" ht="27" customHeight="1" x14ac:dyDescent="0.2">
      <c r="A6" s="10" t="s">
        <v>774</v>
      </c>
      <c r="B6" s="28"/>
      <c r="C6" s="313" t="s">
        <v>846</v>
      </c>
      <c r="D6" s="331" t="s">
        <v>840</v>
      </c>
      <c r="E6" s="330" t="s">
        <v>840</v>
      </c>
    </row>
    <row r="7" spans="1:6" ht="27" customHeight="1" x14ac:dyDescent="0.2">
      <c r="A7" s="10" t="s">
        <v>775</v>
      </c>
      <c r="B7" s="28"/>
      <c r="C7" s="313" t="s">
        <v>846</v>
      </c>
      <c r="D7" s="331" t="s">
        <v>840</v>
      </c>
      <c r="E7" s="330" t="s">
        <v>840</v>
      </c>
    </row>
    <row r="8" spans="1:6" ht="27" customHeight="1" x14ac:dyDescent="0.2">
      <c r="A8" s="10" t="s">
        <v>776</v>
      </c>
      <c r="B8" s="28"/>
      <c r="C8" s="313" t="s">
        <v>846</v>
      </c>
      <c r="D8" s="331" t="s">
        <v>840</v>
      </c>
      <c r="E8" s="330" t="s">
        <v>840</v>
      </c>
    </row>
    <row r="9" spans="1:6" ht="27" customHeight="1" x14ac:dyDescent="0.2">
      <c r="A9" s="10" t="s">
        <v>777</v>
      </c>
      <c r="B9" s="28"/>
      <c r="C9" s="313" t="s">
        <v>846</v>
      </c>
      <c r="D9" s="331" t="s">
        <v>840</v>
      </c>
      <c r="E9" s="330" t="s">
        <v>840</v>
      </c>
    </row>
    <row r="10" spans="1:6" ht="27" customHeight="1" x14ac:dyDescent="0.2">
      <c r="A10" s="10" t="s">
        <v>778</v>
      </c>
      <c r="B10" s="28"/>
      <c r="C10" s="313" t="s">
        <v>846</v>
      </c>
      <c r="D10" s="331" t="s">
        <v>840</v>
      </c>
      <c r="E10" s="330" t="s">
        <v>840</v>
      </c>
    </row>
    <row r="11" spans="1:6" ht="27" customHeight="1" x14ac:dyDescent="0.2">
      <c r="A11" s="324" t="s">
        <v>595</v>
      </c>
      <c r="B11" s="28"/>
      <c r="C11" s="313">
        <v>0</v>
      </c>
      <c r="D11" s="331" t="s">
        <v>840</v>
      </c>
      <c r="E11" s="330" t="s">
        <v>840</v>
      </c>
    </row>
    <row r="12" spans="1:6" ht="27" customHeight="1" x14ac:dyDescent="0.2">
      <c r="A12" s="324" t="s">
        <v>596</v>
      </c>
      <c r="B12" s="28"/>
      <c r="C12" s="313">
        <v>0</v>
      </c>
      <c r="D12" s="331" t="s">
        <v>840</v>
      </c>
      <c r="E12" s="330" t="s">
        <v>840</v>
      </c>
    </row>
    <row r="13" spans="1:6" ht="27.75" customHeight="1" x14ac:dyDescent="0.2">
      <c r="A13" s="324" t="s">
        <v>597</v>
      </c>
      <c r="B13" s="28"/>
      <c r="C13" s="313">
        <v>0</v>
      </c>
      <c r="D13" s="331" t="s">
        <v>840</v>
      </c>
      <c r="E13" s="330" t="s">
        <v>840</v>
      </c>
    </row>
    <row r="14" spans="1:6" ht="27.75" customHeight="1" x14ac:dyDescent="0.2">
      <c r="A14" s="325" t="s">
        <v>598</v>
      </c>
      <c r="B14" s="28"/>
      <c r="C14" s="313">
        <v>0</v>
      </c>
      <c r="D14" s="331" t="s">
        <v>840</v>
      </c>
      <c r="E14" s="330" t="s">
        <v>840</v>
      </c>
    </row>
    <row r="15" spans="1:6" ht="27.75" customHeight="1" x14ac:dyDescent="0.2">
      <c r="A15" s="325" t="s">
        <v>599</v>
      </c>
      <c r="B15" s="28"/>
      <c r="C15" s="313">
        <v>0</v>
      </c>
      <c r="D15" s="331" t="s">
        <v>840</v>
      </c>
      <c r="E15" s="330" t="s">
        <v>840</v>
      </c>
    </row>
    <row r="16" spans="1:6" ht="27.75" customHeight="1" x14ac:dyDescent="0.2">
      <c r="A16" s="325" t="s">
        <v>600</v>
      </c>
      <c r="B16" s="28"/>
      <c r="C16" s="313">
        <v>0</v>
      </c>
      <c r="D16" s="331" t="s">
        <v>840</v>
      </c>
      <c r="E16" s="330" t="s">
        <v>840</v>
      </c>
    </row>
    <row r="17" spans="1:5" ht="27.75" customHeight="1" x14ac:dyDescent="0.2">
      <c r="A17" s="325" t="s">
        <v>601</v>
      </c>
      <c r="B17" s="28"/>
      <c r="C17" s="313">
        <v>0</v>
      </c>
      <c r="D17" s="331" t="s">
        <v>840</v>
      </c>
      <c r="E17" s="330" t="s">
        <v>840</v>
      </c>
    </row>
    <row r="18" spans="1:5" ht="27.75" customHeight="1" x14ac:dyDescent="0.2">
      <c r="A18" s="325" t="s">
        <v>602</v>
      </c>
      <c r="B18" s="28"/>
      <c r="C18" s="313">
        <v>0</v>
      </c>
      <c r="D18" s="331" t="s">
        <v>840</v>
      </c>
      <c r="E18" s="330" t="s">
        <v>840</v>
      </c>
    </row>
    <row r="19" spans="1:5" ht="27.75" customHeight="1" x14ac:dyDescent="0.2">
      <c r="A19" s="325" t="s">
        <v>603</v>
      </c>
      <c r="B19" s="28"/>
      <c r="C19" s="313">
        <v>0</v>
      </c>
      <c r="D19" s="331" t="s">
        <v>840</v>
      </c>
      <c r="E19" s="330" t="s">
        <v>840</v>
      </c>
    </row>
    <row r="20" spans="1:5" ht="27.75" customHeight="1" x14ac:dyDescent="0.2">
      <c r="A20" s="325" t="s">
        <v>604</v>
      </c>
      <c r="B20" s="28"/>
      <c r="C20" s="313">
        <v>0</v>
      </c>
      <c r="D20" s="331" t="s">
        <v>840</v>
      </c>
      <c r="E20" s="330" t="s">
        <v>840</v>
      </c>
    </row>
    <row r="21" spans="1:5" ht="27.75" customHeight="1" x14ac:dyDescent="0.2">
      <c r="A21" s="325" t="s">
        <v>605</v>
      </c>
      <c r="B21" s="28"/>
      <c r="C21" s="313">
        <v>0</v>
      </c>
      <c r="D21" s="331" t="s">
        <v>840</v>
      </c>
      <c r="E21" s="330" t="s">
        <v>840</v>
      </c>
    </row>
    <row r="22" spans="1:5" ht="27.75" customHeight="1" x14ac:dyDescent="0.2">
      <c r="A22" s="324" t="s">
        <v>606</v>
      </c>
      <c r="B22" s="28"/>
      <c r="C22" s="313">
        <v>0</v>
      </c>
      <c r="D22" s="331" t="s">
        <v>840</v>
      </c>
      <c r="E22" s="330" t="s">
        <v>840</v>
      </c>
    </row>
    <row r="23" spans="1:5" ht="27.75" customHeight="1" x14ac:dyDescent="0.2">
      <c r="A23" s="324" t="s">
        <v>607</v>
      </c>
      <c r="B23" s="28"/>
      <c r="C23" s="313">
        <v>0</v>
      </c>
      <c r="D23" s="331" t="s">
        <v>840</v>
      </c>
      <c r="E23" s="330" t="s">
        <v>840</v>
      </c>
    </row>
    <row r="24" spans="1:5" ht="27.75" customHeight="1" x14ac:dyDescent="0.2">
      <c r="A24" s="324" t="s">
        <v>608</v>
      </c>
      <c r="B24" s="28"/>
      <c r="C24" s="313">
        <v>0</v>
      </c>
      <c r="D24" s="331" t="s">
        <v>840</v>
      </c>
      <c r="E24" s="330" t="s">
        <v>840</v>
      </c>
    </row>
    <row r="25" spans="1:5" ht="27.75" customHeight="1" x14ac:dyDescent="0.2">
      <c r="A25" s="324" t="s">
        <v>609</v>
      </c>
      <c r="B25" s="28"/>
      <c r="C25" s="313">
        <v>0</v>
      </c>
      <c r="D25" s="330" t="s">
        <v>840</v>
      </c>
      <c r="E25" s="330" t="s">
        <v>840</v>
      </c>
    </row>
    <row r="26" spans="1:5" ht="27.75" customHeight="1" x14ac:dyDescent="0.2">
      <c r="A26" s="324" t="s">
        <v>779</v>
      </c>
      <c r="B26" s="28" t="s">
        <v>1228</v>
      </c>
      <c r="C26" s="313" t="s">
        <v>845</v>
      </c>
      <c r="D26" s="331" t="s">
        <v>840</v>
      </c>
      <c r="E26" s="330" t="s">
        <v>840</v>
      </c>
    </row>
    <row r="27" spans="1:5" ht="27.75" customHeight="1" x14ac:dyDescent="0.2">
      <c r="A27" s="324" t="s">
        <v>786</v>
      </c>
      <c r="B27" s="28" t="s">
        <v>1229</v>
      </c>
      <c r="C27" s="313" t="s">
        <v>846</v>
      </c>
      <c r="D27" s="331" t="s">
        <v>840</v>
      </c>
      <c r="E27" s="330" t="s">
        <v>840</v>
      </c>
    </row>
    <row r="28" spans="1:5" ht="27.75" customHeight="1" x14ac:dyDescent="0.2">
      <c r="A28" s="324" t="s">
        <v>793</v>
      </c>
      <c r="B28" s="28" t="s">
        <v>1230</v>
      </c>
      <c r="C28" s="313" t="s">
        <v>846</v>
      </c>
      <c r="D28" s="331" t="s">
        <v>840</v>
      </c>
      <c r="E28" s="330" t="s">
        <v>840</v>
      </c>
    </row>
    <row r="29" spans="1:5" ht="27.75" customHeight="1" x14ac:dyDescent="0.2">
      <c r="A29" s="324" t="s">
        <v>800</v>
      </c>
      <c r="B29" s="28" t="s">
        <v>1231</v>
      </c>
      <c r="C29" s="313" t="s">
        <v>846</v>
      </c>
      <c r="D29" s="331" t="s">
        <v>840</v>
      </c>
      <c r="E29" s="330" t="s">
        <v>840</v>
      </c>
    </row>
    <row r="30" spans="1:5" ht="27.75" customHeight="1" x14ac:dyDescent="0.2">
      <c r="A30" s="324" t="s">
        <v>807</v>
      </c>
      <c r="B30" s="28" t="s">
        <v>1232</v>
      </c>
      <c r="C30" s="313" t="s">
        <v>846</v>
      </c>
      <c r="D30" s="331" t="s">
        <v>840</v>
      </c>
      <c r="E30" s="330" t="s">
        <v>840</v>
      </c>
    </row>
    <row r="31" spans="1:5" ht="27.75" customHeight="1" x14ac:dyDescent="0.2">
      <c r="A31" s="324" t="s">
        <v>814</v>
      </c>
      <c r="B31" s="28" t="s">
        <v>1233</v>
      </c>
      <c r="C31" s="313" t="s">
        <v>846</v>
      </c>
      <c r="D31" s="331" t="s">
        <v>840</v>
      </c>
      <c r="E31" s="330" t="s">
        <v>840</v>
      </c>
    </row>
    <row r="32" spans="1:5" ht="27.75" customHeight="1" x14ac:dyDescent="0.2">
      <c r="A32" s="324" t="s">
        <v>643</v>
      </c>
      <c r="B32" s="28" t="s">
        <v>840</v>
      </c>
      <c r="C32" s="313">
        <v>0</v>
      </c>
      <c r="D32" s="331" t="s">
        <v>840</v>
      </c>
      <c r="E32" s="330" t="s">
        <v>840</v>
      </c>
    </row>
    <row r="33" spans="1:5" ht="27.75" customHeight="1" x14ac:dyDescent="0.2">
      <c r="A33" s="324" t="s">
        <v>644</v>
      </c>
      <c r="B33" s="28" t="s">
        <v>1234</v>
      </c>
      <c r="C33" s="313">
        <v>0</v>
      </c>
      <c r="D33" s="331" t="s">
        <v>840</v>
      </c>
      <c r="E33" s="330" t="s">
        <v>840</v>
      </c>
    </row>
    <row r="34" spans="1:5" ht="27.75" customHeight="1" x14ac:dyDescent="0.2">
      <c r="A34" s="324" t="s">
        <v>645</v>
      </c>
      <c r="B34" s="28" t="s">
        <v>1235</v>
      </c>
      <c r="C34" s="313">
        <v>0</v>
      </c>
      <c r="D34" s="331" t="s">
        <v>840</v>
      </c>
      <c r="E34" s="330" t="s">
        <v>840</v>
      </c>
    </row>
    <row r="35" spans="1:5" ht="27.75" customHeight="1" x14ac:dyDescent="0.2">
      <c r="A35" s="324" t="s">
        <v>646</v>
      </c>
      <c r="B35" s="28" t="s">
        <v>1236</v>
      </c>
      <c r="C35" s="313">
        <v>0</v>
      </c>
      <c r="D35" s="331" t="s">
        <v>840</v>
      </c>
      <c r="E35" s="330" t="s">
        <v>840</v>
      </c>
    </row>
    <row r="36" spans="1:5" ht="27.75" customHeight="1" x14ac:dyDescent="0.2">
      <c r="A36" s="325" t="s">
        <v>647</v>
      </c>
      <c r="B36" s="28" t="s">
        <v>1237</v>
      </c>
      <c r="C36" s="313">
        <v>0</v>
      </c>
      <c r="D36" s="330" t="s">
        <v>840</v>
      </c>
      <c r="E36" s="330" t="s">
        <v>840</v>
      </c>
    </row>
    <row r="37" spans="1:5" ht="27.75" customHeight="1" x14ac:dyDescent="0.2">
      <c r="A37" s="324" t="s">
        <v>780</v>
      </c>
      <c r="B37" s="28" t="e">
        <v>#N/A</v>
      </c>
      <c r="C37" s="313" t="s">
        <v>845</v>
      </c>
      <c r="D37" s="331" t="s">
        <v>840</v>
      </c>
      <c r="E37" s="330" t="s">
        <v>840</v>
      </c>
    </row>
    <row r="38" spans="1:5" ht="27.75" customHeight="1" x14ac:dyDescent="0.2">
      <c r="A38" s="324" t="s">
        <v>787</v>
      </c>
      <c r="B38" s="28" t="s">
        <v>1238</v>
      </c>
      <c r="C38" s="313" t="s">
        <v>846</v>
      </c>
      <c r="D38" s="331" t="s">
        <v>840</v>
      </c>
      <c r="E38" s="330" t="s">
        <v>840</v>
      </c>
    </row>
    <row r="39" spans="1:5" ht="27.75" customHeight="1" x14ac:dyDescent="0.2">
      <c r="A39" s="324" t="s">
        <v>794</v>
      </c>
      <c r="B39" s="28" t="s">
        <v>1239</v>
      </c>
      <c r="C39" s="313" t="s">
        <v>846</v>
      </c>
      <c r="D39" s="331" t="s">
        <v>840</v>
      </c>
      <c r="E39" s="330" t="s">
        <v>840</v>
      </c>
    </row>
    <row r="40" spans="1:5" ht="27.75" customHeight="1" x14ac:dyDescent="0.2">
      <c r="A40" s="324" t="s">
        <v>801</v>
      </c>
      <c r="B40" s="28" t="s">
        <v>1240</v>
      </c>
      <c r="C40" s="313" t="s">
        <v>846</v>
      </c>
      <c r="D40" s="331" t="s">
        <v>840</v>
      </c>
      <c r="E40" s="330" t="s">
        <v>840</v>
      </c>
    </row>
    <row r="41" spans="1:5" ht="27.75" customHeight="1" x14ac:dyDescent="0.2">
      <c r="A41" s="324" t="s">
        <v>808</v>
      </c>
      <c r="B41" s="28" t="s">
        <v>1241</v>
      </c>
      <c r="C41" s="313" t="s">
        <v>846</v>
      </c>
      <c r="D41" s="331" t="s">
        <v>840</v>
      </c>
      <c r="E41" s="330" t="s">
        <v>840</v>
      </c>
    </row>
    <row r="42" spans="1:5" ht="27.75" customHeight="1" x14ac:dyDescent="0.2">
      <c r="A42" s="324" t="s">
        <v>815</v>
      </c>
      <c r="B42" s="28" t="s">
        <v>1242</v>
      </c>
      <c r="C42" s="313" t="s">
        <v>846</v>
      </c>
      <c r="D42" s="331" t="s">
        <v>840</v>
      </c>
      <c r="E42" s="330" t="s">
        <v>840</v>
      </c>
    </row>
    <row r="43" spans="1:5" ht="27.75" customHeight="1" x14ac:dyDescent="0.2">
      <c r="A43" s="324" t="s">
        <v>649</v>
      </c>
      <c r="B43" s="28" t="s">
        <v>840</v>
      </c>
      <c r="C43" s="313">
        <v>0</v>
      </c>
      <c r="D43" s="331" t="s">
        <v>840</v>
      </c>
      <c r="E43" s="330" t="s">
        <v>840</v>
      </c>
    </row>
    <row r="44" spans="1:5" ht="27.75" customHeight="1" x14ac:dyDescent="0.2">
      <c r="A44" s="324" t="s">
        <v>650</v>
      </c>
      <c r="B44" s="28" t="s">
        <v>1243</v>
      </c>
      <c r="C44" s="313">
        <v>0</v>
      </c>
      <c r="D44" s="331" t="s">
        <v>840</v>
      </c>
      <c r="E44" s="330" t="s">
        <v>840</v>
      </c>
    </row>
    <row r="45" spans="1:5" ht="27.75" customHeight="1" x14ac:dyDescent="0.2">
      <c r="A45" s="324" t="s">
        <v>651</v>
      </c>
      <c r="B45" s="28" t="s">
        <v>1244</v>
      </c>
      <c r="C45" s="313">
        <v>0</v>
      </c>
      <c r="D45" s="331" t="s">
        <v>840</v>
      </c>
      <c r="E45" s="330" t="s">
        <v>840</v>
      </c>
    </row>
    <row r="46" spans="1:5" ht="27.75" customHeight="1" x14ac:dyDescent="0.2">
      <c r="A46" s="324" t="s">
        <v>652</v>
      </c>
      <c r="B46" s="28" t="s">
        <v>1245</v>
      </c>
      <c r="C46" s="313">
        <v>0</v>
      </c>
      <c r="D46" s="331" t="s">
        <v>840</v>
      </c>
      <c r="E46" s="330" t="s">
        <v>840</v>
      </c>
    </row>
    <row r="47" spans="1:5" ht="27.75" customHeight="1" x14ac:dyDescent="0.2">
      <c r="A47" s="324" t="s">
        <v>653</v>
      </c>
      <c r="B47" s="28" t="s">
        <v>1246</v>
      </c>
      <c r="C47" s="313">
        <v>0</v>
      </c>
      <c r="D47" s="331" t="s">
        <v>840</v>
      </c>
      <c r="E47" s="330" t="s">
        <v>840</v>
      </c>
    </row>
    <row r="48" spans="1:5" ht="27.75" customHeight="1" x14ac:dyDescent="0.2">
      <c r="A48" s="324" t="s">
        <v>654</v>
      </c>
      <c r="B48" s="28" t="s">
        <v>840</v>
      </c>
      <c r="C48" s="313">
        <v>0</v>
      </c>
      <c r="D48" s="331" t="s">
        <v>840</v>
      </c>
      <c r="E48" s="330" t="s">
        <v>840</v>
      </c>
    </row>
    <row r="49" spans="1:5" ht="27.75" customHeight="1" x14ac:dyDescent="0.2">
      <c r="A49" s="324" t="s">
        <v>655</v>
      </c>
      <c r="B49" s="28" t="s">
        <v>1247</v>
      </c>
      <c r="C49" s="313">
        <v>0</v>
      </c>
      <c r="D49" s="331" t="s">
        <v>840</v>
      </c>
      <c r="E49" s="330" t="s">
        <v>840</v>
      </c>
    </row>
    <row r="50" spans="1:5" ht="27.75" customHeight="1" x14ac:dyDescent="0.2">
      <c r="A50" s="324" t="s">
        <v>656</v>
      </c>
      <c r="B50" s="28" t="s">
        <v>1248</v>
      </c>
      <c r="C50" s="313">
        <v>0</v>
      </c>
      <c r="D50" s="331" t="s">
        <v>840</v>
      </c>
      <c r="E50" s="330" t="s">
        <v>840</v>
      </c>
    </row>
    <row r="51" spans="1:5" ht="27.75" customHeight="1" x14ac:dyDescent="0.2">
      <c r="A51" s="324" t="s">
        <v>657</v>
      </c>
      <c r="B51" s="28" t="s">
        <v>1249</v>
      </c>
      <c r="C51" s="313">
        <v>0</v>
      </c>
      <c r="D51" s="331" t="s">
        <v>840</v>
      </c>
      <c r="E51" s="330" t="s">
        <v>840</v>
      </c>
    </row>
    <row r="52" spans="1:5" ht="27.75" customHeight="1" x14ac:dyDescent="0.2">
      <c r="A52" s="324" t="s">
        <v>658</v>
      </c>
      <c r="B52" s="28" t="s">
        <v>1250</v>
      </c>
      <c r="C52" s="313">
        <v>0</v>
      </c>
      <c r="D52" s="331" t="s">
        <v>840</v>
      </c>
      <c r="E52" s="330" t="s">
        <v>840</v>
      </c>
    </row>
    <row r="53" spans="1:5" ht="27.75" customHeight="1" x14ac:dyDescent="0.2">
      <c r="A53" s="324" t="s">
        <v>659</v>
      </c>
      <c r="B53" s="28" t="s">
        <v>840</v>
      </c>
      <c r="C53" s="313">
        <v>0</v>
      </c>
      <c r="D53" s="331" t="s">
        <v>840</v>
      </c>
      <c r="E53" s="330" t="s">
        <v>840</v>
      </c>
    </row>
    <row r="54" spans="1:5" ht="27.75" customHeight="1" x14ac:dyDescent="0.2">
      <c r="A54" s="324" t="s">
        <v>660</v>
      </c>
      <c r="B54" s="28" t="s">
        <v>1251</v>
      </c>
      <c r="C54" s="313">
        <v>0</v>
      </c>
      <c r="D54" s="331" t="s">
        <v>840</v>
      </c>
      <c r="E54" s="330" t="s">
        <v>840</v>
      </c>
    </row>
    <row r="55" spans="1:5" ht="27.75" customHeight="1" x14ac:dyDescent="0.2">
      <c r="A55" s="324" t="s">
        <v>661</v>
      </c>
      <c r="B55" s="28" t="s">
        <v>1252</v>
      </c>
      <c r="C55" s="313">
        <v>0</v>
      </c>
      <c r="D55" s="331" t="s">
        <v>840</v>
      </c>
      <c r="E55" s="330" t="s">
        <v>840</v>
      </c>
    </row>
    <row r="56" spans="1:5" ht="27.75" customHeight="1" x14ac:dyDescent="0.2">
      <c r="A56" s="324" t="s">
        <v>662</v>
      </c>
      <c r="B56" s="28" t="s">
        <v>1253</v>
      </c>
      <c r="C56" s="313">
        <v>0</v>
      </c>
      <c r="D56" s="331" t="s">
        <v>840</v>
      </c>
      <c r="E56" s="330" t="s">
        <v>840</v>
      </c>
    </row>
    <row r="57" spans="1:5" ht="27.75" customHeight="1" x14ac:dyDescent="0.2">
      <c r="A57" s="324" t="s">
        <v>663</v>
      </c>
      <c r="B57" s="28" t="s">
        <v>1254</v>
      </c>
      <c r="C57" s="313">
        <v>0</v>
      </c>
      <c r="D57" s="330" t="s">
        <v>840</v>
      </c>
      <c r="E57" s="330" t="s">
        <v>840</v>
      </c>
    </row>
    <row r="58" spans="1:5" ht="27.75" customHeight="1" x14ac:dyDescent="0.2">
      <c r="A58" s="324" t="s">
        <v>781</v>
      </c>
      <c r="B58" s="28" t="e">
        <v>#N/A</v>
      </c>
      <c r="C58" s="313" t="s">
        <v>845</v>
      </c>
      <c r="D58" s="331" t="s">
        <v>840</v>
      </c>
      <c r="E58" s="330" t="s">
        <v>840</v>
      </c>
    </row>
    <row r="59" spans="1:5" ht="27.75" customHeight="1" x14ac:dyDescent="0.2">
      <c r="A59" s="324" t="s">
        <v>788</v>
      </c>
      <c r="B59" s="28" t="s">
        <v>1255</v>
      </c>
      <c r="C59" s="313" t="s">
        <v>846</v>
      </c>
      <c r="D59" s="331" t="s">
        <v>840</v>
      </c>
      <c r="E59" s="330" t="s">
        <v>840</v>
      </c>
    </row>
    <row r="60" spans="1:5" ht="27.75" customHeight="1" x14ac:dyDescent="0.2">
      <c r="A60" s="324" t="s">
        <v>795</v>
      </c>
      <c r="B60" s="28" t="s">
        <v>1256</v>
      </c>
      <c r="C60" s="313" t="s">
        <v>846</v>
      </c>
      <c r="D60" s="331" t="s">
        <v>840</v>
      </c>
      <c r="E60" s="330" t="s">
        <v>840</v>
      </c>
    </row>
    <row r="61" spans="1:5" ht="27.75" customHeight="1" x14ac:dyDescent="0.2">
      <c r="A61" s="324" t="s">
        <v>802</v>
      </c>
      <c r="B61" s="28" t="s">
        <v>1257</v>
      </c>
      <c r="C61" s="313" t="s">
        <v>846</v>
      </c>
      <c r="D61" s="331" t="s">
        <v>840</v>
      </c>
      <c r="E61" s="330" t="s">
        <v>840</v>
      </c>
    </row>
    <row r="62" spans="1:5" ht="27.75" customHeight="1" x14ac:dyDescent="0.2">
      <c r="A62" s="324" t="s">
        <v>809</v>
      </c>
      <c r="B62" s="28" t="s">
        <v>1258</v>
      </c>
      <c r="C62" s="313" t="s">
        <v>846</v>
      </c>
      <c r="D62" s="331" t="s">
        <v>840</v>
      </c>
      <c r="E62" s="330" t="s">
        <v>840</v>
      </c>
    </row>
    <row r="63" spans="1:5" ht="27.75" customHeight="1" x14ac:dyDescent="0.2">
      <c r="A63" s="324" t="s">
        <v>816</v>
      </c>
      <c r="B63" s="28" t="s">
        <v>1259</v>
      </c>
      <c r="C63" s="313" t="s">
        <v>846</v>
      </c>
      <c r="D63" s="331" t="s">
        <v>840</v>
      </c>
      <c r="E63" s="330" t="s">
        <v>840</v>
      </c>
    </row>
    <row r="64" spans="1:5" ht="27.75" customHeight="1" x14ac:dyDescent="0.2">
      <c r="A64" s="324" t="s">
        <v>665</v>
      </c>
      <c r="B64" s="28" t="s">
        <v>840</v>
      </c>
      <c r="C64" s="313">
        <v>0</v>
      </c>
      <c r="D64" s="331" t="s">
        <v>840</v>
      </c>
      <c r="E64" s="330" t="s">
        <v>840</v>
      </c>
    </row>
    <row r="65" spans="1:5" ht="27.75" customHeight="1" x14ac:dyDescent="0.2">
      <c r="A65" s="324" t="s">
        <v>666</v>
      </c>
      <c r="B65" s="28" t="s">
        <v>1260</v>
      </c>
      <c r="C65" s="313">
        <v>0</v>
      </c>
      <c r="D65" s="331" t="s">
        <v>840</v>
      </c>
      <c r="E65" s="330" t="s">
        <v>840</v>
      </c>
    </row>
    <row r="66" spans="1:5" ht="27.75" customHeight="1" x14ac:dyDescent="0.2">
      <c r="A66" s="324" t="s">
        <v>667</v>
      </c>
      <c r="B66" s="28" t="s">
        <v>1261</v>
      </c>
      <c r="C66" s="313">
        <v>0</v>
      </c>
      <c r="D66" s="331" t="s">
        <v>840</v>
      </c>
      <c r="E66" s="330" t="s">
        <v>840</v>
      </c>
    </row>
    <row r="67" spans="1:5" ht="27.75" customHeight="1" x14ac:dyDescent="0.2">
      <c r="A67" s="324" t="s">
        <v>668</v>
      </c>
      <c r="B67" s="28" t="s">
        <v>1262</v>
      </c>
      <c r="C67" s="313">
        <v>0</v>
      </c>
      <c r="D67" s="331" t="s">
        <v>840</v>
      </c>
      <c r="E67" s="330" t="s">
        <v>840</v>
      </c>
    </row>
    <row r="68" spans="1:5" ht="27.75" customHeight="1" x14ac:dyDescent="0.2">
      <c r="A68" s="324" t="s">
        <v>669</v>
      </c>
      <c r="B68" s="28" t="s">
        <v>1263</v>
      </c>
      <c r="C68" s="313">
        <v>0</v>
      </c>
      <c r="D68" s="331" t="s">
        <v>840</v>
      </c>
      <c r="E68" s="330" t="s">
        <v>840</v>
      </c>
    </row>
    <row r="69" spans="1:5" ht="27.75" customHeight="1" x14ac:dyDescent="0.2">
      <c r="A69" s="324" t="s">
        <v>670</v>
      </c>
      <c r="B69" s="28" t="s">
        <v>840</v>
      </c>
      <c r="C69" s="313">
        <v>0</v>
      </c>
      <c r="D69" s="331" t="s">
        <v>840</v>
      </c>
      <c r="E69" s="330" t="s">
        <v>840</v>
      </c>
    </row>
    <row r="70" spans="1:5" ht="27.75" customHeight="1" x14ac:dyDescent="0.2">
      <c r="A70" s="324" t="s">
        <v>671</v>
      </c>
      <c r="B70" s="28" t="s">
        <v>1264</v>
      </c>
      <c r="C70" s="313">
        <v>0</v>
      </c>
      <c r="D70" s="331" t="s">
        <v>840</v>
      </c>
      <c r="E70" s="330" t="s">
        <v>840</v>
      </c>
    </row>
    <row r="71" spans="1:5" ht="27.75" customHeight="1" x14ac:dyDescent="0.2">
      <c r="A71" s="324" t="s">
        <v>672</v>
      </c>
      <c r="B71" s="28" t="s">
        <v>1265</v>
      </c>
      <c r="C71" s="313">
        <v>0</v>
      </c>
      <c r="D71" s="331" t="s">
        <v>840</v>
      </c>
      <c r="E71" s="330" t="s">
        <v>840</v>
      </c>
    </row>
    <row r="72" spans="1:5" ht="27.75" customHeight="1" x14ac:dyDescent="0.2">
      <c r="A72" s="324" t="s">
        <v>673</v>
      </c>
      <c r="B72" s="28" t="s">
        <v>1266</v>
      </c>
      <c r="C72" s="313">
        <v>0</v>
      </c>
      <c r="D72" s="331" t="s">
        <v>840</v>
      </c>
      <c r="E72" s="330" t="s">
        <v>840</v>
      </c>
    </row>
    <row r="73" spans="1:5" ht="27.75" customHeight="1" x14ac:dyDescent="0.2">
      <c r="A73" s="324" t="s">
        <v>674</v>
      </c>
      <c r="B73" s="28" t="s">
        <v>1267</v>
      </c>
      <c r="C73" s="313">
        <v>0</v>
      </c>
      <c r="D73" s="331" t="s">
        <v>840</v>
      </c>
      <c r="E73" s="330" t="s">
        <v>840</v>
      </c>
    </row>
    <row r="74" spans="1:5" ht="27.75" customHeight="1" x14ac:dyDescent="0.2">
      <c r="A74" s="324" t="s">
        <v>675</v>
      </c>
      <c r="B74" s="28" t="s">
        <v>840</v>
      </c>
      <c r="C74" s="313">
        <v>0</v>
      </c>
      <c r="D74" s="331" t="s">
        <v>840</v>
      </c>
      <c r="E74" s="330" t="s">
        <v>840</v>
      </c>
    </row>
    <row r="75" spans="1:5" ht="27.75" customHeight="1" x14ac:dyDescent="0.2">
      <c r="A75" s="324" t="s">
        <v>676</v>
      </c>
      <c r="B75" s="28" t="s">
        <v>1268</v>
      </c>
      <c r="C75" s="313">
        <v>0</v>
      </c>
      <c r="D75" s="331" t="s">
        <v>840</v>
      </c>
      <c r="E75" s="330" t="s">
        <v>840</v>
      </c>
    </row>
    <row r="76" spans="1:5" ht="27.75" customHeight="1" x14ac:dyDescent="0.2">
      <c r="A76" s="324" t="s">
        <v>677</v>
      </c>
      <c r="B76" s="28" t="s">
        <v>1269</v>
      </c>
      <c r="C76" s="313">
        <v>0</v>
      </c>
      <c r="D76" s="331" t="s">
        <v>840</v>
      </c>
      <c r="E76" s="330" t="s">
        <v>840</v>
      </c>
    </row>
    <row r="77" spans="1:5" ht="27.75" customHeight="1" x14ac:dyDescent="0.2">
      <c r="A77" s="324" t="s">
        <v>678</v>
      </c>
      <c r="B77" s="28" t="s">
        <v>1270</v>
      </c>
      <c r="C77" s="313">
        <v>0</v>
      </c>
      <c r="D77" s="331" t="s">
        <v>840</v>
      </c>
      <c r="E77" s="330" t="s">
        <v>840</v>
      </c>
    </row>
    <row r="78" spans="1:5" ht="27.75" customHeight="1" x14ac:dyDescent="0.2">
      <c r="A78" s="324" t="s">
        <v>679</v>
      </c>
      <c r="B78" s="28" t="s">
        <v>1271</v>
      </c>
      <c r="C78" s="313">
        <v>0</v>
      </c>
      <c r="D78" s="330" t="s">
        <v>840</v>
      </c>
      <c r="E78" s="330" t="s">
        <v>840</v>
      </c>
    </row>
    <row r="79" spans="1:5" ht="27.75" customHeight="1" x14ac:dyDescent="0.2">
      <c r="A79" s="324" t="s">
        <v>782</v>
      </c>
      <c r="B79" s="28" t="e">
        <v>#N/A</v>
      </c>
      <c r="C79" s="313" t="s">
        <v>845</v>
      </c>
      <c r="D79" s="331" t="s">
        <v>840</v>
      </c>
      <c r="E79" s="330" t="s">
        <v>840</v>
      </c>
    </row>
    <row r="80" spans="1:5" ht="27.75" customHeight="1" x14ac:dyDescent="0.2">
      <c r="A80" s="324" t="s">
        <v>789</v>
      </c>
      <c r="B80" s="28" t="s">
        <v>1272</v>
      </c>
      <c r="C80" s="313" t="s">
        <v>846</v>
      </c>
      <c r="D80" s="331" t="s">
        <v>840</v>
      </c>
      <c r="E80" s="330" t="s">
        <v>840</v>
      </c>
    </row>
    <row r="81" spans="1:5" ht="27.75" customHeight="1" x14ac:dyDescent="0.2">
      <c r="A81" s="324" t="s">
        <v>796</v>
      </c>
      <c r="B81" s="28" t="s">
        <v>1273</v>
      </c>
      <c r="C81" s="313" t="s">
        <v>846</v>
      </c>
      <c r="D81" s="331" t="s">
        <v>840</v>
      </c>
      <c r="E81" s="330" t="s">
        <v>840</v>
      </c>
    </row>
    <row r="82" spans="1:5" ht="27.75" customHeight="1" x14ac:dyDescent="0.2">
      <c r="A82" s="324" t="s">
        <v>803</v>
      </c>
      <c r="B82" s="28" t="s">
        <v>1274</v>
      </c>
      <c r="C82" s="313" t="s">
        <v>846</v>
      </c>
      <c r="D82" s="331" t="s">
        <v>840</v>
      </c>
      <c r="E82" s="330" t="s">
        <v>840</v>
      </c>
    </row>
    <row r="83" spans="1:5" ht="27.75" customHeight="1" x14ac:dyDescent="0.2">
      <c r="A83" s="324" t="s">
        <v>810</v>
      </c>
      <c r="B83" s="28" t="s">
        <v>1275</v>
      </c>
      <c r="C83" s="313" t="s">
        <v>846</v>
      </c>
      <c r="D83" s="331" t="s">
        <v>840</v>
      </c>
      <c r="E83" s="330" t="s">
        <v>840</v>
      </c>
    </row>
    <row r="84" spans="1:5" ht="27.75" customHeight="1" x14ac:dyDescent="0.2">
      <c r="A84" s="324" t="s">
        <v>817</v>
      </c>
      <c r="B84" s="28" t="s">
        <v>1276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1277</v>
      </c>
      <c r="C86" s="313">
        <v>0</v>
      </c>
      <c r="D86" s="331" t="s">
        <v>840</v>
      </c>
      <c r="E86" s="330" t="s">
        <v>840</v>
      </c>
    </row>
    <row r="87" spans="1:5" ht="27.75" customHeight="1" x14ac:dyDescent="0.2">
      <c r="A87" s="324" t="s">
        <v>683</v>
      </c>
      <c r="B87" s="28" t="s">
        <v>1278</v>
      </c>
      <c r="C87" s="313">
        <v>0</v>
      </c>
      <c r="D87" s="331" t="s">
        <v>840</v>
      </c>
      <c r="E87" s="330" t="s">
        <v>840</v>
      </c>
    </row>
    <row r="88" spans="1:5" ht="27.75" customHeight="1" x14ac:dyDescent="0.2">
      <c r="A88" s="324" t="s">
        <v>684</v>
      </c>
      <c r="B88" s="28" t="s">
        <v>1279</v>
      </c>
      <c r="C88" s="313">
        <v>0</v>
      </c>
      <c r="D88" s="331" t="s">
        <v>840</v>
      </c>
      <c r="E88" s="330" t="s">
        <v>840</v>
      </c>
    </row>
    <row r="89" spans="1:5" ht="27.75" customHeight="1" x14ac:dyDescent="0.2">
      <c r="A89" s="324" t="s">
        <v>685</v>
      </c>
      <c r="B89" s="28" t="s">
        <v>1280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1281</v>
      </c>
      <c r="C91" s="313">
        <v>0</v>
      </c>
      <c r="D91" s="331" t="s">
        <v>840</v>
      </c>
      <c r="E91" s="330" t="s">
        <v>840</v>
      </c>
    </row>
    <row r="92" spans="1:5" ht="27.75" customHeight="1" x14ac:dyDescent="0.2">
      <c r="A92" s="324" t="s">
        <v>688</v>
      </c>
      <c r="B92" s="28" t="s">
        <v>1282</v>
      </c>
      <c r="C92" s="313">
        <v>0</v>
      </c>
      <c r="D92" s="331" t="s">
        <v>840</v>
      </c>
      <c r="E92" s="330" t="s">
        <v>840</v>
      </c>
    </row>
    <row r="93" spans="1:5" ht="27.75" customHeight="1" x14ac:dyDescent="0.2">
      <c r="A93" s="324" t="s">
        <v>689</v>
      </c>
      <c r="B93" s="28" t="s">
        <v>1283</v>
      </c>
      <c r="C93" s="313">
        <v>0</v>
      </c>
      <c r="D93" s="331" t="s">
        <v>840</v>
      </c>
      <c r="E93" s="330" t="s">
        <v>840</v>
      </c>
    </row>
    <row r="94" spans="1:5" ht="27.75" customHeight="1" x14ac:dyDescent="0.2">
      <c r="A94" s="324" t="s">
        <v>690</v>
      </c>
      <c r="B94" s="28" t="s">
        <v>1284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1285</v>
      </c>
      <c r="C96" s="313">
        <v>0</v>
      </c>
      <c r="D96" s="331" t="s">
        <v>840</v>
      </c>
      <c r="E96" s="330" t="s">
        <v>840</v>
      </c>
    </row>
    <row r="97" spans="1:5" ht="27.75" customHeight="1" x14ac:dyDescent="0.2">
      <c r="A97" s="324" t="s">
        <v>693</v>
      </c>
      <c r="B97" s="28" t="s">
        <v>1286</v>
      </c>
      <c r="C97" s="313">
        <v>0</v>
      </c>
      <c r="D97" s="331" t="s">
        <v>840</v>
      </c>
      <c r="E97" s="330" t="s">
        <v>840</v>
      </c>
    </row>
    <row r="98" spans="1:5" ht="27.75" customHeight="1" x14ac:dyDescent="0.2">
      <c r="A98" s="324" t="s">
        <v>694</v>
      </c>
      <c r="B98" s="28" t="s">
        <v>1287</v>
      </c>
      <c r="C98" s="313">
        <v>0</v>
      </c>
      <c r="D98" s="331" t="s">
        <v>840</v>
      </c>
      <c r="E98" s="330" t="s">
        <v>840</v>
      </c>
    </row>
    <row r="99" spans="1:5" ht="27.75" customHeight="1" x14ac:dyDescent="0.2">
      <c r="A99" s="324" t="s">
        <v>695</v>
      </c>
      <c r="B99" s="28"/>
      <c r="C99" s="313">
        <v>0</v>
      </c>
      <c r="D99" s="330" t="s">
        <v>840</v>
      </c>
      <c r="E99" s="330" t="s">
        <v>840</v>
      </c>
    </row>
    <row r="100" spans="1:5" ht="27.75" customHeight="1" x14ac:dyDescent="0.2">
      <c r="A100" s="324" t="s">
        <v>783</v>
      </c>
      <c r="B100" s="28"/>
      <c r="C100" s="313" t="s">
        <v>845</v>
      </c>
      <c r="D100" s="331"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0" t="s">
        <v>840</v>
      </c>
      <c r="E120" s="330" t="s">
        <v>840</v>
      </c>
    </row>
    <row r="121" spans="1:5" ht="27.75" customHeight="1" x14ac:dyDescent="0.2">
      <c r="A121" s="324" t="s">
        <v>784</v>
      </c>
      <c r="B121" s="28"/>
      <c r="C121" s="313" t="s">
        <v>845</v>
      </c>
      <c r="D121" s="331"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0" t="s">
        <v>840</v>
      </c>
      <c r="E141" s="330" t="s">
        <v>840</v>
      </c>
    </row>
    <row r="142" spans="1:5" ht="27.75" customHeight="1" x14ac:dyDescent="0.2">
      <c r="A142" s="324" t="s">
        <v>785</v>
      </c>
      <c r="B142" s="28"/>
      <c r="C142" s="313" t="s">
        <v>845</v>
      </c>
      <c r="D142" s="331"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50" t="s">
        <v>743</v>
      </c>
      <c r="B162" s="28"/>
      <c r="C162" s="313">
        <v>0</v>
      </c>
      <c r="D162" s="331" t="s">
        <v>840</v>
      </c>
      <c r="E162" s="330" t="s">
        <v>840</v>
      </c>
    </row>
    <row r="163" spans="1:5" x14ac:dyDescent="0.2">
      <c r="A163" s="1" t="s">
        <v>821</v>
      </c>
    </row>
    <row r="164" spans="1:5" x14ac:dyDescent="0.2">
      <c r="A164" s="1" t="s">
        <v>822</v>
      </c>
    </row>
    <row r="165" spans="1:5" ht="27.75" customHeight="1" x14ac:dyDescent="0.2"/>
  </sheetData>
  <mergeCells count="2">
    <mergeCell ref="B1:C1"/>
    <mergeCell ref="A2:E2"/>
  </mergeCells>
  <hyperlinks>
    <hyperlink ref="A1" location="Overview!A1" display="Back to Overview" xr:uid="{46753C37-3CCF-4D29-94A6-79AB3D4D37B9}"/>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0E5C-E3B1-45B9-8E39-AF2D7D742147}">
  <dimension ref="A1:E164"/>
  <sheetViews>
    <sheetView zoomScale="70" zoomScaleNormal="70" workbookViewId="0"/>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5" ht="27.75" customHeight="1" x14ac:dyDescent="0.2">
      <c r="A1" s="32" t="s">
        <v>19</v>
      </c>
      <c r="B1" s="519"/>
      <c r="C1" s="519"/>
      <c r="D1" s="329"/>
      <c r="E1" s="329"/>
    </row>
    <row r="2" spans="1:5" ht="35.1" customHeight="1" x14ac:dyDescent="0.2">
      <c r="A2" s="520" t="str">
        <f>Overview!B4&amp; " - Effective from "&amp;TEXT(Overview!D4,"d mmmm yyyy")&amp;" - "&amp;Overview!E4&amp;" Supplier of Last Resort and Eligible Bad Debt Pass-Through Costs"&amp;" in WPD EM Area (GSP Group_B)"</f>
        <v>Leep Electricity Networks Limited - Effective from 1 April 2026 - Final Supplier of Last Resort and Eligible Bad Debt Pass-Through Costs in WPD EM Area (GSP Group_B)</v>
      </c>
      <c r="B2" s="521"/>
      <c r="C2" s="521"/>
      <c r="D2" s="521"/>
      <c r="E2" s="522"/>
    </row>
    <row r="3" spans="1:5" s="41" customFormat="1" ht="21" customHeight="1" x14ac:dyDescent="0.2">
      <c r="A3" s="46"/>
      <c r="B3" s="46"/>
      <c r="C3" s="46"/>
      <c r="D3" s="46"/>
      <c r="E3" s="46"/>
    </row>
    <row r="4" spans="1:5" ht="78.75" customHeight="1" x14ac:dyDescent="0.2">
      <c r="A4" s="19" t="s">
        <v>458</v>
      </c>
      <c r="B4" s="16" t="s">
        <v>744</v>
      </c>
      <c r="C4" s="16" t="s">
        <v>24</v>
      </c>
      <c r="D4" s="16" t="s">
        <v>745</v>
      </c>
      <c r="E4" s="16" t="s">
        <v>746</v>
      </c>
    </row>
    <row r="5" spans="1:5" ht="30" customHeight="1" x14ac:dyDescent="0.2">
      <c r="A5" s="10" t="s">
        <v>773</v>
      </c>
      <c r="B5" s="337"/>
      <c r="C5" s="338" t="s">
        <v>845</v>
      </c>
      <c r="D5" s="330">
        <v>0</v>
      </c>
      <c r="E5" s="330">
        <v>0</v>
      </c>
    </row>
    <row r="6" spans="1:5" ht="30" customHeight="1" x14ac:dyDescent="0.2">
      <c r="A6" s="10" t="s">
        <v>774</v>
      </c>
      <c r="B6" s="337"/>
      <c r="C6" s="338" t="s">
        <v>846</v>
      </c>
      <c r="D6" s="341" t="s">
        <v>840</v>
      </c>
      <c r="E6" s="340" t="s">
        <v>840</v>
      </c>
    </row>
    <row r="7" spans="1:5" ht="30" customHeight="1" x14ac:dyDescent="0.2">
      <c r="A7" s="10" t="s">
        <v>775</v>
      </c>
      <c r="B7" s="337"/>
      <c r="C7" s="338" t="s">
        <v>846</v>
      </c>
      <c r="D7" s="341" t="s">
        <v>840</v>
      </c>
      <c r="E7" s="340" t="s">
        <v>840</v>
      </c>
    </row>
    <row r="8" spans="1:5" ht="30" customHeight="1" x14ac:dyDescent="0.2">
      <c r="A8" s="10" t="s">
        <v>776</v>
      </c>
      <c r="B8" s="337"/>
      <c r="C8" s="338" t="s">
        <v>846</v>
      </c>
      <c r="D8" s="341" t="s">
        <v>840</v>
      </c>
      <c r="E8" s="340" t="s">
        <v>840</v>
      </c>
    </row>
    <row r="9" spans="1:5" ht="30" customHeight="1" x14ac:dyDescent="0.2">
      <c r="A9" s="10" t="s">
        <v>777</v>
      </c>
      <c r="B9" s="337"/>
      <c r="C9" s="338" t="s">
        <v>846</v>
      </c>
      <c r="D9" s="341" t="s">
        <v>840</v>
      </c>
      <c r="E9" s="340" t="s">
        <v>840</v>
      </c>
    </row>
    <row r="10" spans="1:5" ht="30" customHeight="1" x14ac:dyDescent="0.2">
      <c r="A10" s="10" t="s">
        <v>778</v>
      </c>
      <c r="B10" s="337"/>
      <c r="C10" s="338" t="s">
        <v>846</v>
      </c>
      <c r="D10" s="341" t="s">
        <v>840</v>
      </c>
      <c r="E10" s="340" t="s">
        <v>840</v>
      </c>
    </row>
    <row r="11" spans="1:5" ht="30" customHeight="1" x14ac:dyDescent="0.2">
      <c r="A11" s="10" t="s">
        <v>595</v>
      </c>
      <c r="B11" s="337"/>
      <c r="C11" s="338">
        <v>0</v>
      </c>
      <c r="D11" s="341" t="s">
        <v>840</v>
      </c>
      <c r="E11" s="340" t="s">
        <v>840</v>
      </c>
    </row>
    <row r="12" spans="1:5" ht="30" customHeight="1" x14ac:dyDescent="0.2">
      <c r="A12" s="324" t="s">
        <v>596</v>
      </c>
      <c r="B12" s="337"/>
      <c r="C12" s="338">
        <v>0</v>
      </c>
      <c r="D12" s="341" t="s">
        <v>840</v>
      </c>
      <c r="E12" s="340" t="s">
        <v>840</v>
      </c>
    </row>
    <row r="13" spans="1:5" ht="30" customHeight="1" x14ac:dyDescent="0.2">
      <c r="A13" s="324" t="s">
        <v>597</v>
      </c>
      <c r="B13" s="337"/>
      <c r="C13" s="338">
        <v>0</v>
      </c>
      <c r="D13" s="341" t="s">
        <v>840</v>
      </c>
      <c r="E13" s="340" t="s">
        <v>840</v>
      </c>
    </row>
    <row r="14" spans="1:5" ht="30" customHeight="1" x14ac:dyDescent="0.2">
      <c r="A14" s="324" t="s">
        <v>598</v>
      </c>
      <c r="B14" s="337"/>
      <c r="C14" s="338">
        <v>0</v>
      </c>
      <c r="D14" s="341" t="s">
        <v>840</v>
      </c>
      <c r="E14" s="340" t="s">
        <v>840</v>
      </c>
    </row>
    <row r="15" spans="1:5" ht="30" customHeight="1" x14ac:dyDescent="0.2">
      <c r="A15" s="324" t="s">
        <v>599</v>
      </c>
      <c r="B15" s="337"/>
      <c r="C15" s="338">
        <v>0</v>
      </c>
      <c r="D15" s="341" t="s">
        <v>840</v>
      </c>
      <c r="E15" s="340" t="s">
        <v>840</v>
      </c>
    </row>
    <row r="16" spans="1:5" ht="30" customHeight="1" x14ac:dyDescent="0.2">
      <c r="A16" s="325" t="s">
        <v>600</v>
      </c>
      <c r="B16" s="337"/>
      <c r="C16" s="338">
        <v>0</v>
      </c>
      <c r="D16" s="341" t="s">
        <v>840</v>
      </c>
      <c r="E16" s="340" t="s">
        <v>840</v>
      </c>
    </row>
    <row r="17" spans="1:5" ht="30" customHeight="1" x14ac:dyDescent="0.2">
      <c r="A17" s="325" t="s">
        <v>601</v>
      </c>
      <c r="B17" s="337"/>
      <c r="C17" s="338">
        <v>0</v>
      </c>
      <c r="D17" s="341" t="s">
        <v>840</v>
      </c>
      <c r="E17" s="340" t="s">
        <v>840</v>
      </c>
    </row>
    <row r="18" spans="1:5" ht="30" customHeight="1" x14ac:dyDescent="0.2">
      <c r="A18" s="325" t="s">
        <v>602</v>
      </c>
      <c r="B18" s="337"/>
      <c r="C18" s="338">
        <v>0</v>
      </c>
      <c r="D18" s="341" t="s">
        <v>840</v>
      </c>
      <c r="E18" s="340" t="s">
        <v>840</v>
      </c>
    </row>
    <row r="19" spans="1:5" ht="30" customHeight="1" x14ac:dyDescent="0.2">
      <c r="A19" s="325" t="s">
        <v>603</v>
      </c>
      <c r="B19" s="337"/>
      <c r="C19" s="338">
        <v>0</v>
      </c>
      <c r="D19" s="341" t="s">
        <v>840</v>
      </c>
      <c r="E19" s="340" t="s">
        <v>840</v>
      </c>
    </row>
    <row r="20" spans="1:5" ht="30" customHeight="1" x14ac:dyDescent="0.2">
      <c r="A20" s="325" t="s">
        <v>604</v>
      </c>
      <c r="B20" s="337"/>
      <c r="C20" s="338">
        <v>0</v>
      </c>
      <c r="D20" s="341" t="s">
        <v>840</v>
      </c>
      <c r="E20" s="340" t="s">
        <v>840</v>
      </c>
    </row>
    <row r="21" spans="1:5" ht="30" customHeight="1" x14ac:dyDescent="0.2">
      <c r="A21" s="325" t="s">
        <v>605</v>
      </c>
      <c r="B21" s="337"/>
      <c r="C21" s="338">
        <v>0</v>
      </c>
      <c r="D21" s="341" t="s">
        <v>840</v>
      </c>
      <c r="E21" s="340" t="s">
        <v>840</v>
      </c>
    </row>
    <row r="22" spans="1:5" ht="30" customHeight="1" x14ac:dyDescent="0.2">
      <c r="A22" s="325" t="s">
        <v>606</v>
      </c>
      <c r="B22" s="337"/>
      <c r="C22" s="338">
        <v>0</v>
      </c>
      <c r="D22" s="341" t="s">
        <v>840</v>
      </c>
      <c r="E22" s="340" t="s">
        <v>840</v>
      </c>
    </row>
    <row r="23" spans="1:5" ht="30" customHeight="1" x14ac:dyDescent="0.2">
      <c r="A23" s="325" t="s">
        <v>607</v>
      </c>
      <c r="B23" s="337"/>
      <c r="C23" s="338">
        <v>0</v>
      </c>
      <c r="D23" s="341" t="s">
        <v>840</v>
      </c>
      <c r="E23" s="340" t="s">
        <v>840</v>
      </c>
    </row>
    <row r="24" spans="1:5" ht="30" customHeight="1" x14ac:dyDescent="0.2">
      <c r="A24" s="324" t="s">
        <v>608</v>
      </c>
      <c r="B24" s="337"/>
      <c r="C24" s="338">
        <v>0</v>
      </c>
      <c r="D24" s="341" t="s">
        <v>840</v>
      </c>
      <c r="E24" s="340" t="s">
        <v>840</v>
      </c>
    </row>
    <row r="25" spans="1:5" ht="30" customHeight="1" x14ac:dyDescent="0.2">
      <c r="A25" s="324" t="s">
        <v>609</v>
      </c>
      <c r="B25" s="337"/>
      <c r="C25" s="338">
        <v>0</v>
      </c>
      <c r="D25" s="341" t="s">
        <v>840</v>
      </c>
      <c r="E25" s="340" t="s">
        <v>840</v>
      </c>
    </row>
    <row r="26" spans="1:5" ht="30" customHeight="1" x14ac:dyDescent="0.2">
      <c r="A26" s="324" t="s">
        <v>779</v>
      </c>
      <c r="B26" s="337" t="s">
        <v>1288</v>
      </c>
      <c r="C26" s="338" t="s">
        <v>845</v>
      </c>
      <c r="D26" s="341" t="s">
        <v>840</v>
      </c>
      <c r="E26" s="340" t="s">
        <v>840</v>
      </c>
    </row>
    <row r="27" spans="1:5" ht="30" customHeight="1" x14ac:dyDescent="0.2">
      <c r="A27" s="324" t="s">
        <v>786</v>
      </c>
      <c r="B27" s="337" t="s">
        <v>1289</v>
      </c>
      <c r="C27" s="338" t="s">
        <v>846</v>
      </c>
      <c r="D27" s="341" t="s">
        <v>840</v>
      </c>
      <c r="E27" s="340" t="s">
        <v>840</v>
      </c>
    </row>
    <row r="28" spans="1:5" ht="30" customHeight="1" x14ac:dyDescent="0.2">
      <c r="A28" s="324" t="s">
        <v>793</v>
      </c>
      <c r="B28" s="337" t="s">
        <v>1290</v>
      </c>
      <c r="C28" s="338" t="s">
        <v>846</v>
      </c>
      <c r="D28" s="341" t="s">
        <v>840</v>
      </c>
      <c r="E28" s="340" t="s">
        <v>840</v>
      </c>
    </row>
    <row r="29" spans="1:5" ht="30" customHeight="1" x14ac:dyDescent="0.2">
      <c r="A29" s="324" t="s">
        <v>800</v>
      </c>
      <c r="B29" s="337" t="s">
        <v>1291</v>
      </c>
      <c r="C29" s="338" t="s">
        <v>846</v>
      </c>
      <c r="D29" s="341" t="s">
        <v>840</v>
      </c>
      <c r="E29" s="340" t="s">
        <v>840</v>
      </c>
    </row>
    <row r="30" spans="1:5" ht="30" customHeight="1" x14ac:dyDescent="0.2">
      <c r="A30" s="324" t="s">
        <v>807</v>
      </c>
      <c r="B30" s="337" t="s">
        <v>1292</v>
      </c>
      <c r="C30" s="338" t="s">
        <v>846</v>
      </c>
      <c r="D30" s="341" t="s">
        <v>840</v>
      </c>
      <c r="E30" s="340" t="s">
        <v>840</v>
      </c>
    </row>
    <row r="31" spans="1:5" ht="30" customHeight="1" x14ac:dyDescent="0.2">
      <c r="A31" s="324" t="s">
        <v>814</v>
      </c>
      <c r="B31" s="337" t="s">
        <v>1293</v>
      </c>
      <c r="C31" s="338" t="s">
        <v>846</v>
      </c>
      <c r="D31" s="341" t="s">
        <v>840</v>
      </c>
      <c r="E31" s="340" t="s">
        <v>840</v>
      </c>
    </row>
    <row r="32" spans="1:5" ht="30" customHeight="1" x14ac:dyDescent="0.2">
      <c r="A32" s="324" t="s">
        <v>643</v>
      </c>
      <c r="B32" s="337" t="s">
        <v>840</v>
      </c>
      <c r="C32" s="338">
        <v>0</v>
      </c>
      <c r="D32" s="341" t="s">
        <v>840</v>
      </c>
      <c r="E32" s="340" t="s">
        <v>840</v>
      </c>
    </row>
    <row r="33" spans="1:5" ht="30" customHeight="1" x14ac:dyDescent="0.2">
      <c r="A33" s="324" t="s">
        <v>644</v>
      </c>
      <c r="B33" s="337" t="s">
        <v>1294</v>
      </c>
      <c r="C33" s="338">
        <v>0</v>
      </c>
      <c r="D33" s="341" t="s">
        <v>840</v>
      </c>
      <c r="E33" s="340" t="s">
        <v>840</v>
      </c>
    </row>
    <row r="34" spans="1:5" ht="30" customHeight="1" x14ac:dyDescent="0.2">
      <c r="A34" s="324" t="s">
        <v>645</v>
      </c>
      <c r="B34" s="337" t="s">
        <v>1295</v>
      </c>
      <c r="C34" s="338">
        <v>0</v>
      </c>
      <c r="D34" s="341" t="s">
        <v>840</v>
      </c>
      <c r="E34" s="340" t="s">
        <v>840</v>
      </c>
    </row>
    <row r="35" spans="1:5" ht="30" customHeight="1" x14ac:dyDescent="0.2">
      <c r="A35" s="324" t="s">
        <v>646</v>
      </c>
      <c r="B35" s="337" t="s">
        <v>1296</v>
      </c>
      <c r="C35" s="338">
        <v>0</v>
      </c>
      <c r="D35" s="341" t="s">
        <v>840</v>
      </c>
      <c r="E35" s="340" t="s">
        <v>840</v>
      </c>
    </row>
    <row r="36" spans="1:5" ht="30" customHeight="1" x14ac:dyDescent="0.2">
      <c r="A36" s="324" t="s">
        <v>647</v>
      </c>
      <c r="B36" s="337" t="s">
        <v>1297</v>
      </c>
      <c r="C36" s="338">
        <v>0</v>
      </c>
      <c r="D36" s="340">
        <v>0</v>
      </c>
      <c r="E36" s="340">
        <v>0</v>
      </c>
    </row>
    <row r="37" spans="1:5" ht="30" customHeight="1" x14ac:dyDescent="0.2">
      <c r="A37" s="324" t="s">
        <v>780</v>
      </c>
      <c r="B37" s="337" t="s">
        <v>840</v>
      </c>
      <c r="C37" s="338" t="s">
        <v>845</v>
      </c>
      <c r="D37" s="340">
        <v>0</v>
      </c>
      <c r="E37" s="340">
        <v>0</v>
      </c>
    </row>
    <row r="38" spans="1:5" ht="30" customHeight="1" x14ac:dyDescent="0.2">
      <c r="A38" s="324" t="s">
        <v>787</v>
      </c>
      <c r="B38" s="337" t="s">
        <v>1298</v>
      </c>
      <c r="C38" s="338" t="s">
        <v>846</v>
      </c>
      <c r="D38" s="341" t="s">
        <v>840</v>
      </c>
      <c r="E38" s="340" t="s">
        <v>840</v>
      </c>
    </row>
    <row r="39" spans="1:5" ht="30" customHeight="1" x14ac:dyDescent="0.2">
      <c r="A39" s="324" t="s">
        <v>794</v>
      </c>
      <c r="B39" s="337" t="s">
        <v>1299</v>
      </c>
      <c r="C39" s="338" t="s">
        <v>846</v>
      </c>
      <c r="D39" s="341" t="s">
        <v>840</v>
      </c>
      <c r="E39" s="340" t="s">
        <v>840</v>
      </c>
    </row>
    <row r="40" spans="1:5" ht="30" customHeight="1" x14ac:dyDescent="0.2">
      <c r="A40" s="324" t="s">
        <v>801</v>
      </c>
      <c r="B40" s="337" t="s">
        <v>1300</v>
      </c>
      <c r="C40" s="338" t="s">
        <v>846</v>
      </c>
      <c r="D40" s="341" t="s">
        <v>840</v>
      </c>
      <c r="E40" s="340" t="s">
        <v>840</v>
      </c>
    </row>
    <row r="41" spans="1:5" ht="30" customHeight="1" x14ac:dyDescent="0.2">
      <c r="A41" s="324" t="s">
        <v>808</v>
      </c>
      <c r="B41" s="337" t="s">
        <v>1301</v>
      </c>
      <c r="C41" s="338" t="s">
        <v>846</v>
      </c>
      <c r="D41" s="341" t="s">
        <v>840</v>
      </c>
      <c r="E41" s="340" t="s">
        <v>840</v>
      </c>
    </row>
    <row r="42" spans="1:5" ht="30" customHeight="1" x14ac:dyDescent="0.2">
      <c r="A42" s="324" t="s">
        <v>815</v>
      </c>
      <c r="B42" s="337" t="s">
        <v>1302</v>
      </c>
      <c r="C42" s="338" t="s">
        <v>846</v>
      </c>
      <c r="D42" s="341" t="s">
        <v>840</v>
      </c>
      <c r="E42" s="340" t="s">
        <v>840</v>
      </c>
    </row>
    <row r="43" spans="1:5" ht="30" customHeight="1" x14ac:dyDescent="0.2">
      <c r="A43" s="324" t="s">
        <v>649</v>
      </c>
      <c r="B43" s="337" t="s">
        <v>840</v>
      </c>
      <c r="C43" s="338">
        <v>0</v>
      </c>
      <c r="D43" s="341" t="s">
        <v>840</v>
      </c>
      <c r="E43" s="340" t="s">
        <v>840</v>
      </c>
    </row>
    <row r="44" spans="1:5" ht="30" customHeight="1" x14ac:dyDescent="0.2">
      <c r="A44" s="324" t="s">
        <v>650</v>
      </c>
      <c r="B44" s="337" t="s">
        <v>1303</v>
      </c>
      <c r="C44" s="338">
        <v>0</v>
      </c>
      <c r="D44" s="341" t="s">
        <v>840</v>
      </c>
      <c r="E44" s="340" t="s">
        <v>840</v>
      </c>
    </row>
    <row r="45" spans="1:5" ht="30" customHeight="1" x14ac:dyDescent="0.2">
      <c r="A45" s="324" t="s">
        <v>651</v>
      </c>
      <c r="B45" s="337" t="s">
        <v>1304</v>
      </c>
      <c r="C45" s="338">
        <v>0</v>
      </c>
      <c r="D45" s="341" t="s">
        <v>840</v>
      </c>
      <c r="E45" s="340" t="s">
        <v>840</v>
      </c>
    </row>
    <row r="46" spans="1:5" ht="30" customHeight="1" x14ac:dyDescent="0.2">
      <c r="A46" s="324" t="s">
        <v>652</v>
      </c>
      <c r="B46" s="337" t="s">
        <v>1305</v>
      </c>
      <c r="C46" s="338">
        <v>0</v>
      </c>
      <c r="D46" s="341" t="s">
        <v>840</v>
      </c>
      <c r="E46" s="340" t="s">
        <v>840</v>
      </c>
    </row>
    <row r="47" spans="1:5" ht="30" customHeight="1" x14ac:dyDescent="0.2">
      <c r="A47" s="324" t="s">
        <v>653</v>
      </c>
      <c r="B47" s="337" t="s">
        <v>1306</v>
      </c>
      <c r="C47" s="338">
        <v>0</v>
      </c>
      <c r="D47" s="341" t="s">
        <v>840</v>
      </c>
      <c r="E47" s="340" t="s">
        <v>840</v>
      </c>
    </row>
    <row r="48" spans="1:5" ht="30" customHeight="1" x14ac:dyDescent="0.2">
      <c r="A48" s="324" t="s">
        <v>654</v>
      </c>
      <c r="B48" s="337" t="s">
        <v>840</v>
      </c>
      <c r="C48" s="338">
        <v>0</v>
      </c>
      <c r="D48" s="341" t="s">
        <v>840</v>
      </c>
      <c r="E48" s="340" t="s">
        <v>840</v>
      </c>
    </row>
    <row r="49" spans="1:5" ht="30" customHeight="1" x14ac:dyDescent="0.2">
      <c r="A49" s="324" t="s">
        <v>655</v>
      </c>
      <c r="B49" s="337" t="s">
        <v>1307</v>
      </c>
      <c r="C49" s="338">
        <v>0</v>
      </c>
      <c r="D49" s="341" t="s">
        <v>840</v>
      </c>
      <c r="E49" s="340" t="s">
        <v>840</v>
      </c>
    </row>
    <row r="50" spans="1:5" ht="30" customHeight="1" x14ac:dyDescent="0.2">
      <c r="A50" s="324" t="s">
        <v>656</v>
      </c>
      <c r="B50" s="337" t="s">
        <v>1308</v>
      </c>
      <c r="C50" s="338">
        <v>0</v>
      </c>
      <c r="D50" s="341" t="s">
        <v>840</v>
      </c>
      <c r="E50" s="340" t="s">
        <v>840</v>
      </c>
    </row>
    <row r="51" spans="1:5" ht="30" customHeight="1" x14ac:dyDescent="0.2">
      <c r="A51" s="324" t="s">
        <v>657</v>
      </c>
      <c r="B51" s="337" t="s">
        <v>1309</v>
      </c>
      <c r="C51" s="338">
        <v>0</v>
      </c>
      <c r="D51" s="341" t="s">
        <v>840</v>
      </c>
      <c r="E51" s="340" t="s">
        <v>840</v>
      </c>
    </row>
    <row r="52" spans="1:5" ht="30" customHeight="1" x14ac:dyDescent="0.2">
      <c r="A52" s="324" t="s">
        <v>658</v>
      </c>
      <c r="B52" s="337" t="s">
        <v>1310</v>
      </c>
      <c r="C52" s="338">
        <v>0</v>
      </c>
      <c r="D52" s="340">
        <v>0</v>
      </c>
      <c r="E52" s="340">
        <v>0</v>
      </c>
    </row>
    <row r="53" spans="1:5" ht="30" customHeight="1" x14ac:dyDescent="0.2">
      <c r="A53" s="324" t="s">
        <v>659</v>
      </c>
      <c r="B53" s="337" t="s">
        <v>840</v>
      </c>
      <c r="C53" s="338">
        <v>0</v>
      </c>
      <c r="D53" s="340">
        <v>0</v>
      </c>
      <c r="E53" s="340">
        <v>0</v>
      </c>
    </row>
    <row r="54" spans="1:5" ht="30" customHeight="1" x14ac:dyDescent="0.2">
      <c r="A54" s="324" t="s">
        <v>660</v>
      </c>
      <c r="B54" s="337" t="s">
        <v>1311</v>
      </c>
      <c r="C54" s="338">
        <v>0</v>
      </c>
      <c r="D54" s="341" t="s">
        <v>840</v>
      </c>
      <c r="E54" s="340" t="s">
        <v>840</v>
      </c>
    </row>
    <row r="55" spans="1:5" ht="30" customHeight="1" x14ac:dyDescent="0.2">
      <c r="A55" s="324" t="s">
        <v>661</v>
      </c>
      <c r="B55" s="337" t="s">
        <v>1312</v>
      </c>
      <c r="C55" s="338">
        <v>0</v>
      </c>
      <c r="D55" s="341" t="s">
        <v>840</v>
      </c>
      <c r="E55" s="340" t="s">
        <v>840</v>
      </c>
    </row>
    <row r="56" spans="1:5" ht="30" customHeight="1" x14ac:dyDescent="0.2">
      <c r="A56" s="324" t="s">
        <v>662</v>
      </c>
      <c r="B56" s="337" t="s">
        <v>1313</v>
      </c>
      <c r="C56" s="338">
        <v>0</v>
      </c>
      <c r="D56" s="341" t="s">
        <v>840</v>
      </c>
      <c r="E56" s="340" t="s">
        <v>840</v>
      </c>
    </row>
    <row r="57" spans="1:5" ht="30" customHeight="1" x14ac:dyDescent="0.2">
      <c r="A57" s="324" t="s">
        <v>663</v>
      </c>
      <c r="B57" s="337" t="s">
        <v>1314</v>
      </c>
      <c r="C57" s="338">
        <v>0</v>
      </c>
      <c r="D57" s="341" t="s">
        <v>840</v>
      </c>
      <c r="E57" s="340" t="s">
        <v>840</v>
      </c>
    </row>
    <row r="58" spans="1:5" ht="30" customHeight="1" x14ac:dyDescent="0.2">
      <c r="A58" s="324" t="s">
        <v>781</v>
      </c>
      <c r="B58" s="337" t="s">
        <v>840</v>
      </c>
      <c r="C58" s="338" t="s">
        <v>845</v>
      </c>
      <c r="D58" s="341" t="s">
        <v>840</v>
      </c>
      <c r="E58" s="340" t="s">
        <v>840</v>
      </c>
    </row>
    <row r="59" spans="1:5" ht="30" customHeight="1" x14ac:dyDescent="0.2">
      <c r="A59" s="324" t="s">
        <v>788</v>
      </c>
      <c r="B59" s="337" t="s">
        <v>1315</v>
      </c>
      <c r="C59" s="338" t="s">
        <v>846</v>
      </c>
      <c r="D59" s="341" t="s">
        <v>840</v>
      </c>
      <c r="E59" s="340" t="s">
        <v>840</v>
      </c>
    </row>
    <row r="60" spans="1:5" ht="30" customHeight="1" x14ac:dyDescent="0.2">
      <c r="A60" s="324" t="s">
        <v>795</v>
      </c>
      <c r="B60" s="337" t="s">
        <v>1316</v>
      </c>
      <c r="C60" s="338" t="s">
        <v>846</v>
      </c>
      <c r="D60" s="341" t="s">
        <v>840</v>
      </c>
      <c r="E60" s="340" t="s">
        <v>840</v>
      </c>
    </row>
    <row r="61" spans="1:5" ht="30" customHeight="1" x14ac:dyDescent="0.2">
      <c r="A61" s="324" t="s">
        <v>802</v>
      </c>
      <c r="B61" s="337" t="s">
        <v>1317</v>
      </c>
      <c r="C61" s="338" t="s">
        <v>846</v>
      </c>
      <c r="D61" s="341" t="s">
        <v>840</v>
      </c>
      <c r="E61" s="340" t="s">
        <v>840</v>
      </c>
    </row>
    <row r="62" spans="1:5" ht="30" customHeight="1" x14ac:dyDescent="0.2">
      <c r="A62" s="324" t="s">
        <v>809</v>
      </c>
      <c r="B62" s="337" t="s">
        <v>1318</v>
      </c>
      <c r="C62" s="338" t="s">
        <v>846</v>
      </c>
      <c r="D62" s="341" t="s">
        <v>840</v>
      </c>
      <c r="E62" s="340" t="s">
        <v>840</v>
      </c>
    </row>
    <row r="63" spans="1:5" ht="30" customHeight="1" x14ac:dyDescent="0.2">
      <c r="A63" s="324" t="s">
        <v>816</v>
      </c>
      <c r="B63" s="337" t="s">
        <v>1319</v>
      </c>
      <c r="C63" s="338" t="s">
        <v>846</v>
      </c>
      <c r="D63" s="341" t="s">
        <v>840</v>
      </c>
      <c r="E63" s="340" t="s">
        <v>840</v>
      </c>
    </row>
    <row r="64" spans="1:5" ht="30" customHeight="1" x14ac:dyDescent="0.2">
      <c r="A64" s="324" t="s">
        <v>665</v>
      </c>
      <c r="B64" s="337" t="s">
        <v>840</v>
      </c>
      <c r="C64" s="338">
        <v>0</v>
      </c>
      <c r="D64" s="341" t="s">
        <v>840</v>
      </c>
      <c r="E64" s="340" t="s">
        <v>840</v>
      </c>
    </row>
    <row r="65" spans="1:5" ht="30" customHeight="1" x14ac:dyDescent="0.2">
      <c r="A65" s="324" t="s">
        <v>666</v>
      </c>
      <c r="B65" s="337" t="s">
        <v>1320</v>
      </c>
      <c r="C65" s="338">
        <v>0</v>
      </c>
      <c r="D65" s="341" t="s">
        <v>840</v>
      </c>
      <c r="E65" s="340" t="s">
        <v>840</v>
      </c>
    </row>
    <row r="66" spans="1:5" ht="30" customHeight="1" x14ac:dyDescent="0.2">
      <c r="A66" s="324" t="s">
        <v>667</v>
      </c>
      <c r="B66" s="337" t="s">
        <v>1321</v>
      </c>
      <c r="C66" s="338">
        <v>0</v>
      </c>
      <c r="D66" s="341" t="s">
        <v>840</v>
      </c>
      <c r="E66" s="340" t="s">
        <v>840</v>
      </c>
    </row>
    <row r="67" spans="1:5" ht="30" customHeight="1" x14ac:dyDescent="0.2">
      <c r="A67" s="324" t="s">
        <v>668</v>
      </c>
      <c r="B67" s="337" t="s">
        <v>1322</v>
      </c>
      <c r="C67" s="338">
        <v>0</v>
      </c>
      <c r="D67" s="341" t="s">
        <v>840</v>
      </c>
      <c r="E67" s="340" t="s">
        <v>840</v>
      </c>
    </row>
    <row r="68" spans="1:5" ht="30" customHeight="1" x14ac:dyDescent="0.2">
      <c r="A68" s="324" t="s">
        <v>669</v>
      </c>
      <c r="B68" s="337" t="s">
        <v>1323</v>
      </c>
      <c r="C68" s="338">
        <v>0</v>
      </c>
      <c r="D68" s="341" t="s">
        <v>840</v>
      </c>
      <c r="E68" s="340" t="s">
        <v>840</v>
      </c>
    </row>
    <row r="69" spans="1:5" ht="30" customHeight="1" x14ac:dyDescent="0.2">
      <c r="A69" s="324" t="s">
        <v>670</v>
      </c>
      <c r="B69" s="337" t="s">
        <v>840</v>
      </c>
      <c r="C69" s="338">
        <v>0</v>
      </c>
      <c r="D69" s="341" t="s">
        <v>840</v>
      </c>
      <c r="E69" s="340" t="s">
        <v>840</v>
      </c>
    </row>
    <row r="70" spans="1:5" ht="30" customHeight="1" x14ac:dyDescent="0.2">
      <c r="A70" s="324" t="s">
        <v>671</v>
      </c>
      <c r="B70" s="337" t="s">
        <v>1324</v>
      </c>
      <c r="C70" s="338">
        <v>0</v>
      </c>
      <c r="D70" s="341" t="s">
        <v>840</v>
      </c>
      <c r="E70" s="340" t="s">
        <v>840</v>
      </c>
    </row>
    <row r="71" spans="1:5" ht="30" customHeight="1" x14ac:dyDescent="0.2">
      <c r="A71" s="324" t="s">
        <v>672</v>
      </c>
      <c r="B71" s="337" t="s">
        <v>1325</v>
      </c>
      <c r="C71" s="338">
        <v>0</v>
      </c>
      <c r="D71" s="341" t="s">
        <v>840</v>
      </c>
      <c r="E71" s="340" t="s">
        <v>840</v>
      </c>
    </row>
    <row r="72" spans="1:5" ht="30" customHeight="1" x14ac:dyDescent="0.2">
      <c r="A72" s="324" t="s">
        <v>673</v>
      </c>
      <c r="B72" s="337" t="s">
        <v>1326</v>
      </c>
      <c r="C72" s="338">
        <v>0</v>
      </c>
      <c r="D72" s="341" t="s">
        <v>840</v>
      </c>
      <c r="E72" s="340" t="s">
        <v>840</v>
      </c>
    </row>
    <row r="73" spans="1:5" ht="30" customHeight="1" x14ac:dyDescent="0.2">
      <c r="A73" s="324" t="s">
        <v>674</v>
      </c>
      <c r="B73" s="337" t="s">
        <v>1327</v>
      </c>
      <c r="C73" s="338">
        <v>0</v>
      </c>
      <c r="D73" s="341" t="s">
        <v>840</v>
      </c>
      <c r="E73" s="340" t="s">
        <v>840</v>
      </c>
    </row>
    <row r="74" spans="1:5" ht="30" customHeight="1" x14ac:dyDescent="0.2">
      <c r="A74" s="324" t="s">
        <v>675</v>
      </c>
      <c r="B74" s="337" t="s">
        <v>840</v>
      </c>
      <c r="C74" s="338">
        <v>0</v>
      </c>
      <c r="D74" s="341" t="s">
        <v>840</v>
      </c>
      <c r="E74" s="340" t="s">
        <v>840</v>
      </c>
    </row>
    <row r="75" spans="1:5" ht="30" customHeight="1" x14ac:dyDescent="0.2">
      <c r="A75" s="324" t="s">
        <v>676</v>
      </c>
      <c r="B75" s="337" t="s">
        <v>1328</v>
      </c>
      <c r="C75" s="338">
        <v>0</v>
      </c>
      <c r="D75" s="341" t="s">
        <v>840</v>
      </c>
      <c r="E75" s="340" t="s">
        <v>840</v>
      </c>
    </row>
    <row r="76" spans="1:5" ht="30" customHeight="1" x14ac:dyDescent="0.2">
      <c r="A76" s="324" t="s">
        <v>677</v>
      </c>
      <c r="B76" s="337" t="s">
        <v>1329</v>
      </c>
      <c r="C76" s="338">
        <v>0</v>
      </c>
      <c r="D76" s="341" t="s">
        <v>840</v>
      </c>
      <c r="E76" s="340" t="s">
        <v>840</v>
      </c>
    </row>
    <row r="77" spans="1:5" ht="30" customHeight="1" x14ac:dyDescent="0.2">
      <c r="A77" s="324" t="s">
        <v>678</v>
      </c>
      <c r="B77" s="337" t="s">
        <v>1330</v>
      </c>
      <c r="C77" s="338">
        <v>0</v>
      </c>
      <c r="D77" s="341" t="s">
        <v>840</v>
      </c>
      <c r="E77" s="340" t="s">
        <v>840</v>
      </c>
    </row>
    <row r="78" spans="1:5" ht="30" customHeight="1" x14ac:dyDescent="0.2">
      <c r="A78" s="324" t="s">
        <v>679</v>
      </c>
      <c r="B78" s="337" t="s">
        <v>1331</v>
      </c>
      <c r="C78" s="338">
        <v>0</v>
      </c>
      <c r="D78" s="341" t="s">
        <v>840</v>
      </c>
      <c r="E78" s="340" t="s">
        <v>840</v>
      </c>
    </row>
    <row r="79" spans="1:5" ht="30" customHeight="1" x14ac:dyDescent="0.2">
      <c r="A79" s="324" t="s">
        <v>782</v>
      </c>
      <c r="B79" s="337" t="s">
        <v>840</v>
      </c>
      <c r="C79" s="338" t="s">
        <v>845</v>
      </c>
      <c r="D79" s="341" t="s">
        <v>840</v>
      </c>
      <c r="E79" s="340" t="s">
        <v>840</v>
      </c>
    </row>
    <row r="80" spans="1:5" ht="30" customHeight="1" x14ac:dyDescent="0.2">
      <c r="A80" s="324" t="s">
        <v>789</v>
      </c>
      <c r="B80" s="337" t="s">
        <v>1332</v>
      </c>
      <c r="C80" s="338" t="s">
        <v>846</v>
      </c>
      <c r="D80" s="341" t="s">
        <v>840</v>
      </c>
      <c r="E80" s="340" t="s">
        <v>840</v>
      </c>
    </row>
    <row r="81" spans="1:5" ht="30" customHeight="1" x14ac:dyDescent="0.2">
      <c r="A81" s="324" t="s">
        <v>796</v>
      </c>
      <c r="B81" s="337" t="s">
        <v>1333</v>
      </c>
      <c r="C81" s="338" t="s">
        <v>846</v>
      </c>
      <c r="D81" s="340">
        <v>0</v>
      </c>
      <c r="E81" s="340">
        <v>0</v>
      </c>
    </row>
    <row r="82" spans="1:5" ht="30" customHeight="1" x14ac:dyDescent="0.2">
      <c r="A82" s="324" t="s">
        <v>803</v>
      </c>
      <c r="B82" s="337" t="s">
        <v>1334</v>
      </c>
      <c r="C82" s="338" t="s">
        <v>846</v>
      </c>
      <c r="D82" s="340">
        <v>0</v>
      </c>
      <c r="E82" s="340">
        <v>0</v>
      </c>
    </row>
    <row r="83" spans="1:5" ht="30" customHeight="1" x14ac:dyDescent="0.2">
      <c r="A83" s="324" t="s">
        <v>810</v>
      </c>
      <c r="B83" s="337" t="s">
        <v>1335</v>
      </c>
      <c r="C83" s="338" t="s">
        <v>846</v>
      </c>
      <c r="D83" s="341" t="s">
        <v>840</v>
      </c>
      <c r="E83" s="340" t="s">
        <v>840</v>
      </c>
    </row>
    <row r="84" spans="1:5" ht="30" customHeight="1" x14ac:dyDescent="0.2">
      <c r="A84" s="324" t="s">
        <v>817</v>
      </c>
      <c r="B84" s="337" t="s">
        <v>1336</v>
      </c>
      <c r="C84" s="338" t="s">
        <v>846</v>
      </c>
      <c r="D84" s="341" t="s">
        <v>840</v>
      </c>
      <c r="E84" s="340" t="s">
        <v>840</v>
      </c>
    </row>
    <row r="85" spans="1:5" ht="30" customHeight="1" x14ac:dyDescent="0.2">
      <c r="A85" s="324" t="s">
        <v>681</v>
      </c>
      <c r="B85" s="337" t="s">
        <v>840</v>
      </c>
      <c r="C85" s="338">
        <v>0</v>
      </c>
      <c r="D85" s="341" t="s">
        <v>840</v>
      </c>
      <c r="E85" s="340" t="s">
        <v>840</v>
      </c>
    </row>
    <row r="86" spans="1:5" ht="30" customHeight="1" x14ac:dyDescent="0.2">
      <c r="A86" s="324" t="s">
        <v>682</v>
      </c>
      <c r="B86" s="337" t="s">
        <v>1337</v>
      </c>
      <c r="C86" s="338">
        <v>0</v>
      </c>
      <c r="D86" s="341" t="s">
        <v>840</v>
      </c>
      <c r="E86" s="340" t="s">
        <v>840</v>
      </c>
    </row>
    <row r="87" spans="1:5" ht="30" customHeight="1" x14ac:dyDescent="0.2">
      <c r="A87" s="324" t="s">
        <v>683</v>
      </c>
      <c r="B87" s="337" t="s">
        <v>1338</v>
      </c>
      <c r="C87" s="338">
        <v>0</v>
      </c>
      <c r="D87" s="341" t="s">
        <v>840</v>
      </c>
      <c r="E87" s="340" t="s">
        <v>840</v>
      </c>
    </row>
    <row r="88" spans="1:5" ht="30" customHeight="1" x14ac:dyDescent="0.2">
      <c r="A88" s="324" t="s">
        <v>684</v>
      </c>
      <c r="B88" s="337" t="s">
        <v>1339</v>
      </c>
      <c r="C88" s="338">
        <v>0</v>
      </c>
      <c r="D88" s="341" t="s">
        <v>840</v>
      </c>
      <c r="E88" s="340" t="s">
        <v>840</v>
      </c>
    </row>
    <row r="89" spans="1:5" ht="30" customHeight="1" x14ac:dyDescent="0.2">
      <c r="A89" s="324" t="s">
        <v>685</v>
      </c>
      <c r="B89" s="337" t="s">
        <v>1340</v>
      </c>
      <c r="C89" s="338">
        <v>0</v>
      </c>
      <c r="D89" s="341" t="s">
        <v>840</v>
      </c>
      <c r="E89" s="340" t="s">
        <v>840</v>
      </c>
    </row>
    <row r="90" spans="1:5" ht="30" customHeight="1" x14ac:dyDescent="0.2">
      <c r="A90" s="324" t="s">
        <v>686</v>
      </c>
      <c r="B90" s="337" t="s">
        <v>840</v>
      </c>
      <c r="C90" s="338">
        <v>0</v>
      </c>
      <c r="D90" s="341" t="s">
        <v>840</v>
      </c>
      <c r="E90" s="340" t="s">
        <v>840</v>
      </c>
    </row>
    <row r="91" spans="1:5" ht="30" customHeight="1" x14ac:dyDescent="0.2">
      <c r="A91" s="324" t="s">
        <v>687</v>
      </c>
      <c r="B91" s="337" t="s">
        <v>1341</v>
      </c>
      <c r="C91" s="338">
        <v>0</v>
      </c>
      <c r="D91" s="341" t="s">
        <v>840</v>
      </c>
      <c r="E91" s="340" t="s">
        <v>840</v>
      </c>
    </row>
    <row r="92" spans="1:5" ht="30" customHeight="1" x14ac:dyDescent="0.2">
      <c r="A92" s="324" t="s">
        <v>688</v>
      </c>
      <c r="B92" s="337" t="s">
        <v>1342</v>
      </c>
      <c r="C92" s="338">
        <v>0</v>
      </c>
      <c r="D92" s="341" t="s">
        <v>840</v>
      </c>
      <c r="E92" s="340" t="s">
        <v>840</v>
      </c>
    </row>
    <row r="93" spans="1:5" ht="30" customHeight="1" x14ac:dyDescent="0.2">
      <c r="A93" s="324" t="s">
        <v>689</v>
      </c>
      <c r="B93" s="337" t="s">
        <v>1343</v>
      </c>
      <c r="C93" s="338">
        <v>0</v>
      </c>
      <c r="D93" s="341" t="s">
        <v>840</v>
      </c>
      <c r="E93" s="340" t="s">
        <v>840</v>
      </c>
    </row>
    <row r="94" spans="1:5" ht="30" customHeight="1" x14ac:dyDescent="0.2">
      <c r="A94" s="324" t="s">
        <v>690</v>
      </c>
      <c r="B94" s="337" t="s">
        <v>1344</v>
      </c>
      <c r="C94" s="338">
        <v>0</v>
      </c>
      <c r="D94" s="341" t="s">
        <v>840</v>
      </c>
      <c r="E94" s="340" t="s">
        <v>840</v>
      </c>
    </row>
    <row r="95" spans="1:5" ht="30" customHeight="1" x14ac:dyDescent="0.2">
      <c r="A95" s="324" t="s">
        <v>691</v>
      </c>
      <c r="B95" s="337" t="s">
        <v>840</v>
      </c>
      <c r="C95" s="338">
        <v>0</v>
      </c>
      <c r="D95" s="341" t="s">
        <v>840</v>
      </c>
      <c r="E95" s="340" t="s">
        <v>840</v>
      </c>
    </row>
    <row r="96" spans="1:5" ht="30" customHeight="1" x14ac:dyDescent="0.2">
      <c r="A96" s="324" t="s">
        <v>692</v>
      </c>
      <c r="B96" s="337" t="s">
        <v>1345</v>
      </c>
      <c r="C96" s="338">
        <v>0</v>
      </c>
      <c r="D96" s="341" t="s">
        <v>840</v>
      </c>
      <c r="E96" s="340" t="s">
        <v>840</v>
      </c>
    </row>
    <row r="97" spans="1:5" ht="30" customHeight="1" x14ac:dyDescent="0.2">
      <c r="A97" s="324" t="s">
        <v>693</v>
      </c>
      <c r="B97" s="337" t="s">
        <v>1346</v>
      </c>
      <c r="C97" s="338">
        <v>0</v>
      </c>
      <c r="D97" s="341" t="s">
        <v>840</v>
      </c>
      <c r="E97" s="340" t="s">
        <v>840</v>
      </c>
    </row>
    <row r="98" spans="1:5" ht="30" customHeight="1" x14ac:dyDescent="0.2">
      <c r="A98" s="324" t="s">
        <v>694</v>
      </c>
      <c r="B98" s="337" t="s">
        <v>1347</v>
      </c>
      <c r="C98" s="338">
        <v>0</v>
      </c>
      <c r="D98" s="341" t="s">
        <v>840</v>
      </c>
      <c r="E98" s="340" t="s">
        <v>840</v>
      </c>
    </row>
    <row r="99" spans="1:5" ht="30" customHeight="1" x14ac:dyDescent="0.2">
      <c r="A99" s="324" t="s">
        <v>695</v>
      </c>
      <c r="B99" s="337"/>
      <c r="C99" s="338">
        <v>0</v>
      </c>
      <c r="D99" s="341" t="s">
        <v>840</v>
      </c>
      <c r="E99" s="340" t="s">
        <v>840</v>
      </c>
    </row>
    <row r="100" spans="1:5" ht="30" customHeight="1" x14ac:dyDescent="0.2">
      <c r="A100" s="324" t="s">
        <v>783</v>
      </c>
      <c r="B100" s="337"/>
      <c r="C100" s="338" t="s">
        <v>845</v>
      </c>
      <c r="D100" s="341" t="s">
        <v>840</v>
      </c>
      <c r="E100" s="340" t="s">
        <v>840</v>
      </c>
    </row>
    <row r="101" spans="1:5" ht="30" customHeight="1" x14ac:dyDescent="0.2">
      <c r="A101" s="324" t="s">
        <v>790</v>
      </c>
      <c r="B101" s="337"/>
      <c r="C101" s="338" t="s">
        <v>846</v>
      </c>
      <c r="D101" s="341" t="s">
        <v>840</v>
      </c>
      <c r="E101" s="340" t="s">
        <v>840</v>
      </c>
    </row>
    <row r="102" spans="1:5" ht="30" customHeight="1" x14ac:dyDescent="0.2">
      <c r="A102" s="324" t="s">
        <v>797</v>
      </c>
      <c r="B102" s="337"/>
      <c r="C102" s="338" t="s">
        <v>846</v>
      </c>
      <c r="D102" s="341" t="s">
        <v>840</v>
      </c>
      <c r="E102" s="340" t="s">
        <v>840</v>
      </c>
    </row>
    <row r="103" spans="1:5" ht="30" customHeight="1" x14ac:dyDescent="0.2">
      <c r="A103" s="324" t="s">
        <v>804</v>
      </c>
      <c r="B103" s="337"/>
      <c r="C103" s="338" t="s">
        <v>846</v>
      </c>
      <c r="D103" s="341" t="s">
        <v>840</v>
      </c>
      <c r="E103" s="340" t="s">
        <v>840</v>
      </c>
    </row>
    <row r="104" spans="1:5" ht="30" customHeight="1" x14ac:dyDescent="0.2">
      <c r="A104" s="324" t="s">
        <v>811</v>
      </c>
      <c r="B104" s="337"/>
      <c r="C104" s="338" t="s">
        <v>846</v>
      </c>
      <c r="D104" s="341" t="s">
        <v>840</v>
      </c>
      <c r="E104" s="340" t="s">
        <v>840</v>
      </c>
    </row>
    <row r="105" spans="1:5" ht="30" customHeight="1" x14ac:dyDescent="0.2">
      <c r="A105" s="324" t="s">
        <v>818</v>
      </c>
      <c r="B105" s="337"/>
      <c r="C105" s="338" t="s">
        <v>846</v>
      </c>
      <c r="D105" s="341" t="s">
        <v>840</v>
      </c>
      <c r="E105" s="340" t="s">
        <v>840</v>
      </c>
    </row>
    <row r="106" spans="1:5" ht="30" customHeight="1" x14ac:dyDescent="0.2">
      <c r="A106" s="324" t="s">
        <v>697</v>
      </c>
      <c r="B106" s="337"/>
      <c r="C106" s="338">
        <v>0</v>
      </c>
      <c r="D106" s="341" t="s">
        <v>840</v>
      </c>
      <c r="E106" s="340" t="s">
        <v>840</v>
      </c>
    </row>
    <row r="107" spans="1:5" ht="30" customHeight="1" x14ac:dyDescent="0.2">
      <c r="A107" s="324" t="s">
        <v>698</v>
      </c>
      <c r="B107" s="337"/>
      <c r="C107" s="338">
        <v>0</v>
      </c>
      <c r="D107" s="341" t="s">
        <v>840</v>
      </c>
      <c r="E107" s="340" t="s">
        <v>840</v>
      </c>
    </row>
    <row r="108" spans="1:5" ht="30" customHeight="1" x14ac:dyDescent="0.2">
      <c r="A108" s="324" t="s">
        <v>699</v>
      </c>
      <c r="B108" s="337"/>
      <c r="C108" s="338">
        <v>0</v>
      </c>
      <c r="D108" s="341" t="s">
        <v>840</v>
      </c>
      <c r="E108" s="340" t="s">
        <v>840</v>
      </c>
    </row>
    <row r="109" spans="1:5" ht="30" customHeight="1" x14ac:dyDescent="0.2">
      <c r="A109" s="324" t="s">
        <v>700</v>
      </c>
      <c r="B109" s="337"/>
      <c r="C109" s="338">
        <v>0</v>
      </c>
      <c r="D109" s="341" t="s">
        <v>840</v>
      </c>
      <c r="E109" s="340" t="s">
        <v>840</v>
      </c>
    </row>
    <row r="110" spans="1:5" ht="30" customHeight="1" x14ac:dyDescent="0.2">
      <c r="A110" s="324" t="s">
        <v>701</v>
      </c>
      <c r="B110" s="337"/>
      <c r="C110" s="338">
        <v>0</v>
      </c>
      <c r="D110" s="340">
        <v>0</v>
      </c>
      <c r="E110" s="340">
        <v>0</v>
      </c>
    </row>
    <row r="111" spans="1:5" ht="30" customHeight="1" x14ac:dyDescent="0.2">
      <c r="A111" s="324" t="s">
        <v>702</v>
      </c>
      <c r="B111" s="337"/>
      <c r="C111" s="338">
        <v>0</v>
      </c>
      <c r="D111" s="340">
        <v>0</v>
      </c>
      <c r="E111" s="340">
        <v>0</v>
      </c>
    </row>
    <row r="112" spans="1:5" ht="30" customHeight="1" x14ac:dyDescent="0.2">
      <c r="A112" s="324" t="s">
        <v>703</v>
      </c>
      <c r="B112" s="337"/>
      <c r="C112" s="338">
        <v>0</v>
      </c>
      <c r="D112" s="341" t="s">
        <v>840</v>
      </c>
      <c r="E112" s="340" t="s">
        <v>840</v>
      </c>
    </row>
    <row r="113" spans="1:5" ht="30" customHeight="1" x14ac:dyDescent="0.2">
      <c r="A113" s="324" t="s">
        <v>704</v>
      </c>
      <c r="B113" s="337"/>
      <c r="C113" s="338">
        <v>0</v>
      </c>
      <c r="D113" s="341" t="s">
        <v>840</v>
      </c>
      <c r="E113" s="340" t="s">
        <v>840</v>
      </c>
    </row>
    <row r="114" spans="1:5" ht="30" customHeight="1" x14ac:dyDescent="0.2">
      <c r="A114" s="324" t="s">
        <v>705</v>
      </c>
      <c r="B114" s="337"/>
      <c r="C114" s="338">
        <v>0</v>
      </c>
      <c r="D114" s="341" t="s">
        <v>840</v>
      </c>
      <c r="E114" s="340" t="s">
        <v>840</v>
      </c>
    </row>
    <row r="115" spans="1:5" ht="30" customHeight="1" x14ac:dyDescent="0.2">
      <c r="A115" s="324" t="s">
        <v>706</v>
      </c>
      <c r="B115" s="337"/>
      <c r="C115" s="338">
        <v>0</v>
      </c>
      <c r="D115" s="341" t="s">
        <v>840</v>
      </c>
      <c r="E115" s="340" t="s">
        <v>840</v>
      </c>
    </row>
    <row r="116" spans="1:5" ht="30" customHeight="1" x14ac:dyDescent="0.2">
      <c r="A116" s="324" t="s">
        <v>707</v>
      </c>
      <c r="B116" s="337"/>
      <c r="C116" s="338">
        <v>0</v>
      </c>
      <c r="D116" s="341" t="s">
        <v>840</v>
      </c>
      <c r="E116" s="340" t="s">
        <v>840</v>
      </c>
    </row>
    <row r="117" spans="1:5" ht="30" customHeight="1" x14ac:dyDescent="0.2">
      <c r="A117" s="324" t="s">
        <v>708</v>
      </c>
      <c r="B117" s="337"/>
      <c r="C117" s="338">
        <v>0</v>
      </c>
      <c r="D117" s="341" t="s">
        <v>840</v>
      </c>
      <c r="E117" s="340" t="s">
        <v>840</v>
      </c>
    </row>
    <row r="118" spans="1:5" ht="30" customHeight="1" x14ac:dyDescent="0.2">
      <c r="A118" s="324" t="s">
        <v>709</v>
      </c>
      <c r="B118" s="337"/>
      <c r="C118" s="338">
        <v>0</v>
      </c>
      <c r="D118" s="341" t="s">
        <v>840</v>
      </c>
      <c r="E118" s="340" t="s">
        <v>840</v>
      </c>
    </row>
    <row r="119" spans="1:5" ht="30" customHeight="1" x14ac:dyDescent="0.2">
      <c r="A119" s="324" t="s">
        <v>710</v>
      </c>
      <c r="B119" s="337"/>
      <c r="C119" s="338">
        <v>0</v>
      </c>
      <c r="D119" s="341" t="s">
        <v>840</v>
      </c>
      <c r="E119" s="340" t="s">
        <v>840</v>
      </c>
    </row>
    <row r="120" spans="1:5" ht="30" customHeight="1" x14ac:dyDescent="0.2">
      <c r="A120" s="324" t="s">
        <v>711</v>
      </c>
      <c r="B120" s="337"/>
      <c r="C120" s="338">
        <v>0</v>
      </c>
      <c r="D120" s="341" t="s">
        <v>840</v>
      </c>
      <c r="E120" s="340" t="s">
        <v>840</v>
      </c>
    </row>
    <row r="121" spans="1:5" ht="30" customHeight="1" x14ac:dyDescent="0.2">
      <c r="A121" s="324" t="s">
        <v>784</v>
      </c>
      <c r="B121" s="337"/>
      <c r="C121" s="338" t="s">
        <v>845</v>
      </c>
      <c r="D121" s="341" t="s">
        <v>840</v>
      </c>
      <c r="E121" s="340" t="s">
        <v>840</v>
      </c>
    </row>
    <row r="122" spans="1:5" ht="30" customHeight="1" x14ac:dyDescent="0.2">
      <c r="A122" s="324" t="s">
        <v>791</v>
      </c>
      <c r="B122" s="337"/>
      <c r="C122" s="338" t="s">
        <v>846</v>
      </c>
      <c r="D122" s="341" t="s">
        <v>840</v>
      </c>
      <c r="E122" s="340" t="s">
        <v>840</v>
      </c>
    </row>
    <row r="123" spans="1:5" ht="30" customHeight="1" x14ac:dyDescent="0.2">
      <c r="A123" s="324" t="s">
        <v>798</v>
      </c>
      <c r="B123" s="337"/>
      <c r="C123" s="338" t="s">
        <v>846</v>
      </c>
      <c r="D123" s="341" t="s">
        <v>840</v>
      </c>
      <c r="E123" s="340" t="s">
        <v>840</v>
      </c>
    </row>
    <row r="124" spans="1:5" ht="30" customHeight="1" x14ac:dyDescent="0.2">
      <c r="A124" s="324" t="s">
        <v>805</v>
      </c>
      <c r="B124" s="337"/>
      <c r="C124" s="338" t="s">
        <v>846</v>
      </c>
      <c r="D124" s="341" t="s">
        <v>840</v>
      </c>
      <c r="E124" s="340" t="s">
        <v>840</v>
      </c>
    </row>
    <row r="125" spans="1:5" ht="30" customHeight="1" x14ac:dyDescent="0.2">
      <c r="A125" s="324" t="s">
        <v>812</v>
      </c>
      <c r="B125" s="337"/>
      <c r="C125" s="338" t="s">
        <v>846</v>
      </c>
      <c r="D125" s="341" t="s">
        <v>840</v>
      </c>
      <c r="E125" s="340" t="s">
        <v>840</v>
      </c>
    </row>
    <row r="126" spans="1:5" ht="30" customHeight="1" x14ac:dyDescent="0.2">
      <c r="A126" s="324" t="s">
        <v>819</v>
      </c>
      <c r="B126" s="337"/>
      <c r="C126" s="338" t="s">
        <v>846</v>
      </c>
      <c r="D126" s="341" t="s">
        <v>840</v>
      </c>
      <c r="E126" s="340" t="s">
        <v>840</v>
      </c>
    </row>
    <row r="127" spans="1:5" ht="30" customHeight="1" x14ac:dyDescent="0.2">
      <c r="A127" s="324" t="s">
        <v>713</v>
      </c>
      <c r="B127" s="337"/>
      <c r="C127" s="338">
        <v>0</v>
      </c>
      <c r="D127" s="341" t="s">
        <v>840</v>
      </c>
      <c r="E127" s="340" t="s">
        <v>840</v>
      </c>
    </row>
    <row r="128" spans="1:5" ht="30" customHeight="1" x14ac:dyDescent="0.2">
      <c r="A128" s="324" t="s">
        <v>714</v>
      </c>
      <c r="B128" s="337"/>
      <c r="C128" s="338">
        <v>0</v>
      </c>
      <c r="D128" s="341" t="s">
        <v>840</v>
      </c>
      <c r="E128" s="340" t="s">
        <v>840</v>
      </c>
    </row>
    <row r="129" spans="1:5" ht="30" customHeight="1" x14ac:dyDescent="0.2">
      <c r="A129" s="324" t="s">
        <v>715</v>
      </c>
      <c r="B129" s="337"/>
      <c r="C129" s="338">
        <v>0</v>
      </c>
      <c r="D129" s="341" t="s">
        <v>840</v>
      </c>
      <c r="E129" s="340" t="s">
        <v>840</v>
      </c>
    </row>
    <row r="130" spans="1:5" ht="30" customHeight="1" x14ac:dyDescent="0.2">
      <c r="A130" s="324" t="s">
        <v>716</v>
      </c>
      <c r="B130" s="337"/>
      <c r="C130" s="338">
        <v>0</v>
      </c>
      <c r="D130" s="341" t="s">
        <v>840</v>
      </c>
      <c r="E130" s="340" t="s">
        <v>840</v>
      </c>
    </row>
    <row r="131" spans="1:5" ht="30" customHeight="1" x14ac:dyDescent="0.2">
      <c r="A131" s="324" t="s">
        <v>717</v>
      </c>
      <c r="B131" s="337"/>
      <c r="C131" s="338">
        <v>0</v>
      </c>
      <c r="D131" s="341" t="s">
        <v>840</v>
      </c>
      <c r="E131" s="340" t="s">
        <v>840</v>
      </c>
    </row>
    <row r="132" spans="1:5" ht="30" customHeight="1" x14ac:dyDescent="0.2">
      <c r="A132" s="324" t="s">
        <v>718</v>
      </c>
      <c r="B132" s="337"/>
      <c r="C132" s="338">
        <v>0</v>
      </c>
      <c r="D132" s="341" t="s">
        <v>840</v>
      </c>
      <c r="E132" s="340" t="s">
        <v>840</v>
      </c>
    </row>
    <row r="133" spans="1:5" ht="30" customHeight="1" x14ac:dyDescent="0.2">
      <c r="A133" s="324" t="s">
        <v>719</v>
      </c>
      <c r="B133" s="337"/>
      <c r="C133" s="338">
        <v>0</v>
      </c>
      <c r="D133" s="341" t="s">
        <v>840</v>
      </c>
      <c r="E133" s="340" t="s">
        <v>840</v>
      </c>
    </row>
    <row r="134" spans="1:5" ht="30" customHeight="1" x14ac:dyDescent="0.2">
      <c r="A134" s="324" t="s">
        <v>720</v>
      </c>
      <c r="B134" s="337"/>
      <c r="C134" s="338">
        <v>0</v>
      </c>
      <c r="D134" s="341" t="s">
        <v>840</v>
      </c>
      <c r="E134" s="340" t="s">
        <v>840</v>
      </c>
    </row>
    <row r="135" spans="1:5" ht="30" customHeight="1" x14ac:dyDescent="0.2">
      <c r="A135" s="324" t="s">
        <v>721</v>
      </c>
      <c r="B135" s="337"/>
      <c r="C135" s="338">
        <v>0</v>
      </c>
      <c r="D135" s="341" t="s">
        <v>840</v>
      </c>
      <c r="E135" s="340" t="s">
        <v>840</v>
      </c>
    </row>
    <row r="136" spans="1:5" ht="30" customHeight="1" x14ac:dyDescent="0.2">
      <c r="A136" s="324" t="s">
        <v>722</v>
      </c>
      <c r="B136" s="337"/>
      <c r="C136" s="338">
        <v>0</v>
      </c>
      <c r="D136" s="341" t="s">
        <v>840</v>
      </c>
      <c r="E136" s="340" t="s">
        <v>840</v>
      </c>
    </row>
    <row r="137" spans="1:5" ht="30" customHeight="1" x14ac:dyDescent="0.2">
      <c r="A137" s="324" t="s">
        <v>723</v>
      </c>
      <c r="B137" s="337"/>
      <c r="C137" s="338">
        <v>0</v>
      </c>
      <c r="D137" s="341" t="s">
        <v>840</v>
      </c>
      <c r="E137" s="340" t="s">
        <v>840</v>
      </c>
    </row>
    <row r="138" spans="1:5" ht="30" customHeight="1" x14ac:dyDescent="0.2">
      <c r="A138" s="324" t="s">
        <v>724</v>
      </c>
      <c r="B138" s="337"/>
      <c r="C138" s="338">
        <v>0</v>
      </c>
      <c r="D138" s="341" t="s">
        <v>840</v>
      </c>
      <c r="E138" s="340" t="s">
        <v>840</v>
      </c>
    </row>
    <row r="139" spans="1:5" ht="30" customHeight="1" x14ac:dyDescent="0.2">
      <c r="A139" s="324" t="s">
        <v>725</v>
      </c>
      <c r="B139" s="337"/>
      <c r="C139" s="338">
        <v>0</v>
      </c>
      <c r="D139" s="340">
        <v>0</v>
      </c>
      <c r="E139" s="340">
        <v>0</v>
      </c>
    </row>
    <row r="140" spans="1:5" ht="30" customHeight="1" x14ac:dyDescent="0.2">
      <c r="A140" s="324" t="s">
        <v>726</v>
      </c>
      <c r="B140" s="337"/>
      <c r="C140" s="338">
        <v>0</v>
      </c>
      <c r="D140" s="340">
        <v>0</v>
      </c>
      <c r="E140" s="340">
        <v>0</v>
      </c>
    </row>
    <row r="141" spans="1:5" ht="30" customHeight="1" x14ac:dyDescent="0.2">
      <c r="A141" s="324" t="s">
        <v>727</v>
      </c>
      <c r="B141" s="337"/>
      <c r="C141" s="338">
        <v>0</v>
      </c>
      <c r="D141" s="341" t="s">
        <v>840</v>
      </c>
      <c r="E141" s="340" t="s">
        <v>840</v>
      </c>
    </row>
    <row r="142" spans="1:5" ht="30" customHeight="1" x14ac:dyDescent="0.2">
      <c r="A142" s="324" t="s">
        <v>785</v>
      </c>
      <c r="B142" s="337"/>
      <c r="C142" s="338" t="s">
        <v>845</v>
      </c>
      <c r="D142" s="341" t="s">
        <v>840</v>
      </c>
      <c r="E142" s="340" t="s">
        <v>840</v>
      </c>
    </row>
    <row r="143" spans="1:5" ht="30" customHeight="1" x14ac:dyDescent="0.2">
      <c r="A143" s="324" t="s">
        <v>792</v>
      </c>
      <c r="B143" s="337"/>
      <c r="C143" s="338" t="s">
        <v>846</v>
      </c>
      <c r="D143" s="341" t="s">
        <v>840</v>
      </c>
      <c r="E143" s="340" t="s">
        <v>840</v>
      </c>
    </row>
    <row r="144" spans="1:5" ht="30" customHeight="1" x14ac:dyDescent="0.2">
      <c r="A144" s="324" t="s">
        <v>799</v>
      </c>
      <c r="B144" s="337"/>
      <c r="C144" s="338" t="s">
        <v>846</v>
      </c>
      <c r="D144" s="341" t="s">
        <v>840</v>
      </c>
      <c r="E144" s="340" t="s">
        <v>840</v>
      </c>
    </row>
    <row r="145" spans="1:5" ht="30" customHeight="1" x14ac:dyDescent="0.2">
      <c r="A145" s="324" t="s">
        <v>806</v>
      </c>
      <c r="B145" s="337"/>
      <c r="C145" s="338" t="s">
        <v>846</v>
      </c>
      <c r="D145" s="341" t="s">
        <v>840</v>
      </c>
      <c r="E145" s="340" t="s">
        <v>840</v>
      </c>
    </row>
    <row r="146" spans="1:5" ht="30" customHeight="1" x14ac:dyDescent="0.2">
      <c r="A146" s="324" t="s">
        <v>813</v>
      </c>
      <c r="B146" s="337"/>
      <c r="C146" s="338" t="s">
        <v>846</v>
      </c>
      <c r="D146" s="341" t="s">
        <v>840</v>
      </c>
      <c r="E146" s="340" t="s">
        <v>840</v>
      </c>
    </row>
    <row r="147" spans="1:5" ht="30" customHeight="1" x14ac:dyDescent="0.2">
      <c r="A147" s="324" t="s">
        <v>820</v>
      </c>
      <c r="B147" s="337"/>
      <c r="C147" s="338" t="s">
        <v>846</v>
      </c>
      <c r="D147" s="341" t="s">
        <v>840</v>
      </c>
      <c r="E147" s="340" t="s">
        <v>840</v>
      </c>
    </row>
    <row r="148" spans="1:5" ht="30" customHeight="1" x14ac:dyDescent="0.2">
      <c r="A148" s="324" t="s">
        <v>729</v>
      </c>
      <c r="B148" s="337"/>
      <c r="C148" s="338">
        <v>0</v>
      </c>
      <c r="D148" s="341" t="s">
        <v>840</v>
      </c>
      <c r="E148" s="340" t="s">
        <v>840</v>
      </c>
    </row>
    <row r="149" spans="1:5" ht="30" customHeight="1" x14ac:dyDescent="0.2">
      <c r="A149" s="324" t="s">
        <v>730</v>
      </c>
      <c r="B149" s="337"/>
      <c r="C149" s="338">
        <v>0</v>
      </c>
      <c r="D149" s="341" t="s">
        <v>840</v>
      </c>
      <c r="E149" s="340" t="s">
        <v>840</v>
      </c>
    </row>
    <row r="150" spans="1:5" ht="30" customHeight="1" x14ac:dyDescent="0.2">
      <c r="A150" s="324" t="s">
        <v>731</v>
      </c>
      <c r="B150" s="337"/>
      <c r="C150" s="338">
        <v>0</v>
      </c>
      <c r="D150" s="341" t="s">
        <v>840</v>
      </c>
      <c r="E150" s="340" t="s">
        <v>840</v>
      </c>
    </row>
    <row r="151" spans="1:5" ht="30" customHeight="1" x14ac:dyDescent="0.2">
      <c r="A151" s="324" t="s">
        <v>732</v>
      </c>
      <c r="B151" s="337"/>
      <c r="C151" s="338">
        <v>0</v>
      </c>
      <c r="D151" s="341" t="s">
        <v>840</v>
      </c>
      <c r="E151" s="340" t="s">
        <v>840</v>
      </c>
    </row>
    <row r="152" spans="1:5" ht="30" customHeight="1" x14ac:dyDescent="0.2">
      <c r="A152" s="324" t="s">
        <v>733</v>
      </c>
      <c r="B152" s="337"/>
      <c r="C152" s="338">
        <v>0</v>
      </c>
      <c r="D152" s="341" t="s">
        <v>840</v>
      </c>
      <c r="E152" s="340" t="s">
        <v>840</v>
      </c>
    </row>
    <row r="153" spans="1:5" ht="30" customHeight="1" x14ac:dyDescent="0.2">
      <c r="A153" s="324" t="s">
        <v>734</v>
      </c>
      <c r="B153" s="337"/>
      <c r="C153" s="338">
        <v>0</v>
      </c>
      <c r="D153" s="341" t="s">
        <v>840</v>
      </c>
      <c r="E153" s="340" t="s">
        <v>840</v>
      </c>
    </row>
    <row r="154" spans="1:5" ht="30" customHeight="1" x14ac:dyDescent="0.2">
      <c r="A154" s="324" t="s">
        <v>735</v>
      </c>
      <c r="B154" s="337"/>
      <c r="C154" s="338">
        <v>0</v>
      </c>
      <c r="D154" s="341" t="s">
        <v>840</v>
      </c>
      <c r="E154" s="340" t="s">
        <v>840</v>
      </c>
    </row>
    <row r="155" spans="1:5" ht="30" customHeight="1" x14ac:dyDescent="0.2">
      <c r="A155" s="324" t="s">
        <v>736</v>
      </c>
      <c r="B155" s="337"/>
      <c r="C155" s="338">
        <v>0</v>
      </c>
      <c r="D155" s="341" t="s">
        <v>840</v>
      </c>
      <c r="E155" s="340" t="s">
        <v>840</v>
      </c>
    </row>
    <row r="156" spans="1:5" ht="30" customHeight="1" x14ac:dyDescent="0.2">
      <c r="A156" s="324" t="s">
        <v>737</v>
      </c>
      <c r="B156" s="337"/>
      <c r="C156" s="338">
        <v>0</v>
      </c>
      <c r="D156" s="341" t="s">
        <v>840</v>
      </c>
      <c r="E156" s="340" t="s">
        <v>840</v>
      </c>
    </row>
    <row r="157" spans="1:5" ht="30" customHeight="1" x14ac:dyDescent="0.2">
      <c r="A157" s="324" t="s">
        <v>738</v>
      </c>
      <c r="B157" s="337"/>
      <c r="C157" s="338">
        <v>0</v>
      </c>
      <c r="D157" s="341" t="s">
        <v>840</v>
      </c>
      <c r="E157" s="340" t="s">
        <v>840</v>
      </c>
    </row>
    <row r="158" spans="1:5" ht="30" customHeight="1" x14ac:dyDescent="0.2">
      <c r="A158" s="324" t="s">
        <v>739</v>
      </c>
      <c r="B158" s="337"/>
      <c r="C158" s="338">
        <v>0</v>
      </c>
      <c r="D158" s="341" t="s">
        <v>840</v>
      </c>
      <c r="E158" s="340" t="s">
        <v>840</v>
      </c>
    </row>
    <row r="159" spans="1:5" ht="30" customHeight="1" x14ac:dyDescent="0.2">
      <c r="A159" s="324" t="s">
        <v>740</v>
      </c>
      <c r="B159" s="337"/>
      <c r="C159" s="338">
        <v>0</v>
      </c>
      <c r="D159" s="341" t="s">
        <v>840</v>
      </c>
      <c r="E159" s="340" t="s">
        <v>840</v>
      </c>
    </row>
    <row r="160" spans="1:5" ht="30" customHeight="1" x14ac:dyDescent="0.2">
      <c r="A160" s="324" t="s">
        <v>741</v>
      </c>
      <c r="B160" s="337"/>
      <c r="C160" s="338">
        <v>0</v>
      </c>
      <c r="D160" s="341" t="s">
        <v>840</v>
      </c>
      <c r="E160" s="340" t="s">
        <v>840</v>
      </c>
    </row>
    <row r="161" spans="1:5" ht="30" customHeight="1" x14ac:dyDescent="0.2">
      <c r="A161" s="324" t="s">
        <v>742</v>
      </c>
      <c r="B161" s="337"/>
      <c r="C161" s="338">
        <v>0</v>
      </c>
      <c r="D161" s="341" t="s">
        <v>840</v>
      </c>
      <c r="E161" s="340" t="s">
        <v>840</v>
      </c>
    </row>
    <row r="162" spans="1:5" ht="30" customHeight="1" x14ac:dyDescent="0.2">
      <c r="A162" s="324" t="s">
        <v>743</v>
      </c>
      <c r="B162" s="337"/>
      <c r="C162" s="338">
        <v>0</v>
      </c>
      <c r="D162" s="341" t="s">
        <v>840</v>
      </c>
      <c r="E162" s="340" t="s">
        <v>840</v>
      </c>
    </row>
    <row r="163" spans="1:5" x14ac:dyDescent="0.2">
      <c r="A163" s="1" t="s">
        <v>821</v>
      </c>
      <c r="B163" s="1"/>
      <c r="D163" s="1"/>
      <c r="E163" s="1"/>
    </row>
    <row r="164" spans="1:5" x14ac:dyDescent="0.2">
      <c r="A164" s="1" t="s">
        <v>822</v>
      </c>
      <c r="B164" s="1"/>
      <c r="D164" s="1"/>
      <c r="E164" s="1"/>
    </row>
  </sheetData>
  <mergeCells count="2">
    <mergeCell ref="B1:C1"/>
    <mergeCell ref="A2:E2"/>
  </mergeCells>
  <hyperlinks>
    <hyperlink ref="A1" location="Overview!A1" display="Back to Overview" xr:uid="{3ABB8EED-D5BA-4B4D-8454-928F63E7C989}"/>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4EE4-A28E-40BB-8D98-CA113E2A82D0}">
  <dimension ref="A1:M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3" ht="27.75" customHeight="1" x14ac:dyDescent="0.2">
      <c r="A1" s="32" t="s">
        <v>19</v>
      </c>
      <c r="B1" s="519"/>
      <c r="C1" s="519"/>
      <c r="D1" s="329"/>
      <c r="E1" s="329"/>
    </row>
    <row r="2" spans="1:13" ht="35.1" customHeight="1" x14ac:dyDescent="0.2">
      <c r="A2" s="520" t="str">
        <f>Overview!B4&amp; " - Effective from "&amp;TEXT(Overview!D4,"d mmmm yyyy")&amp;" - "&amp;Overview!E4&amp;" Supplier of Last Resort and Eligible Bad Debt Pass-Through Costs"&amp;" in UKPN LPN Area (GSP Group_C)"</f>
        <v>Leep Electricity Networks Limited - Effective from 1 April 2026 - Final Supplier of Last Resort and Eligible Bad Debt Pass-Through Costs in UKPN LPN Area (GSP Group_C)</v>
      </c>
      <c r="B2" s="521"/>
      <c r="C2" s="521"/>
      <c r="D2" s="521"/>
      <c r="E2" s="521"/>
    </row>
    <row r="3" spans="1:13" s="41" customFormat="1" ht="21" customHeight="1" x14ac:dyDescent="0.2">
      <c r="A3" s="46"/>
      <c r="B3" s="46"/>
      <c r="C3" s="46"/>
      <c r="D3" s="46"/>
      <c r="E3" s="46"/>
      <c r="F3" s="1"/>
    </row>
    <row r="4" spans="1:13" ht="78.75" customHeight="1" x14ac:dyDescent="0.2">
      <c r="A4" s="19" t="s">
        <v>458</v>
      </c>
      <c r="B4" s="16" t="s">
        <v>744</v>
      </c>
      <c r="C4" s="16" t="s">
        <v>24</v>
      </c>
      <c r="D4" s="16" t="s">
        <v>745</v>
      </c>
      <c r="E4" s="16" t="s">
        <v>746</v>
      </c>
      <c r="G4" s="395"/>
      <c r="H4" s="396"/>
      <c r="I4" s="396"/>
      <c r="J4" s="396"/>
      <c r="K4" s="396"/>
      <c r="L4" s="396"/>
      <c r="M4" s="397"/>
    </row>
    <row r="5" spans="1:13" ht="32.25" customHeight="1" x14ac:dyDescent="0.2">
      <c r="A5" s="10" t="s">
        <v>773</v>
      </c>
      <c r="B5" s="28"/>
      <c r="C5" s="313" t="s">
        <v>845</v>
      </c>
      <c r="D5" s="330" t="s">
        <v>840</v>
      </c>
      <c r="E5" s="330" t="s">
        <v>840</v>
      </c>
      <c r="G5" s="396"/>
      <c r="H5" s="396"/>
      <c r="I5" s="396"/>
      <c r="J5" s="396"/>
      <c r="K5" s="396"/>
      <c r="L5" s="396"/>
      <c r="M5" s="397"/>
    </row>
    <row r="6" spans="1:13" ht="27" customHeight="1" x14ac:dyDescent="0.2">
      <c r="A6" s="10" t="s">
        <v>774</v>
      </c>
      <c r="B6" s="28"/>
      <c r="C6" s="313" t="s">
        <v>846</v>
      </c>
      <c r="D6" s="331" t="s">
        <v>840</v>
      </c>
      <c r="E6" s="330" t="s">
        <v>840</v>
      </c>
    </row>
    <row r="7" spans="1:13" ht="27" customHeight="1" x14ac:dyDescent="0.2">
      <c r="A7" s="10" t="s">
        <v>775</v>
      </c>
      <c r="B7" s="28"/>
      <c r="C7" s="313" t="s">
        <v>846</v>
      </c>
      <c r="D7" s="331" t="s">
        <v>840</v>
      </c>
      <c r="E7" s="330" t="s">
        <v>840</v>
      </c>
    </row>
    <row r="8" spans="1:13" ht="27" customHeight="1" x14ac:dyDescent="0.2">
      <c r="A8" s="10" t="s">
        <v>776</v>
      </c>
      <c r="B8" s="28"/>
      <c r="C8" s="313" t="s">
        <v>846</v>
      </c>
      <c r="D8" s="331" t="s">
        <v>840</v>
      </c>
      <c r="E8" s="330" t="s">
        <v>840</v>
      </c>
    </row>
    <row r="9" spans="1:13" ht="27" customHeight="1" x14ac:dyDescent="0.2">
      <c r="A9" s="10" t="s">
        <v>777</v>
      </c>
      <c r="B9" s="28"/>
      <c r="C9" s="313" t="s">
        <v>846</v>
      </c>
      <c r="D9" s="331" t="s">
        <v>840</v>
      </c>
      <c r="E9" s="330" t="s">
        <v>840</v>
      </c>
    </row>
    <row r="10" spans="1:13" ht="27" customHeight="1" x14ac:dyDescent="0.2">
      <c r="A10" s="10" t="s">
        <v>778</v>
      </c>
      <c r="B10" s="28"/>
      <c r="C10" s="313" t="s">
        <v>846</v>
      </c>
      <c r="D10" s="331" t="s">
        <v>840</v>
      </c>
      <c r="E10" s="330" t="s">
        <v>840</v>
      </c>
    </row>
    <row r="11" spans="1:13" ht="27" customHeight="1" x14ac:dyDescent="0.2">
      <c r="A11" s="324" t="s">
        <v>595</v>
      </c>
      <c r="B11" s="28"/>
      <c r="C11" s="313">
        <v>0</v>
      </c>
      <c r="D11" s="331" t="s">
        <v>840</v>
      </c>
      <c r="E11" s="330" t="s">
        <v>840</v>
      </c>
    </row>
    <row r="12" spans="1:13" ht="27" customHeight="1" x14ac:dyDescent="0.2">
      <c r="A12" s="324" t="s">
        <v>596</v>
      </c>
      <c r="B12" s="28"/>
      <c r="C12" s="313">
        <v>0</v>
      </c>
      <c r="D12" s="331" t="s">
        <v>840</v>
      </c>
      <c r="E12" s="330" t="s">
        <v>840</v>
      </c>
    </row>
    <row r="13" spans="1:13" ht="27.75" customHeight="1" x14ac:dyDescent="0.2">
      <c r="A13" s="324" t="s">
        <v>597</v>
      </c>
      <c r="B13" s="28"/>
      <c r="C13" s="313">
        <v>0</v>
      </c>
      <c r="D13" s="331" t="s">
        <v>840</v>
      </c>
      <c r="E13" s="330" t="s">
        <v>840</v>
      </c>
    </row>
    <row r="14" spans="1:13" ht="27.75" customHeight="1" x14ac:dyDescent="0.2">
      <c r="A14" s="324" t="s">
        <v>598</v>
      </c>
      <c r="B14" s="28"/>
      <c r="C14" s="313">
        <v>0</v>
      </c>
      <c r="D14" s="331" t="s">
        <v>840</v>
      </c>
      <c r="E14" s="330" t="s">
        <v>840</v>
      </c>
    </row>
    <row r="15" spans="1:13" ht="27.75" customHeight="1" x14ac:dyDescent="0.2">
      <c r="A15" s="325" t="s">
        <v>599</v>
      </c>
      <c r="B15" s="28"/>
      <c r="C15" s="313">
        <v>0</v>
      </c>
      <c r="D15" s="331" t="s">
        <v>840</v>
      </c>
      <c r="E15" s="330" t="s">
        <v>840</v>
      </c>
    </row>
    <row r="16" spans="1:13" ht="27.75" customHeight="1" x14ac:dyDescent="0.2">
      <c r="A16" s="325" t="s">
        <v>600</v>
      </c>
      <c r="B16" s="28"/>
      <c r="C16" s="313">
        <v>0</v>
      </c>
      <c r="D16" s="331" t="s">
        <v>840</v>
      </c>
      <c r="E16" s="330" t="s">
        <v>840</v>
      </c>
    </row>
    <row r="17" spans="1:5" ht="27.75" customHeight="1" x14ac:dyDescent="0.2">
      <c r="A17" s="325" t="s">
        <v>601</v>
      </c>
      <c r="B17" s="28"/>
      <c r="C17" s="313">
        <v>0</v>
      </c>
      <c r="D17" s="331" t="s">
        <v>840</v>
      </c>
      <c r="E17" s="330" t="s">
        <v>840</v>
      </c>
    </row>
    <row r="18" spans="1:5" ht="27.75" customHeight="1" x14ac:dyDescent="0.2">
      <c r="A18" s="325" t="s">
        <v>602</v>
      </c>
      <c r="B18" s="28"/>
      <c r="C18" s="313">
        <v>0</v>
      </c>
      <c r="D18" s="331" t="s">
        <v>840</v>
      </c>
      <c r="E18" s="330" t="s">
        <v>840</v>
      </c>
    </row>
    <row r="19" spans="1:5" ht="27.75" customHeight="1" x14ac:dyDescent="0.2">
      <c r="A19" s="325" t="s">
        <v>603</v>
      </c>
      <c r="B19" s="28"/>
      <c r="C19" s="313">
        <v>0</v>
      </c>
      <c r="D19" s="331" t="s">
        <v>840</v>
      </c>
      <c r="E19" s="330" t="s">
        <v>840</v>
      </c>
    </row>
    <row r="20" spans="1:5" ht="27.75" customHeight="1" x14ac:dyDescent="0.2">
      <c r="A20" s="325" t="s">
        <v>604</v>
      </c>
      <c r="B20" s="28"/>
      <c r="C20" s="313">
        <v>0</v>
      </c>
      <c r="D20" s="331" t="s">
        <v>840</v>
      </c>
      <c r="E20" s="330" t="s">
        <v>840</v>
      </c>
    </row>
    <row r="21" spans="1:5" ht="27.75" customHeight="1" x14ac:dyDescent="0.2">
      <c r="A21" s="325" t="s">
        <v>605</v>
      </c>
      <c r="B21" s="28"/>
      <c r="C21" s="313">
        <v>0</v>
      </c>
      <c r="D21" s="331" t="s">
        <v>840</v>
      </c>
      <c r="E21" s="330" t="s">
        <v>840</v>
      </c>
    </row>
    <row r="22" spans="1:5" ht="27.75" customHeight="1" x14ac:dyDescent="0.2">
      <c r="A22" s="325" t="s">
        <v>606</v>
      </c>
      <c r="B22" s="28"/>
      <c r="C22" s="313">
        <v>0</v>
      </c>
      <c r="D22" s="331" t="s">
        <v>840</v>
      </c>
      <c r="E22" s="330" t="s">
        <v>840</v>
      </c>
    </row>
    <row r="23" spans="1:5" ht="27.75" customHeight="1" x14ac:dyDescent="0.2">
      <c r="A23" s="324" t="s">
        <v>607</v>
      </c>
      <c r="B23" s="28"/>
      <c r="C23" s="313">
        <v>0</v>
      </c>
      <c r="D23" s="331" t="s">
        <v>840</v>
      </c>
      <c r="E23" s="330" t="s">
        <v>840</v>
      </c>
    </row>
    <row r="24" spans="1:5" ht="27.75" customHeight="1" x14ac:dyDescent="0.2">
      <c r="A24" s="324" t="s">
        <v>608</v>
      </c>
      <c r="B24" s="28"/>
      <c r="C24" s="313">
        <v>0</v>
      </c>
      <c r="D24" s="331" t="s">
        <v>840</v>
      </c>
      <c r="E24" s="330" t="s">
        <v>840</v>
      </c>
    </row>
    <row r="25" spans="1:5" ht="27.75" customHeight="1" x14ac:dyDescent="0.2">
      <c r="A25" s="324" t="s">
        <v>609</v>
      </c>
      <c r="B25" s="28"/>
      <c r="C25" s="313">
        <v>0</v>
      </c>
      <c r="D25" s="330" t="s">
        <v>840</v>
      </c>
      <c r="E25" s="330" t="s">
        <v>840</v>
      </c>
    </row>
    <row r="26" spans="1:5" ht="27.75" customHeight="1" x14ac:dyDescent="0.2">
      <c r="A26" s="324" t="s">
        <v>779</v>
      </c>
      <c r="B26" s="28" t="s">
        <v>1348</v>
      </c>
      <c r="C26" s="313" t="s">
        <v>845</v>
      </c>
      <c r="D26" s="331" t="s">
        <v>840</v>
      </c>
      <c r="E26" s="330" t="s">
        <v>840</v>
      </c>
    </row>
    <row r="27" spans="1:5" ht="27.75" customHeight="1" x14ac:dyDescent="0.2">
      <c r="A27" s="324" t="s">
        <v>786</v>
      </c>
      <c r="B27" s="28" t="s">
        <v>1349</v>
      </c>
      <c r="C27" s="313" t="s">
        <v>846</v>
      </c>
      <c r="D27" s="331" t="s">
        <v>840</v>
      </c>
      <c r="E27" s="330" t="s">
        <v>840</v>
      </c>
    </row>
    <row r="28" spans="1:5" ht="27.75" customHeight="1" x14ac:dyDescent="0.2">
      <c r="A28" s="324" t="s">
        <v>793</v>
      </c>
      <c r="B28" s="28" t="s">
        <v>1350</v>
      </c>
      <c r="C28" s="313" t="s">
        <v>846</v>
      </c>
      <c r="D28" s="331" t="s">
        <v>840</v>
      </c>
      <c r="E28" s="330" t="s">
        <v>840</v>
      </c>
    </row>
    <row r="29" spans="1:5" ht="27.75" customHeight="1" x14ac:dyDescent="0.2">
      <c r="A29" s="324" t="s">
        <v>800</v>
      </c>
      <c r="B29" s="28" t="s">
        <v>1351</v>
      </c>
      <c r="C29" s="313" t="s">
        <v>846</v>
      </c>
      <c r="D29" s="331" t="s">
        <v>840</v>
      </c>
      <c r="E29" s="330" t="s">
        <v>840</v>
      </c>
    </row>
    <row r="30" spans="1:5" ht="27.75" customHeight="1" x14ac:dyDescent="0.2">
      <c r="A30" s="324" t="s">
        <v>807</v>
      </c>
      <c r="B30" s="28" t="s">
        <v>1352</v>
      </c>
      <c r="C30" s="313" t="s">
        <v>846</v>
      </c>
      <c r="D30" s="331" t="s">
        <v>840</v>
      </c>
      <c r="E30" s="330" t="s">
        <v>840</v>
      </c>
    </row>
    <row r="31" spans="1:5" ht="27.75" customHeight="1" x14ac:dyDescent="0.2">
      <c r="A31" s="324" t="s">
        <v>814</v>
      </c>
      <c r="B31" s="28" t="s">
        <v>1353</v>
      </c>
      <c r="C31" s="313" t="s">
        <v>846</v>
      </c>
      <c r="D31" s="331" t="s">
        <v>840</v>
      </c>
      <c r="E31" s="330" t="s">
        <v>840</v>
      </c>
    </row>
    <row r="32" spans="1:5" ht="27.75" customHeight="1" x14ac:dyDescent="0.2">
      <c r="A32" s="324" t="s">
        <v>643</v>
      </c>
      <c r="B32" s="28" t="s">
        <v>840</v>
      </c>
      <c r="C32" s="313">
        <v>0</v>
      </c>
      <c r="D32" s="331" t="s">
        <v>840</v>
      </c>
      <c r="E32" s="330" t="s">
        <v>840</v>
      </c>
    </row>
    <row r="33" spans="1:5" ht="27.75" customHeight="1" x14ac:dyDescent="0.2">
      <c r="A33" s="324" t="s">
        <v>644</v>
      </c>
      <c r="B33" s="28" t="s">
        <v>1354</v>
      </c>
      <c r="C33" s="313">
        <v>0</v>
      </c>
      <c r="D33" s="331" t="s">
        <v>840</v>
      </c>
      <c r="E33" s="330" t="s">
        <v>840</v>
      </c>
    </row>
    <row r="34" spans="1:5" ht="27.75" customHeight="1" x14ac:dyDescent="0.2">
      <c r="A34" s="324" t="s">
        <v>645</v>
      </c>
      <c r="B34" s="28" t="s">
        <v>1355</v>
      </c>
      <c r="C34" s="313">
        <v>0</v>
      </c>
      <c r="D34" s="331" t="s">
        <v>840</v>
      </c>
      <c r="E34" s="330" t="s">
        <v>840</v>
      </c>
    </row>
    <row r="35" spans="1:5" ht="27.75" customHeight="1" x14ac:dyDescent="0.2">
      <c r="A35" s="324" t="s">
        <v>646</v>
      </c>
      <c r="B35" s="28" t="s">
        <v>1356</v>
      </c>
      <c r="C35" s="313">
        <v>0</v>
      </c>
      <c r="D35" s="331" t="s">
        <v>840</v>
      </c>
      <c r="E35" s="330" t="s">
        <v>840</v>
      </c>
    </row>
    <row r="36" spans="1:5" ht="27.75" customHeight="1" x14ac:dyDescent="0.2">
      <c r="A36" s="324" t="s">
        <v>647</v>
      </c>
      <c r="B36" s="28" t="s">
        <v>1357</v>
      </c>
      <c r="C36" s="313">
        <v>0</v>
      </c>
      <c r="D36" s="330" t="s">
        <v>840</v>
      </c>
      <c r="E36" s="330" t="s">
        <v>840</v>
      </c>
    </row>
    <row r="37" spans="1:5" ht="27.75" customHeight="1" x14ac:dyDescent="0.2">
      <c r="A37" s="325" t="s">
        <v>780</v>
      </c>
      <c r="B37" s="28" t="e">
        <v>#N/A</v>
      </c>
      <c r="C37" s="313" t="s">
        <v>845</v>
      </c>
      <c r="D37" s="331" t="s">
        <v>840</v>
      </c>
      <c r="E37" s="330" t="s">
        <v>840</v>
      </c>
    </row>
    <row r="38" spans="1:5" ht="27.75" customHeight="1" x14ac:dyDescent="0.2">
      <c r="A38" s="324" t="s">
        <v>787</v>
      </c>
      <c r="B38" s="28" t="s">
        <v>1358</v>
      </c>
      <c r="C38" s="313" t="s">
        <v>846</v>
      </c>
      <c r="D38" s="331" t="s">
        <v>840</v>
      </c>
      <c r="E38" s="330" t="s">
        <v>840</v>
      </c>
    </row>
    <row r="39" spans="1:5" ht="27.75" customHeight="1" x14ac:dyDescent="0.2">
      <c r="A39" s="324" t="s">
        <v>794</v>
      </c>
      <c r="B39" s="28" t="s">
        <v>1359</v>
      </c>
      <c r="C39" s="313" t="s">
        <v>846</v>
      </c>
      <c r="D39" s="331" t="s">
        <v>840</v>
      </c>
      <c r="E39" s="330" t="s">
        <v>840</v>
      </c>
    </row>
    <row r="40" spans="1:5" ht="27.75" customHeight="1" x14ac:dyDescent="0.2">
      <c r="A40" s="324" t="s">
        <v>801</v>
      </c>
      <c r="B40" s="28" t="s">
        <v>1360</v>
      </c>
      <c r="C40" s="313" t="s">
        <v>846</v>
      </c>
      <c r="D40" s="331" t="s">
        <v>840</v>
      </c>
      <c r="E40" s="330" t="s">
        <v>840</v>
      </c>
    </row>
    <row r="41" spans="1:5" ht="27.75" customHeight="1" x14ac:dyDescent="0.2">
      <c r="A41" s="324" t="s">
        <v>808</v>
      </c>
      <c r="B41" s="28" t="s">
        <v>1361</v>
      </c>
      <c r="C41" s="313" t="s">
        <v>846</v>
      </c>
      <c r="D41" s="331" t="s">
        <v>840</v>
      </c>
      <c r="E41" s="330" t="s">
        <v>840</v>
      </c>
    </row>
    <row r="42" spans="1:5" ht="27.75" customHeight="1" x14ac:dyDescent="0.2">
      <c r="A42" s="324" t="s">
        <v>815</v>
      </c>
      <c r="B42" s="28" t="s">
        <v>1362</v>
      </c>
      <c r="C42" s="313" t="s">
        <v>846</v>
      </c>
      <c r="D42" s="331" t="s">
        <v>840</v>
      </c>
      <c r="E42" s="330" t="s">
        <v>840</v>
      </c>
    </row>
    <row r="43" spans="1:5" ht="27.75" customHeight="1" x14ac:dyDescent="0.2">
      <c r="A43" s="324" t="s">
        <v>649</v>
      </c>
      <c r="B43" s="28" t="s">
        <v>840</v>
      </c>
      <c r="C43" s="313">
        <v>0</v>
      </c>
      <c r="D43" s="331" t="s">
        <v>840</v>
      </c>
      <c r="E43" s="330" t="s">
        <v>840</v>
      </c>
    </row>
    <row r="44" spans="1:5" ht="27.75" customHeight="1" x14ac:dyDescent="0.2">
      <c r="A44" s="324" t="s">
        <v>650</v>
      </c>
      <c r="B44" s="28" t="s">
        <v>1363</v>
      </c>
      <c r="C44" s="313">
        <v>0</v>
      </c>
      <c r="D44" s="331" t="s">
        <v>840</v>
      </c>
      <c r="E44" s="330" t="s">
        <v>840</v>
      </c>
    </row>
    <row r="45" spans="1:5" ht="27.75" customHeight="1" x14ac:dyDescent="0.2">
      <c r="A45" s="324" t="s">
        <v>651</v>
      </c>
      <c r="B45" s="28" t="s">
        <v>1364</v>
      </c>
      <c r="C45" s="313">
        <v>0</v>
      </c>
      <c r="D45" s="331" t="s">
        <v>840</v>
      </c>
      <c r="E45" s="330" t="s">
        <v>840</v>
      </c>
    </row>
    <row r="46" spans="1:5" ht="27.75" customHeight="1" x14ac:dyDescent="0.2">
      <c r="A46" s="324" t="s">
        <v>652</v>
      </c>
      <c r="B46" s="28" t="s">
        <v>1365</v>
      </c>
      <c r="C46" s="313">
        <v>0</v>
      </c>
      <c r="D46" s="331" t="s">
        <v>840</v>
      </c>
      <c r="E46" s="330" t="s">
        <v>840</v>
      </c>
    </row>
    <row r="47" spans="1:5" ht="27.75" customHeight="1" x14ac:dyDescent="0.2">
      <c r="A47" s="324" t="s">
        <v>653</v>
      </c>
      <c r="B47" s="28" t="s">
        <v>1366</v>
      </c>
      <c r="C47" s="313">
        <v>0</v>
      </c>
      <c r="D47" s="331" t="s">
        <v>840</v>
      </c>
      <c r="E47" s="330" t="s">
        <v>840</v>
      </c>
    </row>
    <row r="48" spans="1:5" ht="27.75" customHeight="1" x14ac:dyDescent="0.2">
      <c r="A48" s="324" t="s">
        <v>654</v>
      </c>
      <c r="B48" s="28" t="s">
        <v>840</v>
      </c>
      <c r="C48" s="313">
        <v>0</v>
      </c>
      <c r="D48" s="331" t="s">
        <v>840</v>
      </c>
      <c r="E48" s="330" t="s">
        <v>840</v>
      </c>
    </row>
    <row r="49" spans="1:5" ht="27.75" customHeight="1" x14ac:dyDescent="0.2">
      <c r="A49" s="324" t="s">
        <v>655</v>
      </c>
      <c r="B49" s="28" t="s">
        <v>1367</v>
      </c>
      <c r="C49" s="313">
        <v>0</v>
      </c>
      <c r="D49" s="331" t="s">
        <v>840</v>
      </c>
      <c r="E49" s="330" t="s">
        <v>840</v>
      </c>
    </row>
    <row r="50" spans="1:5" ht="27.75" customHeight="1" x14ac:dyDescent="0.2">
      <c r="A50" s="324" t="s">
        <v>656</v>
      </c>
      <c r="B50" s="28" t="s">
        <v>1368</v>
      </c>
      <c r="C50" s="313">
        <v>0</v>
      </c>
      <c r="D50" s="331" t="s">
        <v>840</v>
      </c>
      <c r="E50" s="330" t="s">
        <v>840</v>
      </c>
    </row>
    <row r="51" spans="1:5" ht="27.75" customHeight="1" x14ac:dyDescent="0.2">
      <c r="A51" s="324" t="s">
        <v>657</v>
      </c>
      <c r="B51" s="28" t="s">
        <v>1369</v>
      </c>
      <c r="C51" s="313">
        <v>0</v>
      </c>
      <c r="D51" s="331" t="s">
        <v>840</v>
      </c>
      <c r="E51" s="330" t="s">
        <v>840</v>
      </c>
    </row>
    <row r="52" spans="1:5" ht="27.75" customHeight="1" x14ac:dyDescent="0.2">
      <c r="A52" s="324" t="s">
        <v>658</v>
      </c>
      <c r="B52" s="28" t="s">
        <v>1370</v>
      </c>
      <c r="C52" s="313">
        <v>0</v>
      </c>
      <c r="D52" s="331" t="s">
        <v>840</v>
      </c>
      <c r="E52" s="330" t="s">
        <v>840</v>
      </c>
    </row>
    <row r="53" spans="1:5" ht="27.75" customHeight="1" x14ac:dyDescent="0.2">
      <c r="A53" s="324" t="s">
        <v>659</v>
      </c>
      <c r="B53" s="28" t="s">
        <v>840</v>
      </c>
      <c r="C53" s="313">
        <v>0</v>
      </c>
      <c r="D53" s="331" t="s">
        <v>840</v>
      </c>
      <c r="E53" s="330" t="s">
        <v>840</v>
      </c>
    </row>
    <row r="54" spans="1:5" ht="27.75" customHeight="1" x14ac:dyDescent="0.2">
      <c r="A54" s="324" t="s">
        <v>660</v>
      </c>
      <c r="B54" s="28" t="s">
        <v>1371</v>
      </c>
      <c r="C54" s="313">
        <v>0</v>
      </c>
      <c r="D54" s="331" t="s">
        <v>840</v>
      </c>
      <c r="E54" s="330" t="s">
        <v>840</v>
      </c>
    </row>
    <row r="55" spans="1:5" ht="27.75" customHeight="1" x14ac:dyDescent="0.2">
      <c r="A55" s="324" t="s">
        <v>661</v>
      </c>
      <c r="B55" s="28" t="s">
        <v>1372</v>
      </c>
      <c r="C55" s="313">
        <v>0</v>
      </c>
      <c r="D55" s="331" t="s">
        <v>840</v>
      </c>
      <c r="E55" s="330" t="s">
        <v>840</v>
      </c>
    </row>
    <row r="56" spans="1:5" ht="27.75" customHeight="1" x14ac:dyDescent="0.2">
      <c r="A56" s="324" t="s">
        <v>662</v>
      </c>
      <c r="B56" s="28" t="s">
        <v>1373</v>
      </c>
      <c r="C56" s="313">
        <v>0</v>
      </c>
      <c r="D56" s="331" t="s">
        <v>840</v>
      </c>
      <c r="E56" s="330" t="s">
        <v>840</v>
      </c>
    </row>
    <row r="57" spans="1:5" ht="27.75" customHeight="1" x14ac:dyDescent="0.2">
      <c r="A57" s="324" t="s">
        <v>663</v>
      </c>
      <c r="B57" s="28" t="s">
        <v>1374</v>
      </c>
      <c r="C57" s="313">
        <v>0</v>
      </c>
      <c r="D57" s="330" t="s">
        <v>840</v>
      </c>
      <c r="E57" s="330" t="s">
        <v>840</v>
      </c>
    </row>
    <row r="58" spans="1:5" ht="27.75" customHeight="1" x14ac:dyDescent="0.2">
      <c r="A58" s="324" t="s">
        <v>781</v>
      </c>
      <c r="B58" s="28" t="e">
        <v>#N/A</v>
      </c>
      <c r="C58" s="313" t="s">
        <v>845</v>
      </c>
      <c r="D58" s="331" t="s">
        <v>840</v>
      </c>
      <c r="E58" s="330" t="s">
        <v>840</v>
      </c>
    </row>
    <row r="59" spans="1:5" ht="27.75" customHeight="1" x14ac:dyDescent="0.2">
      <c r="A59" s="324" t="s">
        <v>788</v>
      </c>
      <c r="B59" s="28" t="s">
        <v>1375</v>
      </c>
      <c r="C59" s="313" t="s">
        <v>846</v>
      </c>
      <c r="D59" s="331" t="s">
        <v>840</v>
      </c>
      <c r="E59" s="330" t="s">
        <v>840</v>
      </c>
    </row>
    <row r="60" spans="1:5" ht="27.75" customHeight="1" x14ac:dyDescent="0.2">
      <c r="A60" s="324" t="s">
        <v>795</v>
      </c>
      <c r="B60" s="28" t="s">
        <v>1376</v>
      </c>
      <c r="C60" s="313" t="s">
        <v>846</v>
      </c>
      <c r="D60" s="331" t="s">
        <v>840</v>
      </c>
      <c r="E60" s="330" t="s">
        <v>840</v>
      </c>
    </row>
    <row r="61" spans="1:5" ht="27.75" customHeight="1" x14ac:dyDescent="0.2">
      <c r="A61" s="324" t="s">
        <v>802</v>
      </c>
      <c r="B61" s="28" t="s">
        <v>1377</v>
      </c>
      <c r="C61" s="313" t="s">
        <v>846</v>
      </c>
      <c r="D61" s="331" t="s">
        <v>840</v>
      </c>
      <c r="E61" s="330" t="s">
        <v>840</v>
      </c>
    </row>
    <row r="62" spans="1:5" ht="27.75" customHeight="1" x14ac:dyDescent="0.2">
      <c r="A62" s="324" t="s">
        <v>809</v>
      </c>
      <c r="B62" s="28" t="s">
        <v>1378</v>
      </c>
      <c r="C62" s="313" t="s">
        <v>846</v>
      </c>
      <c r="D62" s="331" t="s">
        <v>840</v>
      </c>
      <c r="E62" s="330" t="s">
        <v>840</v>
      </c>
    </row>
    <row r="63" spans="1:5" ht="27.75" customHeight="1" x14ac:dyDescent="0.2">
      <c r="A63" s="324" t="s">
        <v>816</v>
      </c>
      <c r="B63" s="28" t="s">
        <v>1379</v>
      </c>
      <c r="C63" s="313" t="s">
        <v>846</v>
      </c>
      <c r="D63" s="331" t="s">
        <v>840</v>
      </c>
      <c r="E63" s="330" t="s">
        <v>840</v>
      </c>
    </row>
    <row r="64" spans="1:5" ht="27.75" customHeight="1" x14ac:dyDescent="0.2">
      <c r="A64" s="324" t="s">
        <v>665</v>
      </c>
      <c r="B64" s="28" t="s">
        <v>840</v>
      </c>
      <c r="C64" s="313">
        <v>0</v>
      </c>
      <c r="D64" s="331" t="s">
        <v>840</v>
      </c>
      <c r="E64" s="330" t="s">
        <v>840</v>
      </c>
    </row>
    <row r="65" spans="1:5" ht="27.75" customHeight="1" x14ac:dyDescent="0.2">
      <c r="A65" s="324" t="s">
        <v>666</v>
      </c>
      <c r="B65" s="28" t="s">
        <v>1380</v>
      </c>
      <c r="C65" s="313">
        <v>0</v>
      </c>
      <c r="D65" s="331" t="s">
        <v>840</v>
      </c>
      <c r="E65" s="330" t="s">
        <v>840</v>
      </c>
    </row>
    <row r="66" spans="1:5" ht="27.75" customHeight="1" x14ac:dyDescent="0.2">
      <c r="A66" s="324" t="s">
        <v>667</v>
      </c>
      <c r="B66" s="28" t="s">
        <v>1381</v>
      </c>
      <c r="C66" s="313">
        <v>0</v>
      </c>
      <c r="D66" s="331" t="s">
        <v>840</v>
      </c>
      <c r="E66" s="330" t="s">
        <v>840</v>
      </c>
    </row>
    <row r="67" spans="1:5" ht="27.75" customHeight="1" x14ac:dyDescent="0.2">
      <c r="A67" s="324" t="s">
        <v>668</v>
      </c>
      <c r="B67" s="28" t="s">
        <v>1382</v>
      </c>
      <c r="C67" s="313">
        <v>0</v>
      </c>
      <c r="D67" s="331" t="s">
        <v>840</v>
      </c>
      <c r="E67" s="330" t="s">
        <v>840</v>
      </c>
    </row>
    <row r="68" spans="1:5" ht="27.75" customHeight="1" x14ac:dyDescent="0.2">
      <c r="A68" s="324" t="s">
        <v>669</v>
      </c>
      <c r="B68" s="28" t="s">
        <v>1383</v>
      </c>
      <c r="C68" s="313">
        <v>0</v>
      </c>
      <c r="D68" s="331" t="s">
        <v>840</v>
      </c>
      <c r="E68" s="330" t="s">
        <v>840</v>
      </c>
    </row>
    <row r="69" spans="1:5" ht="27.75" customHeight="1" x14ac:dyDescent="0.2">
      <c r="A69" s="324" t="s">
        <v>670</v>
      </c>
      <c r="B69" s="28" t="s">
        <v>840</v>
      </c>
      <c r="C69" s="313">
        <v>0</v>
      </c>
      <c r="D69" s="331" t="s">
        <v>840</v>
      </c>
      <c r="E69" s="330" t="s">
        <v>840</v>
      </c>
    </row>
    <row r="70" spans="1:5" ht="27.75" customHeight="1" x14ac:dyDescent="0.2">
      <c r="A70" s="324" t="s">
        <v>671</v>
      </c>
      <c r="B70" s="28" t="s">
        <v>1384</v>
      </c>
      <c r="C70" s="313">
        <v>0</v>
      </c>
      <c r="D70" s="331" t="s">
        <v>840</v>
      </c>
      <c r="E70" s="330" t="s">
        <v>840</v>
      </c>
    </row>
    <row r="71" spans="1:5" ht="27.75" customHeight="1" x14ac:dyDescent="0.2">
      <c r="A71" s="324" t="s">
        <v>672</v>
      </c>
      <c r="B71" s="28" t="s">
        <v>1385</v>
      </c>
      <c r="C71" s="313">
        <v>0</v>
      </c>
      <c r="D71" s="331" t="s">
        <v>840</v>
      </c>
      <c r="E71" s="330" t="s">
        <v>840</v>
      </c>
    </row>
    <row r="72" spans="1:5" ht="27.75" customHeight="1" x14ac:dyDescent="0.2">
      <c r="A72" s="324" t="s">
        <v>673</v>
      </c>
      <c r="B72" s="28" t="s">
        <v>1386</v>
      </c>
      <c r="C72" s="313">
        <v>0</v>
      </c>
      <c r="D72" s="331" t="s">
        <v>840</v>
      </c>
      <c r="E72" s="330" t="s">
        <v>840</v>
      </c>
    </row>
    <row r="73" spans="1:5" ht="27.75" customHeight="1" x14ac:dyDescent="0.2">
      <c r="A73" s="324" t="s">
        <v>674</v>
      </c>
      <c r="B73" s="28" t="s">
        <v>1387</v>
      </c>
      <c r="C73" s="313">
        <v>0</v>
      </c>
      <c r="D73" s="331" t="s">
        <v>840</v>
      </c>
      <c r="E73" s="330" t="s">
        <v>840</v>
      </c>
    </row>
    <row r="74" spans="1:5" ht="27.75" customHeight="1" x14ac:dyDescent="0.2">
      <c r="A74" s="324" t="s">
        <v>675</v>
      </c>
      <c r="B74" s="28" t="s">
        <v>840</v>
      </c>
      <c r="C74" s="313">
        <v>0</v>
      </c>
      <c r="D74" s="331" t="s">
        <v>840</v>
      </c>
      <c r="E74" s="330" t="s">
        <v>840</v>
      </c>
    </row>
    <row r="75" spans="1:5" ht="27.75" customHeight="1" x14ac:dyDescent="0.2">
      <c r="A75" s="324" t="s">
        <v>676</v>
      </c>
      <c r="B75" s="28" t="s">
        <v>1388</v>
      </c>
      <c r="C75" s="313">
        <v>0</v>
      </c>
      <c r="D75" s="331" t="s">
        <v>840</v>
      </c>
      <c r="E75" s="330" t="s">
        <v>840</v>
      </c>
    </row>
    <row r="76" spans="1:5" ht="27.75" customHeight="1" x14ac:dyDescent="0.2">
      <c r="A76" s="324" t="s">
        <v>677</v>
      </c>
      <c r="B76" s="28" t="s">
        <v>1389</v>
      </c>
      <c r="C76" s="313">
        <v>0</v>
      </c>
      <c r="D76" s="331" t="s">
        <v>840</v>
      </c>
      <c r="E76" s="330" t="s">
        <v>840</v>
      </c>
    </row>
    <row r="77" spans="1:5" ht="27.75" customHeight="1" x14ac:dyDescent="0.2">
      <c r="A77" s="324" t="s">
        <v>678</v>
      </c>
      <c r="B77" s="28" t="s">
        <v>1390</v>
      </c>
      <c r="C77" s="313">
        <v>0</v>
      </c>
      <c r="D77" s="331" t="s">
        <v>840</v>
      </c>
      <c r="E77" s="330" t="s">
        <v>840</v>
      </c>
    </row>
    <row r="78" spans="1:5" ht="27.75" customHeight="1" x14ac:dyDescent="0.2">
      <c r="A78" s="324" t="s">
        <v>679</v>
      </c>
      <c r="B78" s="28" t="s">
        <v>1391</v>
      </c>
      <c r="C78" s="313">
        <v>0</v>
      </c>
      <c r="D78" s="330" t="s">
        <v>840</v>
      </c>
      <c r="E78" s="330" t="s">
        <v>840</v>
      </c>
    </row>
    <row r="79" spans="1:5" ht="27.75" customHeight="1" x14ac:dyDescent="0.2">
      <c r="A79" s="324" t="s">
        <v>782</v>
      </c>
      <c r="B79" s="28" t="e">
        <v>#N/A</v>
      </c>
      <c r="C79" s="313" t="s">
        <v>845</v>
      </c>
      <c r="D79" s="331" t="s">
        <v>840</v>
      </c>
      <c r="E79" s="330" t="s">
        <v>840</v>
      </c>
    </row>
    <row r="80" spans="1:5" ht="27.75" customHeight="1" x14ac:dyDescent="0.2">
      <c r="A80" s="324" t="s">
        <v>789</v>
      </c>
      <c r="B80" s="28" t="s">
        <v>1392</v>
      </c>
      <c r="C80" s="313" t="s">
        <v>846</v>
      </c>
      <c r="D80" s="331" t="s">
        <v>840</v>
      </c>
      <c r="E80" s="330" t="s">
        <v>840</v>
      </c>
    </row>
    <row r="81" spans="1:5" ht="27.75" customHeight="1" x14ac:dyDescent="0.2">
      <c r="A81" s="324" t="s">
        <v>796</v>
      </c>
      <c r="B81" s="28" t="s">
        <v>1393</v>
      </c>
      <c r="C81" s="313" t="s">
        <v>846</v>
      </c>
      <c r="D81" s="331" t="s">
        <v>840</v>
      </c>
      <c r="E81" s="330" t="s">
        <v>840</v>
      </c>
    </row>
    <row r="82" spans="1:5" ht="27.75" customHeight="1" x14ac:dyDescent="0.2">
      <c r="A82" s="324" t="s">
        <v>803</v>
      </c>
      <c r="B82" s="28" t="s">
        <v>1394</v>
      </c>
      <c r="C82" s="313" t="s">
        <v>846</v>
      </c>
      <c r="D82" s="331" t="s">
        <v>840</v>
      </c>
      <c r="E82" s="330" t="s">
        <v>840</v>
      </c>
    </row>
    <row r="83" spans="1:5" ht="27.75" customHeight="1" x14ac:dyDescent="0.2">
      <c r="A83" s="324" t="s">
        <v>810</v>
      </c>
      <c r="B83" s="28" t="s">
        <v>1395</v>
      </c>
      <c r="C83" s="313" t="s">
        <v>846</v>
      </c>
      <c r="D83" s="331" t="s">
        <v>840</v>
      </c>
      <c r="E83" s="330" t="s">
        <v>840</v>
      </c>
    </row>
    <row r="84" spans="1:5" ht="27.75" customHeight="1" x14ac:dyDescent="0.2">
      <c r="A84" s="324" t="s">
        <v>817</v>
      </c>
      <c r="B84" s="28" t="s">
        <v>1396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1397</v>
      </c>
      <c r="C86" s="313">
        <v>0</v>
      </c>
      <c r="D86" s="331" t="s">
        <v>840</v>
      </c>
      <c r="E86" s="330" t="s">
        <v>840</v>
      </c>
    </row>
    <row r="87" spans="1:5" ht="27.75" customHeight="1" x14ac:dyDescent="0.2">
      <c r="A87" s="324" t="s">
        <v>683</v>
      </c>
      <c r="B87" s="28" t="s">
        <v>1398</v>
      </c>
      <c r="C87" s="313">
        <v>0</v>
      </c>
      <c r="D87" s="331" t="s">
        <v>840</v>
      </c>
      <c r="E87" s="330" t="s">
        <v>840</v>
      </c>
    </row>
    <row r="88" spans="1:5" ht="27.75" customHeight="1" x14ac:dyDescent="0.2">
      <c r="A88" s="324" t="s">
        <v>684</v>
      </c>
      <c r="B88" s="28" t="s">
        <v>1399</v>
      </c>
      <c r="C88" s="313">
        <v>0</v>
      </c>
      <c r="D88" s="331" t="s">
        <v>840</v>
      </c>
      <c r="E88" s="330" t="s">
        <v>840</v>
      </c>
    </row>
    <row r="89" spans="1:5" ht="27.75" customHeight="1" x14ac:dyDescent="0.2">
      <c r="A89" s="324" t="s">
        <v>685</v>
      </c>
      <c r="B89" s="28" t="s">
        <v>1400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1401</v>
      </c>
      <c r="C91" s="313">
        <v>0</v>
      </c>
      <c r="D91" s="331" t="s">
        <v>840</v>
      </c>
      <c r="E91" s="330" t="s">
        <v>840</v>
      </c>
    </row>
    <row r="92" spans="1:5" ht="27.75" customHeight="1" x14ac:dyDescent="0.2">
      <c r="A92" s="324" t="s">
        <v>688</v>
      </c>
      <c r="B92" s="28" t="s">
        <v>1402</v>
      </c>
      <c r="C92" s="313">
        <v>0</v>
      </c>
      <c r="D92" s="331" t="s">
        <v>840</v>
      </c>
      <c r="E92" s="330" t="s">
        <v>840</v>
      </c>
    </row>
    <row r="93" spans="1:5" ht="27.75" customHeight="1" x14ac:dyDescent="0.2">
      <c r="A93" s="324" t="s">
        <v>689</v>
      </c>
      <c r="B93" s="28" t="s">
        <v>1403</v>
      </c>
      <c r="C93" s="313">
        <v>0</v>
      </c>
      <c r="D93" s="331" t="s">
        <v>840</v>
      </c>
      <c r="E93" s="330" t="s">
        <v>840</v>
      </c>
    </row>
    <row r="94" spans="1:5" ht="27.75" customHeight="1" x14ac:dyDescent="0.2">
      <c r="A94" s="324" t="s">
        <v>690</v>
      </c>
      <c r="B94" s="28" t="s">
        <v>1404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1405</v>
      </c>
      <c r="C96" s="313">
        <v>0</v>
      </c>
      <c r="D96" s="331" t="s">
        <v>840</v>
      </c>
      <c r="E96" s="330" t="s">
        <v>840</v>
      </c>
    </row>
    <row r="97" spans="1:5" ht="27.75" customHeight="1" x14ac:dyDescent="0.2">
      <c r="A97" s="324" t="s">
        <v>693</v>
      </c>
      <c r="B97" s="28" t="s">
        <v>1406</v>
      </c>
      <c r="C97" s="313">
        <v>0</v>
      </c>
      <c r="D97" s="331" t="s">
        <v>840</v>
      </c>
      <c r="E97" s="330" t="s">
        <v>840</v>
      </c>
    </row>
    <row r="98" spans="1:5" ht="27.75" customHeight="1" x14ac:dyDescent="0.2">
      <c r="A98" s="324" t="s">
        <v>694</v>
      </c>
      <c r="B98" s="28" t="s">
        <v>1407</v>
      </c>
      <c r="C98" s="313">
        <v>0</v>
      </c>
      <c r="D98" s="331" t="s">
        <v>840</v>
      </c>
      <c r="E98" s="330" t="s">
        <v>840</v>
      </c>
    </row>
    <row r="99" spans="1:5" ht="27.75" customHeight="1" x14ac:dyDescent="0.2">
      <c r="A99" s="324" t="s">
        <v>695</v>
      </c>
      <c r="B99" s="28"/>
      <c r="C99" s="313">
        <v>0</v>
      </c>
      <c r="D99" s="330" t="s">
        <v>840</v>
      </c>
      <c r="E99" s="330" t="s">
        <v>840</v>
      </c>
    </row>
    <row r="100" spans="1:5" ht="27.75" customHeight="1" x14ac:dyDescent="0.2">
      <c r="A100" s="324" t="s">
        <v>783</v>
      </c>
      <c r="B100" s="28"/>
      <c r="C100" s="313" t="s">
        <v>845</v>
      </c>
      <c r="D100" s="331"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0" t="s">
        <v>840</v>
      </c>
      <c r="E120" s="330" t="s">
        <v>840</v>
      </c>
    </row>
    <row r="121" spans="1:5" ht="27.75" customHeight="1" x14ac:dyDescent="0.2">
      <c r="A121" s="324" t="s">
        <v>784</v>
      </c>
      <c r="B121" s="28"/>
      <c r="C121" s="313" t="s">
        <v>845</v>
      </c>
      <c r="D121" s="331"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0" t="s">
        <v>840</v>
      </c>
      <c r="E141" s="330" t="s">
        <v>840</v>
      </c>
    </row>
    <row r="142" spans="1:5" ht="27.75" customHeight="1" x14ac:dyDescent="0.2">
      <c r="A142" s="324" t="s">
        <v>785</v>
      </c>
      <c r="B142" s="28"/>
      <c r="C142" s="313" t="s">
        <v>845</v>
      </c>
      <c r="D142" s="331"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24" t="s">
        <v>743</v>
      </c>
      <c r="B162" s="28" t="s">
        <v>840</v>
      </c>
      <c r="C162" s="313">
        <v>0</v>
      </c>
      <c r="D162" s="331" t="s">
        <v>840</v>
      </c>
      <c r="E162" s="330" t="s">
        <v>840</v>
      </c>
    </row>
    <row r="163" spans="1:5" x14ac:dyDescent="0.2">
      <c r="A163" s="1" t="s">
        <v>821</v>
      </c>
    </row>
    <row r="164" spans="1:5" x14ac:dyDescent="0.2">
      <c r="A164" s="1" t="s">
        <v>822</v>
      </c>
    </row>
  </sheetData>
  <mergeCells count="3">
    <mergeCell ref="B1:C1"/>
    <mergeCell ref="A2:E2"/>
    <mergeCell ref="G4:M5"/>
  </mergeCells>
  <hyperlinks>
    <hyperlink ref="A1" location="Overview!A1" display="Back to Overview" xr:uid="{0921EAE9-F128-480F-A50A-00E46AC71601}"/>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4467-04FF-477C-BD58-69619EB6A970}">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SP Manweb Area (GSP Group_D)"</f>
        <v>Leep Electricity Networks Limited - Effective from 1 April 2026 - Final Supplier of Last Resort and Eligible Bad Debt Pass-Through Costs in SP Manweb Area (GSP Group_D)</v>
      </c>
      <c r="B2" s="521"/>
      <c r="C2" s="521"/>
      <c r="D2" s="521"/>
      <c r="E2" s="521"/>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845</v>
      </c>
      <c r="D5" s="330" t="s">
        <v>840</v>
      </c>
      <c r="E5" s="330" t="s">
        <v>840</v>
      </c>
    </row>
    <row r="6" spans="1:6" ht="27" customHeight="1" x14ac:dyDescent="0.2">
      <c r="A6" s="10" t="s">
        <v>774</v>
      </c>
      <c r="B6" s="28"/>
      <c r="C6" s="313" t="s">
        <v>846</v>
      </c>
      <c r="D6" s="331" t="s">
        <v>840</v>
      </c>
      <c r="E6" s="330" t="s">
        <v>840</v>
      </c>
    </row>
    <row r="7" spans="1:6" ht="27" customHeight="1" x14ac:dyDescent="0.2">
      <c r="A7" s="10" t="s">
        <v>775</v>
      </c>
      <c r="B7" s="28"/>
      <c r="C7" s="313" t="s">
        <v>846</v>
      </c>
      <c r="D7" s="331" t="s">
        <v>840</v>
      </c>
      <c r="E7" s="330" t="s">
        <v>840</v>
      </c>
    </row>
    <row r="8" spans="1:6" ht="27" customHeight="1" x14ac:dyDescent="0.2">
      <c r="A8" s="10" t="s">
        <v>776</v>
      </c>
      <c r="B8" s="28"/>
      <c r="C8" s="313" t="s">
        <v>846</v>
      </c>
      <c r="D8" s="331" t="s">
        <v>840</v>
      </c>
      <c r="E8" s="330" t="s">
        <v>840</v>
      </c>
    </row>
    <row r="9" spans="1:6" ht="27" customHeight="1" x14ac:dyDescent="0.2">
      <c r="A9" s="10" t="s">
        <v>777</v>
      </c>
      <c r="B9" s="28"/>
      <c r="C9" s="313" t="s">
        <v>846</v>
      </c>
      <c r="D9" s="331" t="s">
        <v>840</v>
      </c>
      <c r="E9" s="330" t="s">
        <v>840</v>
      </c>
    </row>
    <row r="10" spans="1:6" ht="27" customHeight="1" x14ac:dyDescent="0.2">
      <c r="A10" s="10" t="s">
        <v>778</v>
      </c>
      <c r="B10" s="28"/>
      <c r="C10" s="313" t="s">
        <v>846</v>
      </c>
      <c r="D10" s="331" t="s">
        <v>840</v>
      </c>
      <c r="E10" s="330" t="s">
        <v>840</v>
      </c>
    </row>
    <row r="11" spans="1:6" ht="27" customHeight="1" x14ac:dyDescent="0.2">
      <c r="A11" s="324" t="s">
        <v>595</v>
      </c>
      <c r="B11" s="28"/>
      <c r="C11" s="313">
        <v>0</v>
      </c>
      <c r="D11" s="331" t="s">
        <v>840</v>
      </c>
      <c r="E11" s="330" t="s">
        <v>840</v>
      </c>
    </row>
    <row r="12" spans="1:6" ht="27" customHeight="1" x14ac:dyDescent="0.2">
      <c r="A12" s="324" t="s">
        <v>596</v>
      </c>
      <c r="B12" s="28"/>
      <c r="C12" s="313">
        <v>0</v>
      </c>
      <c r="D12" s="331" t="s">
        <v>840</v>
      </c>
      <c r="E12" s="330" t="s">
        <v>840</v>
      </c>
    </row>
    <row r="13" spans="1:6" ht="27" customHeight="1" x14ac:dyDescent="0.2">
      <c r="A13" s="324" t="s">
        <v>597</v>
      </c>
      <c r="B13" s="28"/>
      <c r="C13" s="313">
        <v>0</v>
      </c>
      <c r="D13" s="331" t="s">
        <v>840</v>
      </c>
      <c r="E13" s="330" t="s">
        <v>840</v>
      </c>
    </row>
    <row r="14" spans="1:6" ht="27.75" customHeight="1" x14ac:dyDescent="0.2">
      <c r="A14" s="324" t="s">
        <v>598</v>
      </c>
      <c r="B14" s="28"/>
      <c r="C14" s="313">
        <v>0</v>
      </c>
      <c r="D14" s="331" t="s">
        <v>840</v>
      </c>
      <c r="E14" s="330" t="s">
        <v>840</v>
      </c>
    </row>
    <row r="15" spans="1:6" ht="27.75" customHeight="1" x14ac:dyDescent="0.2">
      <c r="A15" s="325" t="s">
        <v>599</v>
      </c>
      <c r="B15" s="28"/>
      <c r="C15" s="313">
        <v>0</v>
      </c>
      <c r="D15" s="331" t="s">
        <v>840</v>
      </c>
      <c r="E15" s="330" t="s">
        <v>840</v>
      </c>
    </row>
    <row r="16" spans="1:6" ht="27.75" customHeight="1" x14ac:dyDescent="0.2">
      <c r="A16" s="325" t="s">
        <v>600</v>
      </c>
      <c r="B16" s="28"/>
      <c r="C16" s="313">
        <v>0</v>
      </c>
      <c r="D16" s="331" t="s">
        <v>840</v>
      </c>
      <c r="E16" s="330" t="s">
        <v>840</v>
      </c>
    </row>
    <row r="17" spans="1:6" ht="27.75" customHeight="1" x14ac:dyDescent="0.2">
      <c r="A17" s="325" t="s">
        <v>601</v>
      </c>
      <c r="B17" s="28"/>
      <c r="C17" s="313">
        <v>0</v>
      </c>
      <c r="D17" s="331" t="s">
        <v>840</v>
      </c>
      <c r="E17" s="330" t="s">
        <v>840</v>
      </c>
    </row>
    <row r="18" spans="1:6" ht="27.75" customHeight="1" x14ac:dyDescent="0.2">
      <c r="A18" s="325" t="s">
        <v>602</v>
      </c>
      <c r="B18" s="28"/>
      <c r="C18" s="313">
        <v>0</v>
      </c>
      <c r="D18" s="331" t="s">
        <v>840</v>
      </c>
      <c r="E18" s="330" t="s">
        <v>840</v>
      </c>
    </row>
    <row r="19" spans="1:6" ht="27.75" customHeight="1" x14ac:dyDescent="0.2">
      <c r="A19" s="325" t="s">
        <v>603</v>
      </c>
      <c r="B19" s="28"/>
      <c r="C19" s="313">
        <v>0</v>
      </c>
      <c r="D19" s="331" t="s">
        <v>840</v>
      </c>
      <c r="E19" s="330" t="s">
        <v>840</v>
      </c>
    </row>
    <row r="20" spans="1:6" ht="27.75" customHeight="1" x14ac:dyDescent="0.2">
      <c r="A20" s="325" t="s">
        <v>604</v>
      </c>
      <c r="B20" s="28"/>
      <c r="C20" s="313">
        <v>0</v>
      </c>
      <c r="D20" s="331" t="s">
        <v>840</v>
      </c>
      <c r="E20" s="330" t="s">
        <v>840</v>
      </c>
    </row>
    <row r="21" spans="1:6" ht="27.75" customHeight="1" x14ac:dyDescent="0.2">
      <c r="A21" s="325" t="s">
        <v>605</v>
      </c>
      <c r="B21" s="28"/>
      <c r="C21" s="313">
        <v>0</v>
      </c>
      <c r="D21" s="331" t="s">
        <v>840</v>
      </c>
      <c r="E21" s="330" t="s">
        <v>840</v>
      </c>
    </row>
    <row r="22" spans="1:6" ht="27.75" customHeight="1" x14ac:dyDescent="0.2">
      <c r="A22" s="325" t="s">
        <v>606</v>
      </c>
      <c r="B22" s="28"/>
      <c r="C22" s="313">
        <v>0</v>
      </c>
      <c r="D22" s="331" t="s">
        <v>840</v>
      </c>
      <c r="E22" s="330" t="s">
        <v>840</v>
      </c>
    </row>
    <row r="23" spans="1:6" ht="27.75" customHeight="1" x14ac:dyDescent="0.2">
      <c r="A23" s="324" t="s">
        <v>607</v>
      </c>
      <c r="B23" s="28"/>
      <c r="C23" s="313">
        <v>0</v>
      </c>
      <c r="D23" s="331" t="s">
        <v>840</v>
      </c>
      <c r="E23" s="330" t="s">
        <v>840</v>
      </c>
    </row>
    <row r="24" spans="1:6" ht="27.75" customHeight="1" x14ac:dyDescent="0.2">
      <c r="A24" s="324" t="s">
        <v>608</v>
      </c>
      <c r="B24" s="28"/>
      <c r="C24" s="313">
        <v>0</v>
      </c>
      <c r="D24" s="331" t="s">
        <v>840</v>
      </c>
      <c r="E24" s="330" t="s">
        <v>840</v>
      </c>
    </row>
    <row r="25" spans="1:6" ht="27.75" customHeight="1" x14ac:dyDescent="0.2">
      <c r="A25" s="324" t="s">
        <v>609</v>
      </c>
      <c r="B25" s="28"/>
      <c r="C25" s="313">
        <v>0</v>
      </c>
      <c r="D25" s="331" t="s">
        <v>840</v>
      </c>
      <c r="E25" s="330" t="s">
        <v>840</v>
      </c>
    </row>
    <row r="26" spans="1:6" ht="27.75" customHeight="1" x14ac:dyDescent="0.2">
      <c r="A26" s="324" t="s">
        <v>824</v>
      </c>
      <c r="B26" s="28" t="s">
        <v>1408</v>
      </c>
      <c r="C26" s="313" t="s">
        <v>845</v>
      </c>
      <c r="D26" s="330" t="s">
        <v>840</v>
      </c>
      <c r="E26" s="330" t="s">
        <v>840</v>
      </c>
      <c r="F26" s="349" t="str">
        <f>A26&amp;" with Residual"</f>
        <v>LDNO LV: Domestic Aggregated or CT with Residual</v>
      </c>
    </row>
    <row r="27" spans="1:6" ht="27.75" customHeight="1" x14ac:dyDescent="0.2">
      <c r="A27" s="324" t="s">
        <v>786</v>
      </c>
      <c r="B27" s="28" t="s">
        <v>1409</v>
      </c>
      <c r="C27" s="313" t="s">
        <v>846</v>
      </c>
      <c r="D27" s="331" t="s">
        <v>840</v>
      </c>
      <c r="E27" s="330" t="s">
        <v>840</v>
      </c>
    </row>
    <row r="28" spans="1:6" ht="27.75" customHeight="1" x14ac:dyDescent="0.2">
      <c r="A28" s="324" t="s">
        <v>793</v>
      </c>
      <c r="B28" s="28" t="s">
        <v>1410</v>
      </c>
      <c r="C28" s="313" t="s">
        <v>846</v>
      </c>
      <c r="D28" s="331" t="s">
        <v>840</v>
      </c>
      <c r="E28" s="330" t="s">
        <v>840</v>
      </c>
    </row>
    <row r="29" spans="1:6" ht="27.75" customHeight="1" x14ac:dyDescent="0.2">
      <c r="A29" s="324" t="s">
        <v>800</v>
      </c>
      <c r="B29" s="28" t="s">
        <v>1411</v>
      </c>
      <c r="C29" s="313" t="s">
        <v>846</v>
      </c>
      <c r="D29" s="331" t="s">
        <v>840</v>
      </c>
      <c r="E29" s="330" t="s">
        <v>840</v>
      </c>
    </row>
    <row r="30" spans="1:6" ht="27.75" customHeight="1" x14ac:dyDescent="0.2">
      <c r="A30" s="324" t="s">
        <v>807</v>
      </c>
      <c r="B30" s="28" t="s">
        <v>1412</v>
      </c>
      <c r="C30" s="313" t="s">
        <v>846</v>
      </c>
      <c r="D30" s="331" t="s">
        <v>840</v>
      </c>
      <c r="E30" s="330" t="s">
        <v>840</v>
      </c>
    </row>
    <row r="31" spans="1:6" ht="27.75" customHeight="1" x14ac:dyDescent="0.2">
      <c r="A31" s="324" t="s">
        <v>814</v>
      </c>
      <c r="B31" s="28" t="s">
        <v>1413</v>
      </c>
      <c r="C31" s="313" t="s">
        <v>846</v>
      </c>
      <c r="D31" s="331" t="s">
        <v>840</v>
      </c>
      <c r="E31" s="330" t="s">
        <v>840</v>
      </c>
    </row>
    <row r="32" spans="1:6" ht="27.75" customHeight="1" x14ac:dyDescent="0.2">
      <c r="A32" s="324" t="s">
        <v>643</v>
      </c>
      <c r="B32" s="28" t="s">
        <v>840</v>
      </c>
      <c r="C32" s="313">
        <v>0</v>
      </c>
      <c r="D32" s="331" t="s">
        <v>840</v>
      </c>
      <c r="E32" s="330" t="s">
        <v>840</v>
      </c>
    </row>
    <row r="33" spans="1:6" ht="27.75" customHeight="1" x14ac:dyDescent="0.2">
      <c r="A33" s="324" t="s">
        <v>644</v>
      </c>
      <c r="B33" s="28" t="s">
        <v>1414</v>
      </c>
      <c r="C33" s="313">
        <v>0</v>
      </c>
      <c r="D33" s="331" t="s">
        <v>840</v>
      </c>
      <c r="E33" s="330" t="s">
        <v>840</v>
      </c>
    </row>
    <row r="34" spans="1:6" ht="27.75" customHeight="1" x14ac:dyDescent="0.2">
      <c r="A34" s="324" t="s">
        <v>645</v>
      </c>
      <c r="B34" s="28" t="s">
        <v>1415</v>
      </c>
      <c r="C34" s="313">
        <v>0</v>
      </c>
      <c r="D34" s="331" t="s">
        <v>840</v>
      </c>
      <c r="E34" s="330" t="s">
        <v>840</v>
      </c>
    </row>
    <row r="35" spans="1:6" ht="27.75" customHeight="1" x14ac:dyDescent="0.2">
      <c r="A35" s="324" t="s">
        <v>646</v>
      </c>
      <c r="B35" s="28" t="s">
        <v>1416</v>
      </c>
      <c r="C35" s="313">
        <v>0</v>
      </c>
      <c r="D35" s="331" t="s">
        <v>840</v>
      </c>
      <c r="E35" s="330" t="s">
        <v>840</v>
      </c>
    </row>
    <row r="36" spans="1:6" ht="27.75" customHeight="1" x14ac:dyDescent="0.2">
      <c r="A36" s="324" t="s">
        <v>647</v>
      </c>
      <c r="B36" s="28" t="s">
        <v>1417</v>
      </c>
      <c r="C36" s="313">
        <v>0</v>
      </c>
      <c r="D36" s="331" t="s">
        <v>840</v>
      </c>
      <c r="E36" s="330" t="s">
        <v>840</v>
      </c>
    </row>
    <row r="37" spans="1:6" ht="27.75" customHeight="1" x14ac:dyDescent="0.2">
      <c r="A37" s="325" t="s">
        <v>825</v>
      </c>
      <c r="B37" s="28" t="e">
        <v>#N/A</v>
      </c>
      <c r="C37" s="313" t="s">
        <v>845</v>
      </c>
      <c r="D37" s="330" t="s">
        <v>840</v>
      </c>
      <c r="E37" s="330" t="s">
        <v>840</v>
      </c>
      <c r="F37" s="349" t="str">
        <f>A37&amp;" with Residual"</f>
        <v>LDNO HV: Domestic Aggregated or CT with Residual</v>
      </c>
    </row>
    <row r="38" spans="1:6" ht="27.75" customHeight="1" x14ac:dyDescent="0.2">
      <c r="A38" s="324" t="s">
        <v>787</v>
      </c>
      <c r="B38" s="28" t="s">
        <v>1418</v>
      </c>
      <c r="C38" s="313" t="s">
        <v>846</v>
      </c>
      <c r="D38" s="331" t="s">
        <v>840</v>
      </c>
      <c r="E38" s="330" t="s">
        <v>840</v>
      </c>
    </row>
    <row r="39" spans="1:6" ht="27.75" customHeight="1" x14ac:dyDescent="0.2">
      <c r="A39" s="324" t="s">
        <v>794</v>
      </c>
      <c r="B39" s="28" t="s">
        <v>1419</v>
      </c>
      <c r="C39" s="313" t="s">
        <v>846</v>
      </c>
      <c r="D39" s="331" t="s">
        <v>840</v>
      </c>
      <c r="E39" s="330" t="s">
        <v>840</v>
      </c>
    </row>
    <row r="40" spans="1:6" ht="27.75" customHeight="1" x14ac:dyDescent="0.2">
      <c r="A40" s="324" t="s">
        <v>801</v>
      </c>
      <c r="B40" s="28" t="s">
        <v>1420</v>
      </c>
      <c r="C40" s="313" t="s">
        <v>846</v>
      </c>
      <c r="D40" s="331" t="s">
        <v>840</v>
      </c>
      <c r="E40" s="330" t="s">
        <v>840</v>
      </c>
    </row>
    <row r="41" spans="1:6" ht="27.75" customHeight="1" x14ac:dyDescent="0.2">
      <c r="A41" s="324" t="s">
        <v>808</v>
      </c>
      <c r="B41" s="28" t="s">
        <v>1421</v>
      </c>
      <c r="C41" s="313" t="s">
        <v>846</v>
      </c>
      <c r="D41" s="331" t="s">
        <v>840</v>
      </c>
      <c r="E41" s="330" t="s">
        <v>840</v>
      </c>
    </row>
    <row r="42" spans="1:6" ht="27.75" customHeight="1" x14ac:dyDescent="0.2">
      <c r="A42" s="324" t="s">
        <v>815</v>
      </c>
      <c r="B42" s="28" t="s">
        <v>1422</v>
      </c>
      <c r="C42" s="313" t="s">
        <v>846</v>
      </c>
      <c r="D42" s="331" t="s">
        <v>840</v>
      </c>
      <c r="E42" s="330" t="s">
        <v>840</v>
      </c>
    </row>
    <row r="43" spans="1:6" ht="27.75" customHeight="1" x14ac:dyDescent="0.2">
      <c r="A43" s="324" t="s">
        <v>649</v>
      </c>
      <c r="B43" s="28" t="s">
        <v>840</v>
      </c>
      <c r="C43" s="313">
        <v>0</v>
      </c>
      <c r="D43" s="331" t="s">
        <v>840</v>
      </c>
      <c r="E43" s="330" t="s">
        <v>840</v>
      </c>
    </row>
    <row r="44" spans="1:6" ht="27.75" customHeight="1" x14ac:dyDescent="0.2">
      <c r="A44" s="324" t="s">
        <v>650</v>
      </c>
      <c r="B44" s="28" t="s">
        <v>1423</v>
      </c>
      <c r="C44" s="313">
        <v>0</v>
      </c>
      <c r="D44" s="331" t="s">
        <v>840</v>
      </c>
      <c r="E44" s="330" t="s">
        <v>840</v>
      </c>
    </row>
    <row r="45" spans="1:6" ht="27.75" customHeight="1" x14ac:dyDescent="0.2">
      <c r="A45" s="324" t="s">
        <v>651</v>
      </c>
      <c r="B45" s="28" t="s">
        <v>1424</v>
      </c>
      <c r="C45" s="313">
        <v>0</v>
      </c>
      <c r="D45" s="331" t="s">
        <v>840</v>
      </c>
      <c r="E45" s="330" t="s">
        <v>840</v>
      </c>
    </row>
    <row r="46" spans="1:6" ht="27.75" customHeight="1" x14ac:dyDescent="0.2">
      <c r="A46" s="324" t="s">
        <v>652</v>
      </c>
      <c r="B46" s="28" t="s">
        <v>1425</v>
      </c>
      <c r="C46" s="313">
        <v>0</v>
      </c>
      <c r="D46" s="331" t="s">
        <v>840</v>
      </c>
      <c r="E46" s="330" t="s">
        <v>840</v>
      </c>
    </row>
    <row r="47" spans="1:6" ht="27.75" customHeight="1" x14ac:dyDescent="0.2">
      <c r="A47" s="324" t="s">
        <v>653</v>
      </c>
      <c r="B47" s="28" t="s">
        <v>1426</v>
      </c>
      <c r="C47" s="313">
        <v>0</v>
      </c>
      <c r="D47" s="331" t="s">
        <v>840</v>
      </c>
      <c r="E47" s="330" t="s">
        <v>840</v>
      </c>
    </row>
    <row r="48" spans="1:6" ht="27.75" customHeight="1" x14ac:dyDescent="0.2">
      <c r="A48" s="324" t="s">
        <v>654</v>
      </c>
      <c r="B48" s="28" t="s">
        <v>840</v>
      </c>
      <c r="C48" s="313">
        <v>0</v>
      </c>
      <c r="D48" s="331" t="s">
        <v>840</v>
      </c>
      <c r="E48" s="330" t="s">
        <v>840</v>
      </c>
    </row>
    <row r="49" spans="1:6" ht="27.75" customHeight="1" x14ac:dyDescent="0.2">
      <c r="A49" s="324" t="s">
        <v>655</v>
      </c>
      <c r="B49" s="28" t="s">
        <v>1427</v>
      </c>
      <c r="C49" s="313">
        <v>0</v>
      </c>
      <c r="D49" s="331" t="s">
        <v>840</v>
      </c>
      <c r="E49" s="330" t="s">
        <v>840</v>
      </c>
    </row>
    <row r="50" spans="1:6" ht="27.75" customHeight="1" x14ac:dyDescent="0.2">
      <c r="A50" s="324" t="s">
        <v>656</v>
      </c>
      <c r="B50" s="28" t="s">
        <v>1428</v>
      </c>
      <c r="C50" s="313">
        <v>0</v>
      </c>
      <c r="D50" s="331" t="s">
        <v>840</v>
      </c>
      <c r="E50" s="330" t="s">
        <v>840</v>
      </c>
    </row>
    <row r="51" spans="1:6" ht="27.75" customHeight="1" x14ac:dyDescent="0.2">
      <c r="A51" s="324" t="s">
        <v>657</v>
      </c>
      <c r="B51" s="28" t="s">
        <v>1429</v>
      </c>
      <c r="C51" s="313">
        <v>0</v>
      </c>
      <c r="D51" s="331" t="s">
        <v>840</v>
      </c>
      <c r="E51" s="330" t="s">
        <v>840</v>
      </c>
    </row>
    <row r="52" spans="1:6" ht="27.75" customHeight="1" x14ac:dyDescent="0.2">
      <c r="A52" s="324" t="s">
        <v>658</v>
      </c>
      <c r="B52" s="28" t="s">
        <v>1430</v>
      </c>
      <c r="C52" s="313">
        <v>0</v>
      </c>
      <c r="D52" s="331" t="s">
        <v>840</v>
      </c>
      <c r="E52" s="330" t="s">
        <v>840</v>
      </c>
    </row>
    <row r="53" spans="1:6" ht="27.75" customHeight="1" x14ac:dyDescent="0.2">
      <c r="A53" s="324" t="s">
        <v>659</v>
      </c>
      <c r="B53" s="28" t="s">
        <v>840</v>
      </c>
      <c r="C53" s="313">
        <v>0</v>
      </c>
      <c r="D53" s="331" t="s">
        <v>840</v>
      </c>
      <c r="E53" s="330" t="s">
        <v>840</v>
      </c>
    </row>
    <row r="54" spans="1:6" ht="27.75" customHeight="1" x14ac:dyDescent="0.2">
      <c r="A54" s="324" t="s">
        <v>660</v>
      </c>
      <c r="B54" s="28" t="s">
        <v>1431</v>
      </c>
      <c r="C54" s="313">
        <v>0</v>
      </c>
      <c r="D54" s="331" t="s">
        <v>840</v>
      </c>
      <c r="E54" s="330" t="s">
        <v>840</v>
      </c>
    </row>
    <row r="55" spans="1:6" ht="27.75" customHeight="1" x14ac:dyDescent="0.2">
      <c r="A55" s="324" t="s">
        <v>661</v>
      </c>
      <c r="B55" s="28" t="s">
        <v>1432</v>
      </c>
      <c r="C55" s="313">
        <v>0</v>
      </c>
      <c r="D55" s="331" t="s">
        <v>840</v>
      </c>
      <c r="E55" s="330" t="s">
        <v>840</v>
      </c>
    </row>
    <row r="56" spans="1:6" ht="27.75" customHeight="1" x14ac:dyDescent="0.2">
      <c r="A56" s="324" t="s">
        <v>662</v>
      </c>
      <c r="B56" s="28" t="s">
        <v>1433</v>
      </c>
      <c r="C56" s="313">
        <v>0</v>
      </c>
      <c r="D56" s="331" t="s">
        <v>840</v>
      </c>
      <c r="E56" s="330" t="s">
        <v>840</v>
      </c>
    </row>
    <row r="57" spans="1:6" ht="27.75" customHeight="1" x14ac:dyDescent="0.2">
      <c r="A57" s="324" t="s">
        <v>663</v>
      </c>
      <c r="B57" s="28" t="s">
        <v>1434</v>
      </c>
      <c r="C57" s="313">
        <v>0</v>
      </c>
      <c r="D57" s="331" t="s">
        <v>840</v>
      </c>
      <c r="E57" s="330" t="s">
        <v>840</v>
      </c>
    </row>
    <row r="58" spans="1:6" ht="27.75" customHeight="1" x14ac:dyDescent="0.2">
      <c r="A58" s="324" t="s">
        <v>826</v>
      </c>
      <c r="B58" s="28" t="e">
        <v>#N/A</v>
      </c>
      <c r="C58" s="313" t="s">
        <v>845</v>
      </c>
      <c r="D58" s="330" t="s">
        <v>840</v>
      </c>
      <c r="E58" s="330" t="s">
        <v>840</v>
      </c>
      <c r="F58" s="349" t="str">
        <f>A58&amp;" with Residual"</f>
        <v>LDNO HVplus: Domestic Aggregated or CT with Residual</v>
      </c>
    </row>
    <row r="59" spans="1:6" ht="27.75" customHeight="1" x14ac:dyDescent="0.2">
      <c r="A59" s="324" t="s">
        <v>788</v>
      </c>
      <c r="B59" s="28" t="s">
        <v>1435</v>
      </c>
      <c r="C59" s="313" t="s">
        <v>846</v>
      </c>
      <c r="D59" s="331" t="s">
        <v>840</v>
      </c>
      <c r="E59" s="330" t="s">
        <v>840</v>
      </c>
    </row>
    <row r="60" spans="1:6" ht="27.75" customHeight="1" x14ac:dyDescent="0.2">
      <c r="A60" s="324" t="s">
        <v>795</v>
      </c>
      <c r="B60" s="28" t="s">
        <v>1436</v>
      </c>
      <c r="C60" s="313" t="s">
        <v>846</v>
      </c>
      <c r="D60" s="331" t="s">
        <v>840</v>
      </c>
      <c r="E60" s="330" t="s">
        <v>840</v>
      </c>
    </row>
    <row r="61" spans="1:6" ht="27.75" customHeight="1" x14ac:dyDescent="0.2">
      <c r="A61" s="324" t="s">
        <v>802</v>
      </c>
      <c r="B61" s="28" t="s">
        <v>1437</v>
      </c>
      <c r="C61" s="313" t="s">
        <v>846</v>
      </c>
      <c r="D61" s="331" t="s">
        <v>840</v>
      </c>
      <c r="E61" s="330" t="s">
        <v>840</v>
      </c>
    </row>
    <row r="62" spans="1:6" ht="27.75" customHeight="1" x14ac:dyDescent="0.2">
      <c r="A62" s="324" t="s">
        <v>809</v>
      </c>
      <c r="B62" s="28" t="s">
        <v>1438</v>
      </c>
      <c r="C62" s="313" t="s">
        <v>846</v>
      </c>
      <c r="D62" s="331" t="s">
        <v>840</v>
      </c>
      <c r="E62" s="330" t="s">
        <v>840</v>
      </c>
    </row>
    <row r="63" spans="1:6" ht="27.75" customHeight="1" x14ac:dyDescent="0.2">
      <c r="A63" s="324" t="s">
        <v>816</v>
      </c>
      <c r="B63" s="28" t="s">
        <v>1439</v>
      </c>
      <c r="C63" s="313" t="s">
        <v>846</v>
      </c>
      <c r="D63" s="331" t="s">
        <v>840</v>
      </c>
      <c r="E63" s="330" t="s">
        <v>840</v>
      </c>
    </row>
    <row r="64" spans="1:6" ht="27.75" customHeight="1" x14ac:dyDescent="0.2">
      <c r="A64" s="324" t="s">
        <v>665</v>
      </c>
      <c r="B64" s="28" t="s">
        <v>840</v>
      </c>
      <c r="C64" s="313">
        <v>0</v>
      </c>
      <c r="D64" s="331" t="s">
        <v>840</v>
      </c>
      <c r="E64" s="330" t="s">
        <v>840</v>
      </c>
    </row>
    <row r="65" spans="1:6" ht="27.75" customHeight="1" x14ac:dyDescent="0.2">
      <c r="A65" s="324" t="s">
        <v>666</v>
      </c>
      <c r="B65" s="28" t="s">
        <v>1440</v>
      </c>
      <c r="C65" s="313">
        <v>0</v>
      </c>
      <c r="D65" s="331" t="s">
        <v>840</v>
      </c>
      <c r="E65" s="330" t="s">
        <v>840</v>
      </c>
    </row>
    <row r="66" spans="1:6" ht="27.75" customHeight="1" x14ac:dyDescent="0.2">
      <c r="A66" s="324" t="s">
        <v>667</v>
      </c>
      <c r="B66" s="28" t="s">
        <v>1441</v>
      </c>
      <c r="C66" s="313">
        <v>0</v>
      </c>
      <c r="D66" s="331" t="s">
        <v>840</v>
      </c>
      <c r="E66" s="330" t="s">
        <v>840</v>
      </c>
    </row>
    <row r="67" spans="1:6" ht="27.75" customHeight="1" x14ac:dyDescent="0.2">
      <c r="A67" s="324" t="s">
        <v>668</v>
      </c>
      <c r="B67" s="28" t="s">
        <v>1442</v>
      </c>
      <c r="C67" s="313">
        <v>0</v>
      </c>
      <c r="D67" s="331" t="s">
        <v>840</v>
      </c>
      <c r="E67" s="330" t="s">
        <v>840</v>
      </c>
    </row>
    <row r="68" spans="1:6" ht="27.75" customHeight="1" x14ac:dyDescent="0.2">
      <c r="A68" s="324" t="s">
        <v>669</v>
      </c>
      <c r="B68" s="28" t="s">
        <v>1443</v>
      </c>
      <c r="C68" s="313">
        <v>0</v>
      </c>
      <c r="D68" s="331" t="s">
        <v>840</v>
      </c>
      <c r="E68" s="330" t="s">
        <v>840</v>
      </c>
    </row>
    <row r="69" spans="1:6" ht="27.75" customHeight="1" x14ac:dyDescent="0.2">
      <c r="A69" s="324" t="s">
        <v>670</v>
      </c>
      <c r="B69" s="28" t="s">
        <v>840</v>
      </c>
      <c r="C69" s="313">
        <v>0</v>
      </c>
      <c r="D69" s="331" t="s">
        <v>840</v>
      </c>
      <c r="E69" s="330" t="s">
        <v>840</v>
      </c>
    </row>
    <row r="70" spans="1:6" ht="27.75" customHeight="1" x14ac:dyDescent="0.2">
      <c r="A70" s="324" t="s">
        <v>671</v>
      </c>
      <c r="B70" s="28" t="s">
        <v>1444</v>
      </c>
      <c r="C70" s="313">
        <v>0</v>
      </c>
      <c r="D70" s="331" t="s">
        <v>840</v>
      </c>
      <c r="E70" s="330" t="s">
        <v>840</v>
      </c>
    </row>
    <row r="71" spans="1:6" ht="27.75" customHeight="1" x14ac:dyDescent="0.2">
      <c r="A71" s="324" t="s">
        <v>672</v>
      </c>
      <c r="B71" s="28" t="s">
        <v>1445</v>
      </c>
      <c r="C71" s="313">
        <v>0</v>
      </c>
      <c r="D71" s="331" t="s">
        <v>840</v>
      </c>
      <c r="E71" s="330" t="s">
        <v>840</v>
      </c>
    </row>
    <row r="72" spans="1:6" ht="27.75" customHeight="1" x14ac:dyDescent="0.2">
      <c r="A72" s="324" t="s">
        <v>673</v>
      </c>
      <c r="B72" s="28" t="s">
        <v>1446</v>
      </c>
      <c r="C72" s="313">
        <v>0</v>
      </c>
      <c r="D72" s="331" t="s">
        <v>840</v>
      </c>
      <c r="E72" s="330" t="s">
        <v>840</v>
      </c>
    </row>
    <row r="73" spans="1:6" ht="27.75" customHeight="1" x14ac:dyDescent="0.2">
      <c r="A73" s="324" t="s">
        <v>674</v>
      </c>
      <c r="B73" s="28" t="s">
        <v>1447</v>
      </c>
      <c r="C73" s="313">
        <v>0</v>
      </c>
      <c r="D73" s="331" t="s">
        <v>840</v>
      </c>
      <c r="E73" s="330" t="s">
        <v>840</v>
      </c>
    </row>
    <row r="74" spans="1:6" ht="27.75" customHeight="1" x14ac:dyDescent="0.2">
      <c r="A74" s="324" t="s">
        <v>675</v>
      </c>
      <c r="B74" s="28" t="s">
        <v>840</v>
      </c>
      <c r="C74" s="313">
        <v>0</v>
      </c>
      <c r="D74" s="331" t="s">
        <v>840</v>
      </c>
      <c r="E74" s="330" t="s">
        <v>840</v>
      </c>
    </row>
    <row r="75" spans="1:6" ht="27.75" customHeight="1" x14ac:dyDescent="0.2">
      <c r="A75" s="324" t="s">
        <v>676</v>
      </c>
      <c r="B75" s="28" t="s">
        <v>1448</v>
      </c>
      <c r="C75" s="313">
        <v>0</v>
      </c>
      <c r="D75" s="331" t="s">
        <v>840</v>
      </c>
      <c r="E75" s="330" t="s">
        <v>840</v>
      </c>
    </row>
    <row r="76" spans="1:6" ht="27.75" customHeight="1" x14ac:dyDescent="0.2">
      <c r="A76" s="324" t="s">
        <v>677</v>
      </c>
      <c r="B76" s="28" t="s">
        <v>1449</v>
      </c>
      <c r="C76" s="313">
        <v>0</v>
      </c>
      <c r="D76" s="331" t="s">
        <v>840</v>
      </c>
      <c r="E76" s="330" t="s">
        <v>840</v>
      </c>
    </row>
    <row r="77" spans="1:6" ht="27.75" customHeight="1" x14ac:dyDescent="0.2">
      <c r="A77" s="324" t="s">
        <v>678</v>
      </c>
      <c r="B77" s="28" t="s">
        <v>1450</v>
      </c>
      <c r="C77" s="313">
        <v>0</v>
      </c>
      <c r="D77" s="331" t="s">
        <v>840</v>
      </c>
      <c r="E77" s="330" t="s">
        <v>840</v>
      </c>
    </row>
    <row r="78" spans="1:6" ht="27.75" customHeight="1" x14ac:dyDescent="0.2">
      <c r="A78" s="324" t="s">
        <v>679</v>
      </c>
      <c r="B78" s="28" t="s">
        <v>1451</v>
      </c>
      <c r="C78" s="313">
        <v>0</v>
      </c>
      <c r="D78" s="331" t="s">
        <v>840</v>
      </c>
      <c r="E78" s="330" t="s">
        <v>840</v>
      </c>
    </row>
    <row r="79" spans="1:6" ht="27.75" customHeight="1" x14ac:dyDescent="0.2">
      <c r="A79" s="324" t="s">
        <v>827</v>
      </c>
      <c r="B79" s="28" t="e">
        <v>#N/A</v>
      </c>
      <c r="C79" s="313" t="s">
        <v>845</v>
      </c>
      <c r="D79" s="330" t="s">
        <v>840</v>
      </c>
      <c r="E79" s="330" t="s">
        <v>840</v>
      </c>
      <c r="F79" s="349" t="str">
        <f>A79&amp;" with Residual"</f>
        <v>LDNO EHV: Domestic Aggregated or CT with Residual</v>
      </c>
    </row>
    <row r="80" spans="1:6" ht="27.75" customHeight="1" x14ac:dyDescent="0.2">
      <c r="A80" s="324" t="s">
        <v>789</v>
      </c>
      <c r="B80" s="28" t="s">
        <v>1452</v>
      </c>
      <c r="C80" s="313" t="s">
        <v>846</v>
      </c>
      <c r="D80" s="331" t="s">
        <v>840</v>
      </c>
      <c r="E80" s="330" t="s">
        <v>840</v>
      </c>
    </row>
    <row r="81" spans="1:5" ht="27.75" customHeight="1" x14ac:dyDescent="0.2">
      <c r="A81" s="324" t="s">
        <v>796</v>
      </c>
      <c r="B81" s="28" t="s">
        <v>1453</v>
      </c>
      <c r="C81" s="313" t="s">
        <v>846</v>
      </c>
      <c r="D81" s="331" t="s">
        <v>840</v>
      </c>
      <c r="E81" s="330" t="s">
        <v>840</v>
      </c>
    </row>
    <row r="82" spans="1:5" ht="27.75" customHeight="1" x14ac:dyDescent="0.2">
      <c r="A82" s="324" t="s">
        <v>803</v>
      </c>
      <c r="B82" s="28" t="s">
        <v>1454</v>
      </c>
      <c r="C82" s="313" t="s">
        <v>846</v>
      </c>
      <c r="D82" s="331" t="s">
        <v>840</v>
      </c>
      <c r="E82" s="330" t="s">
        <v>840</v>
      </c>
    </row>
    <row r="83" spans="1:5" ht="27.75" customHeight="1" x14ac:dyDescent="0.2">
      <c r="A83" s="324" t="s">
        <v>810</v>
      </c>
      <c r="B83" s="28" t="s">
        <v>1455</v>
      </c>
      <c r="C83" s="313" t="s">
        <v>846</v>
      </c>
      <c r="D83" s="331" t="s">
        <v>840</v>
      </c>
      <c r="E83" s="330" t="s">
        <v>840</v>
      </c>
    </row>
    <row r="84" spans="1:5" ht="27.75" customHeight="1" x14ac:dyDescent="0.2">
      <c r="A84" s="324" t="s">
        <v>817</v>
      </c>
      <c r="B84" s="28" t="s">
        <v>1456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1457</v>
      </c>
      <c r="C86" s="313">
        <v>0</v>
      </c>
      <c r="D86" s="331" t="s">
        <v>840</v>
      </c>
      <c r="E86" s="330" t="s">
        <v>840</v>
      </c>
    </row>
    <row r="87" spans="1:5" ht="27.75" customHeight="1" x14ac:dyDescent="0.2">
      <c r="A87" s="324" t="s">
        <v>683</v>
      </c>
      <c r="B87" s="28" t="s">
        <v>1458</v>
      </c>
      <c r="C87" s="313">
        <v>0</v>
      </c>
      <c r="D87" s="331" t="s">
        <v>840</v>
      </c>
      <c r="E87" s="330" t="s">
        <v>840</v>
      </c>
    </row>
    <row r="88" spans="1:5" ht="27.75" customHeight="1" x14ac:dyDescent="0.2">
      <c r="A88" s="324" t="s">
        <v>684</v>
      </c>
      <c r="B88" s="28" t="s">
        <v>1459</v>
      </c>
      <c r="C88" s="313">
        <v>0</v>
      </c>
      <c r="D88" s="331" t="s">
        <v>840</v>
      </c>
      <c r="E88" s="330" t="s">
        <v>840</v>
      </c>
    </row>
    <row r="89" spans="1:5" ht="27.75" customHeight="1" x14ac:dyDescent="0.2">
      <c r="A89" s="324" t="s">
        <v>685</v>
      </c>
      <c r="B89" s="28" t="s">
        <v>1460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1461</v>
      </c>
      <c r="C91" s="313">
        <v>0</v>
      </c>
      <c r="D91" s="331" t="s">
        <v>840</v>
      </c>
      <c r="E91" s="330" t="s">
        <v>840</v>
      </c>
    </row>
    <row r="92" spans="1:5" ht="27.75" customHeight="1" x14ac:dyDescent="0.2">
      <c r="A92" s="324" t="s">
        <v>688</v>
      </c>
      <c r="B92" s="28" t="s">
        <v>1462</v>
      </c>
      <c r="C92" s="313">
        <v>0</v>
      </c>
      <c r="D92" s="331" t="s">
        <v>840</v>
      </c>
      <c r="E92" s="330" t="s">
        <v>840</v>
      </c>
    </row>
    <row r="93" spans="1:5" ht="27.75" customHeight="1" x14ac:dyDescent="0.2">
      <c r="A93" s="324" t="s">
        <v>689</v>
      </c>
      <c r="B93" s="28" t="s">
        <v>1463</v>
      </c>
      <c r="C93" s="313">
        <v>0</v>
      </c>
      <c r="D93" s="331" t="s">
        <v>840</v>
      </c>
      <c r="E93" s="330" t="s">
        <v>840</v>
      </c>
    </row>
    <row r="94" spans="1:5" ht="27.75" customHeight="1" x14ac:dyDescent="0.2">
      <c r="A94" s="324" t="s">
        <v>690</v>
      </c>
      <c r="B94" s="28" t="s">
        <v>1464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1465</v>
      </c>
      <c r="C96" s="313">
        <v>0</v>
      </c>
      <c r="D96" s="331" t="s">
        <v>840</v>
      </c>
      <c r="E96" s="330" t="s">
        <v>840</v>
      </c>
    </row>
    <row r="97" spans="1:5" ht="27.75" customHeight="1" x14ac:dyDescent="0.2">
      <c r="A97" s="324" t="s">
        <v>693</v>
      </c>
      <c r="B97" s="28" t="s">
        <v>1466</v>
      </c>
      <c r="C97" s="313">
        <v>0</v>
      </c>
      <c r="D97" s="331" t="s">
        <v>840</v>
      </c>
      <c r="E97" s="330" t="s">
        <v>840</v>
      </c>
    </row>
    <row r="98" spans="1:5" ht="27.75" customHeight="1" x14ac:dyDescent="0.2">
      <c r="A98" s="324" t="s">
        <v>694</v>
      </c>
      <c r="B98" s="28" t="s">
        <v>1467</v>
      </c>
      <c r="C98" s="313">
        <v>0</v>
      </c>
      <c r="D98" s="331" t="s">
        <v>840</v>
      </c>
      <c r="E98" s="330" t="s">
        <v>840</v>
      </c>
    </row>
    <row r="99" spans="1:5" ht="27.75" customHeight="1" x14ac:dyDescent="0.2">
      <c r="A99" s="324" t="s">
        <v>695</v>
      </c>
      <c r="B99" s="28"/>
      <c r="C99" s="313">
        <v>0</v>
      </c>
      <c r="D99" s="331" t="s">
        <v>840</v>
      </c>
      <c r="E99" s="330" t="s">
        <v>840</v>
      </c>
    </row>
    <row r="100" spans="1:5" ht="27.75" customHeight="1" x14ac:dyDescent="0.2">
      <c r="A100" s="324" t="s">
        <v>828</v>
      </c>
      <c r="B100" s="28"/>
      <c r="C100" s="313" t="s">
        <v>845</v>
      </c>
      <c r="D100" s="330"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1" t="s">
        <v>840</v>
      </c>
      <c r="E120" s="330" t="s">
        <v>840</v>
      </c>
    </row>
    <row r="121" spans="1:5" ht="27.75" customHeight="1" x14ac:dyDescent="0.2">
      <c r="A121" s="324" t="s">
        <v>829</v>
      </c>
      <c r="B121" s="28"/>
      <c r="C121" s="313" t="s">
        <v>845</v>
      </c>
      <c r="D121" s="330"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1" t="s">
        <v>840</v>
      </c>
      <c r="E141" s="330" t="s">
        <v>840</v>
      </c>
    </row>
    <row r="142" spans="1:5" ht="27.75" customHeight="1" x14ac:dyDescent="0.2">
      <c r="A142" s="324" t="s">
        <v>830</v>
      </c>
      <c r="B142" s="28"/>
      <c r="C142" s="313" t="s">
        <v>845</v>
      </c>
      <c r="D142" s="330"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24" t="s">
        <v>743</v>
      </c>
      <c r="B162" s="28" t="s">
        <v>840</v>
      </c>
      <c r="C162" s="313">
        <v>0</v>
      </c>
      <c r="D162" s="331" t="s">
        <v>840</v>
      </c>
      <c r="E162" s="330" t="s">
        <v>840</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FB054E31-529F-462B-BB54-F8AAD5BBCF67}"/>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2A7B-4748-40BF-B1C4-3F613F93BDAC}">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11.5703125" style="1" customWidth="1"/>
    <col min="4" max="5" width="17.5703125" style="2" customWidth="1"/>
    <col min="6"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WPD West Midlands Area (GSP Group_E)"</f>
        <v>Leep Electricity Networks Limited - Effective from 1 April 2026 - Final Supplier of Last Resort and Eligible Bad Debt Pass-Through Costs in WPD West Midlands Area (GSP Group_E)</v>
      </c>
      <c r="B2" s="523"/>
      <c r="C2" s="523"/>
      <c r="D2" s="523"/>
      <c r="E2" s="523"/>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845</v>
      </c>
      <c r="D5" s="339">
        <v>0</v>
      </c>
      <c r="E5" s="339">
        <v>0</v>
      </c>
    </row>
    <row r="6" spans="1:6" ht="30" customHeight="1" x14ac:dyDescent="0.2">
      <c r="A6" s="10" t="s">
        <v>774</v>
      </c>
      <c r="B6" s="337"/>
      <c r="C6" s="338" t="s">
        <v>846</v>
      </c>
      <c r="D6" s="341" t="s">
        <v>840</v>
      </c>
      <c r="E6" s="340">
        <v>0</v>
      </c>
    </row>
    <row r="7" spans="1:6" ht="30" customHeight="1" x14ac:dyDescent="0.2">
      <c r="A7" s="10" t="s">
        <v>775</v>
      </c>
      <c r="B7" s="337"/>
      <c r="C7" s="338" t="s">
        <v>846</v>
      </c>
      <c r="D7" s="341" t="s">
        <v>840</v>
      </c>
      <c r="E7" s="340">
        <v>0</v>
      </c>
    </row>
    <row r="8" spans="1:6" ht="30" customHeight="1" x14ac:dyDescent="0.2">
      <c r="A8" s="10" t="s">
        <v>776</v>
      </c>
      <c r="B8" s="337"/>
      <c r="C8" s="338" t="s">
        <v>846</v>
      </c>
      <c r="D8" s="341" t="s">
        <v>840</v>
      </c>
      <c r="E8" s="340">
        <v>0</v>
      </c>
    </row>
    <row r="9" spans="1:6" ht="30" customHeight="1" x14ac:dyDescent="0.2">
      <c r="A9" s="10" t="s">
        <v>777</v>
      </c>
      <c r="B9" s="337"/>
      <c r="C9" s="338" t="s">
        <v>846</v>
      </c>
      <c r="D9" s="341" t="s">
        <v>840</v>
      </c>
      <c r="E9" s="340">
        <v>0</v>
      </c>
    </row>
    <row r="10" spans="1:6" ht="30" customHeight="1" x14ac:dyDescent="0.2">
      <c r="A10" s="10" t="s">
        <v>778</v>
      </c>
      <c r="B10" s="337"/>
      <c r="C10" s="338" t="s">
        <v>846</v>
      </c>
      <c r="D10" s="341" t="s">
        <v>840</v>
      </c>
      <c r="E10" s="340">
        <v>0</v>
      </c>
    </row>
    <row r="11" spans="1:6" ht="30" customHeight="1" x14ac:dyDescent="0.2">
      <c r="A11" s="324" t="s">
        <v>595</v>
      </c>
      <c r="B11" s="337"/>
      <c r="C11" s="338">
        <v>0</v>
      </c>
      <c r="D11" s="341" t="s">
        <v>840</v>
      </c>
      <c r="E11" s="340">
        <v>0</v>
      </c>
    </row>
    <row r="12" spans="1:6" ht="30" customHeight="1" x14ac:dyDescent="0.2">
      <c r="A12" s="324" t="s">
        <v>596</v>
      </c>
      <c r="B12" s="337"/>
      <c r="C12" s="338">
        <v>0</v>
      </c>
      <c r="D12" s="341" t="s">
        <v>840</v>
      </c>
      <c r="E12" s="340">
        <v>0</v>
      </c>
    </row>
    <row r="13" spans="1:6" ht="30" customHeight="1" x14ac:dyDescent="0.2">
      <c r="A13" s="324" t="s">
        <v>597</v>
      </c>
      <c r="B13" s="337"/>
      <c r="C13" s="338">
        <v>0</v>
      </c>
      <c r="D13" s="341" t="s">
        <v>840</v>
      </c>
      <c r="E13" s="340">
        <v>0</v>
      </c>
    </row>
    <row r="14" spans="1:6" ht="30" customHeight="1" x14ac:dyDescent="0.2">
      <c r="A14" s="324" t="s">
        <v>598</v>
      </c>
      <c r="B14" s="337"/>
      <c r="C14" s="338">
        <v>0</v>
      </c>
      <c r="D14" s="341" t="s">
        <v>840</v>
      </c>
      <c r="E14" s="340">
        <v>0</v>
      </c>
    </row>
    <row r="15" spans="1:6" ht="30" customHeight="1" x14ac:dyDescent="0.2">
      <c r="A15" s="325" t="s">
        <v>599</v>
      </c>
      <c r="B15" s="337"/>
      <c r="C15" s="338">
        <v>0</v>
      </c>
      <c r="D15" s="341" t="s">
        <v>840</v>
      </c>
      <c r="E15" s="340">
        <v>0</v>
      </c>
    </row>
    <row r="16" spans="1:6" ht="30" customHeight="1" x14ac:dyDescent="0.2">
      <c r="A16" s="325" t="s">
        <v>600</v>
      </c>
      <c r="B16" s="337"/>
      <c r="C16" s="338">
        <v>0</v>
      </c>
      <c r="D16" s="341" t="s">
        <v>840</v>
      </c>
      <c r="E16" s="340">
        <v>0</v>
      </c>
    </row>
    <row r="17" spans="1:5" ht="30" customHeight="1" x14ac:dyDescent="0.2">
      <c r="A17" s="325" t="s">
        <v>601</v>
      </c>
      <c r="B17" s="337"/>
      <c r="C17" s="338">
        <v>0</v>
      </c>
      <c r="D17" s="341" t="s">
        <v>840</v>
      </c>
      <c r="E17" s="340">
        <v>0</v>
      </c>
    </row>
    <row r="18" spans="1:5" ht="30" customHeight="1" x14ac:dyDescent="0.2">
      <c r="A18" s="325" t="s">
        <v>602</v>
      </c>
      <c r="B18" s="337"/>
      <c r="C18" s="338">
        <v>0</v>
      </c>
      <c r="D18" s="341" t="s">
        <v>840</v>
      </c>
      <c r="E18" s="340">
        <v>0</v>
      </c>
    </row>
    <row r="19" spans="1:5" ht="30" customHeight="1" x14ac:dyDescent="0.2">
      <c r="A19" s="325" t="s">
        <v>603</v>
      </c>
      <c r="B19" s="337"/>
      <c r="C19" s="338">
        <v>0</v>
      </c>
      <c r="D19" s="341" t="s">
        <v>840</v>
      </c>
      <c r="E19" s="340">
        <v>0</v>
      </c>
    </row>
    <row r="20" spans="1:5" ht="30" customHeight="1" x14ac:dyDescent="0.2">
      <c r="A20" s="325" t="s">
        <v>604</v>
      </c>
      <c r="B20" s="337"/>
      <c r="C20" s="338">
        <v>0</v>
      </c>
      <c r="D20" s="341" t="s">
        <v>840</v>
      </c>
      <c r="E20" s="340">
        <v>0</v>
      </c>
    </row>
    <row r="21" spans="1:5" ht="30" customHeight="1" x14ac:dyDescent="0.2">
      <c r="A21" s="325" t="s">
        <v>605</v>
      </c>
      <c r="B21" s="337"/>
      <c r="C21" s="338">
        <v>0</v>
      </c>
      <c r="D21" s="341" t="s">
        <v>840</v>
      </c>
      <c r="E21" s="340">
        <v>0</v>
      </c>
    </row>
    <row r="22" spans="1:5" ht="30" customHeight="1" x14ac:dyDescent="0.2">
      <c r="A22" s="325" t="s">
        <v>606</v>
      </c>
      <c r="B22" s="337"/>
      <c r="C22" s="338">
        <v>0</v>
      </c>
      <c r="D22" s="341" t="s">
        <v>840</v>
      </c>
      <c r="E22" s="340">
        <v>0</v>
      </c>
    </row>
    <row r="23" spans="1:5" ht="30" customHeight="1" x14ac:dyDescent="0.2">
      <c r="A23" s="324" t="s">
        <v>607</v>
      </c>
      <c r="B23" s="337"/>
      <c r="C23" s="338">
        <v>0</v>
      </c>
      <c r="D23" s="341" t="s">
        <v>840</v>
      </c>
      <c r="E23" s="340">
        <v>0</v>
      </c>
    </row>
    <row r="24" spans="1:5" ht="30" customHeight="1" x14ac:dyDescent="0.2">
      <c r="A24" s="324" t="s">
        <v>608</v>
      </c>
      <c r="B24" s="337"/>
      <c r="C24" s="338">
        <v>0</v>
      </c>
      <c r="D24" s="341" t="s">
        <v>840</v>
      </c>
      <c r="E24" s="340">
        <v>0</v>
      </c>
    </row>
    <row r="25" spans="1:5" ht="30" customHeight="1" x14ac:dyDescent="0.2">
      <c r="A25" s="324" t="s">
        <v>609</v>
      </c>
      <c r="B25" s="337"/>
      <c r="C25" s="338">
        <v>0</v>
      </c>
      <c r="D25" s="341" t="s">
        <v>840</v>
      </c>
      <c r="E25" s="340">
        <v>0</v>
      </c>
    </row>
    <row r="26" spans="1:5" ht="30" customHeight="1" x14ac:dyDescent="0.2">
      <c r="A26" s="324" t="s">
        <v>779</v>
      </c>
      <c r="B26" s="337" t="s">
        <v>1468</v>
      </c>
      <c r="C26" s="338" t="s">
        <v>845</v>
      </c>
      <c r="D26" s="341" t="s">
        <v>840</v>
      </c>
      <c r="E26" s="340">
        <v>0</v>
      </c>
    </row>
    <row r="27" spans="1:5" ht="30" customHeight="1" x14ac:dyDescent="0.2">
      <c r="A27" s="324" t="s">
        <v>786</v>
      </c>
      <c r="B27" s="337" t="s">
        <v>1469</v>
      </c>
      <c r="C27" s="338" t="s">
        <v>846</v>
      </c>
      <c r="D27" s="341" t="s">
        <v>840</v>
      </c>
      <c r="E27" s="340">
        <v>0</v>
      </c>
    </row>
    <row r="28" spans="1:5" ht="30" customHeight="1" x14ac:dyDescent="0.2">
      <c r="A28" s="324" t="s">
        <v>793</v>
      </c>
      <c r="B28" s="337" t="s">
        <v>1470</v>
      </c>
      <c r="C28" s="338" t="s">
        <v>846</v>
      </c>
      <c r="D28" s="341" t="s">
        <v>840</v>
      </c>
      <c r="E28" s="340">
        <v>0</v>
      </c>
    </row>
    <row r="29" spans="1:5" ht="30" customHeight="1" x14ac:dyDescent="0.2">
      <c r="A29" s="324" t="s">
        <v>800</v>
      </c>
      <c r="B29" s="337" t="s">
        <v>1471</v>
      </c>
      <c r="C29" s="338" t="s">
        <v>846</v>
      </c>
      <c r="D29" s="341" t="s">
        <v>840</v>
      </c>
      <c r="E29" s="340">
        <v>0</v>
      </c>
    </row>
    <row r="30" spans="1:5" ht="30" customHeight="1" x14ac:dyDescent="0.2">
      <c r="A30" s="324" t="s">
        <v>807</v>
      </c>
      <c r="B30" s="337" t="s">
        <v>1472</v>
      </c>
      <c r="C30" s="338" t="s">
        <v>846</v>
      </c>
      <c r="D30" s="341" t="s">
        <v>840</v>
      </c>
      <c r="E30" s="340">
        <v>0</v>
      </c>
    </row>
    <row r="31" spans="1:5" ht="30" customHeight="1" x14ac:dyDescent="0.2">
      <c r="A31" s="324" t="s">
        <v>814</v>
      </c>
      <c r="B31" s="337" t="s">
        <v>1473</v>
      </c>
      <c r="C31" s="338" t="s">
        <v>846</v>
      </c>
      <c r="D31" s="341" t="s">
        <v>840</v>
      </c>
      <c r="E31" s="340">
        <v>0</v>
      </c>
    </row>
    <row r="32" spans="1:5" ht="30" customHeight="1" x14ac:dyDescent="0.2">
      <c r="A32" s="324" t="s">
        <v>643</v>
      </c>
      <c r="B32" s="337" t="s">
        <v>840</v>
      </c>
      <c r="C32" s="338">
        <v>0</v>
      </c>
      <c r="D32" s="341" t="s">
        <v>840</v>
      </c>
      <c r="E32" s="340">
        <v>0</v>
      </c>
    </row>
    <row r="33" spans="1:5" ht="30" customHeight="1" x14ac:dyDescent="0.2">
      <c r="A33" s="324" t="s">
        <v>644</v>
      </c>
      <c r="B33" s="337" t="s">
        <v>1474</v>
      </c>
      <c r="C33" s="338">
        <v>0</v>
      </c>
      <c r="D33" s="341" t="s">
        <v>840</v>
      </c>
      <c r="E33" s="340">
        <v>0</v>
      </c>
    </row>
    <row r="34" spans="1:5" ht="30" customHeight="1" x14ac:dyDescent="0.2">
      <c r="A34" s="324" t="s">
        <v>645</v>
      </c>
      <c r="B34" s="337" t="s">
        <v>1475</v>
      </c>
      <c r="C34" s="338">
        <v>0</v>
      </c>
      <c r="D34" s="341" t="s">
        <v>840</v>
      </c>
      <c r="E34" s="340">
        <v>0</v>
      </c>
    </row>
    <row r="35" spans="1:5" ht="30" customHeight="1" x14ac:dyDescent="0.2">
      <c r="A35" s="324" t="s">
        <v>646</v>
      </c>
      <c r="B35" s="337" t="s">
        <v>1476</v>
      </c>
      <c r="C35" s="338">
        <v>0</v>
      </c>
      <c r="D35" s="341" t="s">
        <v>840</v>
      </c>
      <c r="E35" s="340">
        <v>0</v>
      </c>
    </row>
    <row r="36" spans="1:5" ht="30" customHeight="1" x14ac:dyDescent="0.2">
      <c r="A36" s="324" t="s">
        <v>647</v>
      </c>
      <c r="B36" s="337" t="s">
        <v>1477</v>
      </c>
      <c r="C36" s="338">
        <v>0</v>
      </c>
      <c r="D36" s="339">
        <v>0</v>
      </c>
      <c r="E36" s="339">
        <v>0</v>
      </c>
    </row>
    <row r="37" spans="1:5" ht="30" customHeight="1" x14ac:dyDescent="0.2">
      <c r="A37" s="325" t="s">
        <v>780</v>
      </c>
      <c r="B37" s="337" t="s">
        <v>840</v>
      </c>
      <c r="C37" s="338" t="s">
        <v>845</v>
      </c>
      <c r="D37" s="340">
        <v>0</v>
      </c>
      <c r="E37" s="340">
        <v>0</v>
      </c>
    </row>
    <row r="38" spans="1:5" ht="30" customHeight="1" x14ac:dyDescent="0.2">
      <c r="A38" s="324" t="s">
        <v>787</v>
      </c>
      <c r="B38" s="337" t="s">
        <v>1478</v>
      </c>
      <c r="C38" s="338" t="s">
        <v>846</v>
      </c>
      <c r="D38" s="341" t="s">
        <v>840</v>
      </c>
      <c r="E38" s="340">
        <v>0</v>
      </c>
    </row>
    <row r="39" spans="1:5" ht="30" customHeight="1" x14ac:dyDescent="0.2">
      <c r="A39" s="324" t="s">
        <v>794</v>
      </c>
      <c r="B39" s="337" t="s">
        <v>1479</v>
      </c>
      <c r="C39" s="338" t="s">
        <v>846</v>
      </c>
      <c r="D39" s="341" t="s">
        <v>840</v>
      </c>
      <c r="E39" s="340">
        <v>0</v>
      </c>
    </row>
    <row r="40" spans="1:5" ht="30" customHeight="1" x14ac:dyDescent="0.2">
      <c r="A40" s="324" t="s">
        <v>801</v>
      </c>
      <c r="B40" s="337" t="s">
        <v>1480</v>
      </c>
      <c r="C40" s="338" t="s">
        <v>846</v>
      </c>
      <c r="D40" s="341" t="s">
        <v>840</v>
      </c>
      <c r="E40" s="340">
        <v>0</v>
      </c>
    </row>
    <row r="41" spans="1:5" ht="30" customHeight="1" x14ac:dyDescent="0.2">
      <c r="A41" s="324" t="s">
        <v>808</v>
      </c>
      <c r="B41" s="337" t="s">
        <v>1481</v>
      </c>
      <c r="C41" s="338" t="s">
        <v>846</v>
      </c>
      <c r="D41" s="341" t="s">
        <v>840</v>
      </c>
      <c r="E41" s="340">
        <v>0</v>
      </c>
    </row>
    <row r="42" spans="1:5" ht="30" customHeight="1" x14ac:dyDescent="0.2">
      <c r="A42" s="324" t="s">
        <v>815</v>
      </c>
      <c r="B42" s="337" t="s">
        <v>1482</v>
      </c>
      <c r="C42" s="338" t="s">
        <v>846</v>
      </c>
      <c r="D42" s="341" t="s">
        <v>840</v>
      </c>
      <c r="E42" s="340">
        <v>0</v>
      </c>
    </row>
    <row r="43" spans="1:5" ht="30" customHeight="1" x14ac:dyDescent="0.2">
      <c r="A43" s="324" t="s">
        <v>649</v>
      </c>
      <c r="B43" s="337" t="s">
        <v>840</v>
      </c>
      <c r="C43" s="338">
        <v>0</v>
      </c>
      <c r="D43" s="341" t="s">
        <v>840</v>
      </c>
      <c r="E43" s="340">
        <v>0</v>
      </c>
    </row>
    <row r="44" spans="1:5" ht="30" customHeight="1" x14ac:dyDescent="0.2">
      <c r="A44" s="324" t="s">
        <v>650</v>
      </c>
      <c r="B44" s="337" t="s">
        <v>1483</v>
      </c>
      <c r="C44" s="338">
        <v>0</v>
      </c>
      <c r="D44" s="341" t="s">
        <v>840</v>
      </c>
      <c r="E44" s="340">
        <v>0</v>
      </c>
    </row>
    <row r="45" spans="1:5" ht="30" customHeight="1" x14ac:dyDescent="0.2">
      <c r="A45" s="324" t="s">
        <v>651</v>
      </c>
      <c r="B45" s="337" t="s">
        <v>1484</v>
      </c>
      <c r="C45" s="338">
        <v>0</v>
      </c>
      <c r="D45" s="341" t="s">
        <v>840</v>
      </c>
      <c r="E45" s="340">
        <v>0</v>
      </c>
    </row>
    <row r="46" spans="1:5" ht="30" customHeight="1" x14ac:dyDescent="0.2">
      <c r="A46" s="324" t="s">
        <v>652</v>
      </c>
      <c r="B46" s="337" t="s">
        <v>1485</v>
      </c>
      <c r="C46" s="338">
        <v>0</v>
      </c>
      <c r="D46" s="341" t="s">
        <v>840</v>
      </c>
      <c r="E46" s="340">
        <v>0</v>
      </c>
    </row>
    <row r="47" spans="1:5" ht="30" customHeight="1" x14ac:dyDescent="0.2">
      <c r="A47" s="324" t="s">
        <v>653</v>
      </c>
      <c r="B47" s="337" t="s">
        <v>1486</v>
      </c>
      <c r="C47" s="338">
        <v>0</v>
      </c>
      <c r="D47" s="341" t="s">
        <v>840</v>
      </c>
      <c r="E47" s="340">
        <v>0</v>
      </c>
    </row>
    <row r="48" spans="1:5" ht="30" customHeight="1" x14ac:dyDescent="0.2">
      <c r="A48" s="324" t="s">
        <v>654</v>
      </c>
      <c r="B48" s="337" t="s">
        <v>840</v>
      </c>
      <c r="C48" s="338">
        <v>0</v>
      </c>
      <c r="D48" s="341" t="s">
        <v>840</v>
      </c>
      <c r="E48" s="340">
        <v>0</v>
      </c>
    </row>
    <row r="49" spans="1:5" ht="30" customHeight="1" x14ac:dyDescent="0.2">
      <c r="A49" s="324" t="s">
        <v>655</v>
      </c>
      <c r="B49" s="337" t="s">
        <v>1487</v>
      </c>
      <c r="C49" s="338">
        <v>0</v>
      </c>
      <c r="D49" s="341" t="s">
        <v>840</v>
      </c>
      <c r="E49" s="340">
        <v>0</v>
      </c>
    </row>
    <row r="50" spans="1:5" ht="30" customHeight="1" x14ac:dyDescent="0.2">
      <c r="A50" s="324" t="s">
        <v>656</v>
      </c>
      <c r="B50" s="337" t="s">
        <v>1488</v>
      </c>
      <c r="C50" s="338">
        <v>0</v>
      </c>
      <c r="D50" s="341" t="s">
        <v>840</v>
      </c>
      <c r="E50" s="340">
        <v>0</v>
      </c>
    </row>
    <row r="51" spans="1:5" ht="30" customHeight="1" x14ac:dyDescent="0.2">
      <c r="A51" s="324" t="s">
        <v>657</v>
      </c>
      <c r="B51" s="337" t="s">
        <v>1489</v>
      </c>
      <c r="C51" s="338">
        <v>0</v>
      </c>
      <c r="D51" s="341" t="s">
        <v>840</v>
      </c>
      <c r="E51" s="340">
        <v>0</v>
      </c>
    </row>
    <row r="52" spans="1:5" ht="30" customHeight="1" x14ac:dyDescent="0.2">
      <c r="A52" s="324" t="s">
        <v>658</v>
      </c>
      <c r="B52" s="337" t="s">
        <v>1490</v>
      </c>
      <c r="C52" s="338">
        <v>0</v>
      </c>
      <c r="D52" s="339">
        <v>0</v>
      </c>
      <c r="E52" s="339">
        <v>0</v>
      </c>
    </row>
    <row r="53" spans="1:5" ht="30" customHeight="1" x14ac:dyDescent="0.2">
      <c r="A53" s="324" t="s">
        <v>659</v>
      </c>
      <c r="B53" s="337" t="s">
        <v>840</v>
      </c>
      <c r="C53" s="338">
        <v>0</v>
      </c>
      <c r="D53" s="340">
        <v>0</v>
      </c>
      <c r="E53" s="340">
        <v>0</v>
      </c>
    </row>
    <row r="54" spans="1:5" ht="30" customHeight="1" x14ac:dyDescent="0.2">
      <c r="A54" s="324" t="s">
        <v>660</v>
      </c>
      <c r="B54" s="337" t="s">
        <v>1491</v>
      </c>
      <c r="C54" s="338">
        <v>0</v>
      </c>
      <c r="D54" s="341" t="s">
        <v>840</v>
      </c>
      <c r="E54" s="340">
        <v>0</v>
      </c>
    </row>
    <row r="55" spans="1:5" ht="30" customHeight="1" x14ac:dyDescent="0.2">
      <c r="A55" s="324" t="s">
        <v>661</v>
      </c>
      <c r="B55" s="337" t="s">
        <v>1492</v>
      </c>
      <c r="C55" s="338">
        <v>0</v>
      </c>
      <c r="D55" s="341" t="s">
        <v>840</v>
      </c>
      <c r="E55" s="340">
        <v>0</v>
      </c>
    </row>
    <row r="56" spans="1:5" ht="30" customHeight="1" x14ac:dyDescent="0.2">
      <c r="A56" s="324" t="s">
        <v>662</v>
      </c>
      <c r="B56" s="337" t="s">
        <v>1493</v>
      </c>
      <c r="C56" s="338">
        <v>0</v>
      </c>
      <c r="D56" s="341" t="s">
        <v>840</v>
      </c>
      <c r="E56" s="340">
        <v>0</v>
      </c>
    </row>
    <row r="57" spans="1:5" ht="30" customHeight="1" x14ac:dyDescent="0.2">
      <c r="A57" s="324" t="s">
        <v>663</v>
      </c>
      <c r="B57" s="337" t="s">
        <v>1494</v>
      </c>
      <c r="C57" s="338">
        <v>0</v>
      </c>
      <c r="D57" s="341" t="s">
        <v>840</v>
      </c>
      <c r="E57" s="340">
        <v>0</v>
      </c>
    </row>
    <row r="58" spans="1:5" ht="30" customHeight="1" x14ac:dyDescent="0.2">
      <c r="A58" s="324" t="s">
        <v>781</v>
      </c>
      <c r="B58" s="337" t="s">
        <v>840</v>
      </c>
      <c r="C58" s="338" t="s">
        <v>845</v>
      </c>
      <c r="D58" s="341" t="s">
        <v>840</v>
      </c>
      <c r="E58" s="340">
        <v>0</v>
      </c>
    </row>
    <row r="59" spans="1:5" ht="30" customHeight="1" x14ac:dyDescent="0.2">
      <c r="A59" s="324" t="s">
        <v>788</v>
      </c>
      <c r="B59" s="337" t="s">
        <v>1495</v>
      </c>
      <c r="C59" s="338" t="s">
        <v>846</v>
      </c>
      <c r="D59" s="341" t="s">
        <v>840</v>
      </c>
      <c r="E59" s="340">
        <v>0</v>
      </c>
    </row>
    <row r="60" spans="1:5" ht="30" customHeight="1" x14ac:dyDescent="0.2">
      <c r="A60" s="324" t="s">
        <v>795</v>
      </c>
      <c r="B60" s="337" t="s">
        <v>1496</v>
      </c>
      <c r="C60" s="338" t="s">
        <v>846</v>
      </c>
      <c r="D60" s="341" t="s">
        <v>840</v>
      </c>
      <c r="E60" s="340">
        <v>0</v>
      </c>
    </row>
    <row r="61" spans="1:5" ht="30" customHeight="1" x14ac:dyDescent="0.2">
      <c r="A61" s="324" t="s">
        <v>802</v>
      </c>
      <c r="B61" s="337" t="s">
        <v>1497</v>
      </c>
      <c r="C61" s="338" t="s">
        <v>846</v>
      </c>
      <c r="D61" s="341" t="s">
        <v>840</v>
      </c>
      <c r="E61" s="340">
        <v>0</v>
      </c>
    </row>
    <row r="62" spans="1:5" ht="30" customHeight="1" x14ac:dyDescent="0.2">
      <c r="A62" s="324" t="s">
        <v>809</v>
      </c>
      <c r="B62" s="337" t="s">
        <v>1498</v>
      </c>
      <c r="C62" s="338" t="s">
        <v>846</v>
      </c>
      <c r="D62" s="341" t="s">
        <v>840</v>
      </c>
      <c r="E62" s="340">
        <v>0</v>
      </c>
    </row>
    <row r="63" spans="1:5" ht="30" customHeight="1" x14ac:dyDescent="0.2">
      <c r="A63" s="324" t="s">
        <v>816</v>
      </c>
      <c r="B63" s="337" t="s">
        <v>1499</v>
      </c>
      <c r="C63" s="338" t="s">
        <v>846</v>
      </c>
      <c r="D63" s="341" t="s">
        <v>840</v>
      </c>
      <c r="E63" s="340">
        <v>0</v>
      </c>
    </row>
    <row r="64" spans="1:5" ht="30" customHeight="1" x14ac:dyDescent="0.2">
      <c r="A64" s="324" t="s">
        <v>665</v>
      </c>
      <c r="B64" s="337" t="s">
        <v>840</v>
      </c>
      <c r="C64" s="338">
        <v>0</v>
      </c>
      <c r="D64" s="341" t="s">
        <v>840</v>
      </c>
      <c r="E64" s="340">
        <v>0</v>
      </c>
    </row>
    <row r="65" spans="1:5" ht="30" customHeight="1" x14ac:dyDescent="0.2">
      <c r="A65" s="324" t="s">
        <v>666</v>
      </c>
      <c r="B65" s="337" t="s">
        <v>1500</v>
      </c>
      <c r="C65" s="338">
        <v>0</v>
      </c>
      <c r="D65" s="341" t="s">
        <v>840</v>
      </c>
      <c r="E65" s="340">
        <v>0</v>
      </c>
    </row>
    <row r="66" spans="1:5" ht="30" customHeight="1" x14ac:dyDescent="0.2">
      <c r="A66" s="324" t="s">
        <v>667</v>
      </c>
      <c r="B66" s="337" t="s">
        <v>1501</v>
      </c>
      <c r="C66" s="338">
        <v>0</v>
      </c>
      <c r="D66" s="341" t="s">
        <v>840</v>
      </c>
      <c r="E66" s="340">
        <v>0</v>
      </c>
    </row>
    <row r="67" spans="1:5" ht="30" customHeight="1" x14ac:dyDescent="0.2">
      <c r="A67" s="324" t="s">
        <v>668</v>
      </c>
      <c r="B67" s="337" t="s">
        <v>1502</v>
      </c>
      <c r="C67" s="338">
        <v>0</v>
      </c>
      <c r="D67" s="341" t="s">
        <v>840</v>
      </c>
      <c r="E67" s="340">
        <v>0</v>
      </c>
    </row>
    <row r="68" spans="1:5" ht="30" customHeight="1" x14ac:dyDescent="0.2">
      <c r="A68" s="324" t="s">
        <v>669</v>
      </c>
      <c r="B68" s="337" t="s">
        <v>1503</v>
      </c>
      <c r="C68" s="338">
        <v>0</v>
      </c>
      <c r="D68" s="341" t="s">
        <v>840</v>
      </c>
      <c r="E68" s="340">
        <v>0</v>
      </c>
    </row>
    <row r="69" spans="1:5" ht="30" customHeight="1" x14ac:dyDescent="0.2">
      <c r="A69" s="324" t="s">
        <v>670</v>
      </c>
      <c r="B69" s="337" t="s">
        <v>840</v>
      </c>
      <c r="C69" s="338">
        <v>0</v>
      </c>
      <c r="D69" s="341" t="s">
        <v>840</v>
      </c>
      <c r="E69" s="340">
        <v>0</v>
      </c>
    </row>
    <row r="70" spans="1:5" ht="30" customHeight="1" x14ac:dyDescent="0.2">
      <c r="A70" s="324" t="s">
        <v>671</v>
      </c>
      <c r="B70" s="337" t="s">
        <v>1504</v>
      </c>
      <c r="C70" s="338">
        <v>0</v>
      </c>
      <c r="D70" s="341" t="s">
        <v>840</v>
      </c>
      <c r="E70" s="340">
        <v>0</v>
      </c>
    </row>
    <row r="71" spans="1:5" ht="30" customHeight="1" x14ac:dyDescent="0.2">
      <c r="A71" s="324" t="s">
        <v>672</v>
      </c>
      <c r="B71" s="337" t="s">
        <v>1505</v>
      </c>
      <c r="C71" s="338">
        <v>0</v>
      </c>
      <c r="D71" s="341" t="s">
        <v>840</v>
      </c>
      <c r="E71" s="340">
        <v>0</v>
      </c>
    </row>
    <row r="72" spans="1:5" ht="30" customHeight="1" x14ac:dyDescent="0.2">
      <c r="A72" s="324" t="s">
        <v>673</v>
      </c>
      <c r="B72" s="337" t="s">
        <v>1506</v>
      </c>
      <c r="C72" s="338">
        <v>0</v>
      </c>
      <c r="D72" s="341" t="s">
        <v>840</v>
      </c>
      <c r="E72" s="340">
        <v>0</v>
      </c>
    </row>
    <row r="73" spans="1:5" ht="30" customHeight="1" x14ac:dyDescent="0.2">
      <c r="A73" s="324" t="s">
        <v>674</v>
      </c>
      <c r="B73" s="337" t="s">
        <v>1507</v>
      </c>
      <c r="C73" s="338">
        <v>0</v>
      </c>
      <c r="D73" s="341" t="s">
        <v>840</v>
      </c>
      <c r="E73" s="340">
        <v>0</v>
      </c>
    </row>
    <row r="74" spans="1:5" ht="30" customHeight="1" x14ac:dyDescent="0.2">
      <c r="A74" s="324" t="s">
        <v>675</v>
      </c>
      <c r="B74" s="337" t="s">
        <v>840</v>
      </c>
      <c r="C74" s="338">
        <v>0</v>
      </c>
      <c r="D74" s="341" t="s">
        <v>840</v>
      </c>
      <c r="E74" s="340">
        <v>0</v>
      </c>
    </row>
    <row r="75" spans="1:5" ht="30" customHeight="1" x14ac:dyDescent="0.2">
      <c r="A75" s="324" t="s">
        <v>676</v>
      </c>
      <c r="B75" s="337" t="s">
        <v>1508</v>
      </c>
      <c r="C75" s="338">
        <v>0</v>
      </c>
      <c r="D75" s="341" t="s">
        <v>840</v>
      </c>
      <c r="E75" s="340">
        <v>0</v>
      </c>
    </row>
    <row r="76" spans="1:5" ht="30" customHeight="1" x14ac:dyDescent="0.2">
      <c r="A76" s="324" t="s">
        <v>677</v>
      </c>
      <c r="B76" s="337" t="s">
        <v>1509</v>
      </c>
      <c r="C76" s="338">
        <v>0</v>
      </c>
      <c r="D76" s="341" t="s">
        <v>840</v>
      </c>
      <c r="E76" s="340">
        <v>0</v>
      </c>
    </row>
    <row r="77" spans="1:5" ht="30" customHeight="1" x14ac:dyDescent="0.2">
      <c r="A77" s="324" t="s">
        <v>678</v>
      </c>
      <c r="B77" s="337" t="s">
        <v>1510</v>
      </c>
      <c r="C77" s="338">
        <v>0</v>
      </c>
      <c r="D77" s="341" t="s">
        <v>840</v>
      </c>
      <c r="E77" s="340">
        <v>0</v>
      </c>
    </row>
    <row r="78" spans="1:5" ht="30" customHeight="1" x14ac:dyDescent="0.2">
      <c r="A78" s="324" t="s">
        <v>679</v>
      </c>
      <c r="B78" s="337" t="s">
        <v>1511</v>
      </c>
      <c r="C78" s="338">
        <v>0</v>
      </c>
      <c r="D78" s="341" t="s">
        <v>840</v>
      </c>
      <c r="E78" s="340">
        <v>0</v>
      </c>
    </row>
    <row r="79" spans="1:5" ht="30" customHeight="1" x14ac:dyDescent="0.2">
      <c r="A79" s="324" t="s">
        <v>782</v>
      </c>
      <c r="B79" s="337" t="s">
        <v>840</v>
      </c>
      <c r="C79" s="338" t="s">
        <v>845</v>
      </c>
      <c r="D79" s="341" t="s">
        <v>840</v>
      </c>
      <c r="E79" s="340">
        <v>0</v>
      </c>
    </row>
    <row r="80" spans="1:5" ht="30" customHeight="1" x14ac:dyDescent="0.2">
      <c r="A80" s="324" t="s">
        <v>789</v>
      </c>
      <c r="B80" s="337" t="s">
        <v>1512</v>
      </c>
      <c r="C80" s="338" t="s">
        <v>846</v>
      </c>
      <c r="D80" s="341" t="s">
        <v>840</v>
      </c>
      <c r="E80" s="340">
        <v>0</v>
      </c>
    </row>
    <row r="81" spans="1:5" ht="30" customHeight="1" x14ac:dyDescent="0.2">
      <c r="A81" s="324" t="s">
        <v>796</v>
      </c>
      <c r="B81" s="337" t="s">
        <v>1513</v>
      </c>
      <c r="C81" s="338" t="s">
        <v>846</v>
      </c>
      <c r="D81" s="339">
        <v>0</v>
      </c>
      <c r="E81" s="339">
        <v>0</v>
      </c>
    </row>
    <row r="82" spans="1:5" ht="30" customHeight="1" x14ac:dyDescent="0.2">
      <c r="A82" s="324" t="s">
        <v>803</v>
      </c>
      <c r="B82" s="337" t="s">
        <v>1514</v>
      </c>
      <c r="C82" s="338" t="s">
        <v>846</v>
      </c>
      <c r="D82" s="340">
        <v>0</v>
      </c>
      <c r="E82" s="340">
        <v>0</v>
      </c>
    </row>
    <row r="83" spans="1:5" ht="30" customHeight="1" x14ac:dyDescent="0.2">
      <c r="A83" s="324" t="s">
        <v>810</v>
      </c>
      <c r="B83" s="337" t="s">
        <v>1515</v>
      </c>
      <c r="C83" s="338" t="s">
        <v>846</v>
      </c>
      <c r="D83" s="341" t="s">
        <v>840</v>
      </c>
      <c r="E83" s="340">
        <v>0</v>
      </c>
    </row>
    <row r="84" spans="1:5" ht="30" customHeight="1" x14ac:dyDescent="0.2">
      <c r="A84" s="324" t="s">
        <v>817</v>
      </c>
      <c r="B84" s="337" t="s">
        <v>1516</v>
      </c>
      <c r="C84" s="338" t="s">
        <v>846</v>
      </c>
      <c r="D84" s="341" t="s">
        <v>840</v>
      </c>
      <c r="E84" s="340">
        <v>0</v>
      </c>
    </row>
    <row r="85" spans="1:5" ht="30" customHeight="1" x14ac:dyDescent="0.2">
      <c r="A85" s="324" t="s">
        <v>681</v>
      </c>
      <c r="B85" s="337" t="s">
        <v>840</v>
      </c>
      <c r="C85" s="338">
        <v>0</v>
      </c>
      <c r="D85" s="341" t="s">
        <v>840</v>
      </c>
      <c r="E85" s="340">
        <v>0</v>
      </c>
    </row>
    <row r="86" spans="1:5" ht="30" customHeight="1" x14ac:dyDescent="0.2">
      <c r="A86" s="324" t="s">
        <v>682</v>
      </c>
      <c r="B86" s="337" t="s">
        <v>1517</v>
      </c>
      <c r="C86" s="338">
        <v>0</v>
      </c>
      <c r="D86" s="341" t="s">
        <v>840</v>
      </c>
      <c r="E86" s="340">
        <v>0</v>
      </c>
    </row>
    <row r="87" spans="1:5" ht="30" customHeight="1" x14ac:dyDescent="0.2">
      <c r="A87" s="324" t="s">
        <v>683</v>
      </c>
      <c r="B87" s="337" t="s">
        <v>1518</v>
      </c>
      <c r="C87" s="338">
        <v>0</v>
      </c>
      <c r="D87" s="341" t="s">
        <v>840</v>
      </c>
      <c r="E87" s="340">
        <v>0</v>
      </c>
    </row>
    <row r="88" spans="1:5" ht="30" customHeight="1" x14ac:dyDescent="0.2">
      <c r="A88" s="324" t="s">
        <v>684</v>
      </c>
      <c r="B88" s="337" t="s">
        <v>1519</v>
      </c>
      <c r="C88" s="338">
        <v>0</v>
      </c>
      <c r="D88" s="341" t="s">
        <v>840</v>
      </c>
      <c r="E88" s="340">
        <v>0</v>
      </c>
    </row>
    <row r="89" spans="1:5" ht="30" customHeight="1" x14ac:dyDescent="0.2">
      <c r="A89" s="324" t="s">
        <v>685</v>
      </c>
      <c r="B89" s="337" t="s">
        <v>1520</v>
      </c>
      <c r="C89" s="338">
        <v>0</v>
      </c>
      <c r="D89" s="341" t="s">
        <v>840</v>
      </c>
      <c r="E89" s="340">
        <v>0</v>
      </c>
    </row>
    <row r="90" spans="1:5" ht="30" customHeight="1" x14ac:dyDescent="0.2">
      <c r="A90" s="324" t="s">
        <v>686</v>
      </c>
      <c r="B90" s="337" t="s">
        <v>840</v>
      </c>
      <c r="C90" s="338">
        <v>0</v>
      </c>
      <c r="D90" s="341" t="s">
        <v>840</v>
      </c>
      <c r="E90" s="340">
        <v>0</v>
      </c>
    </row>
    <row r="91" spans="1:5" ht="30" customHeight="1" x14ac:dyDescent="0.2">
      <c r="A91" s="324" t="s">
        <v>687</v>
      </c>
      <c r="B91" s="337" t="s">
        <v>1521</v>
      </c>
      <c r="C91" s="338">
        <v>0</v>
      </c>
      <c r="D91" s="341" t="s">
        <v>840</v>
      </c>
      <c r="E91" s="340">
        <v>0</v>
      </c>
    </row>
    <row r="92" spans="1:5" ht="30" customHeight="1" x14ac:dyDescent="0.2">
      <c r="A92" s="324" t="s">
        <v>688</v>
      </c>
      <c r="B92" s="337" t="s">
        <v>1522</v>
      </c>
      <c r="C92" s="338">
        <v>0</v>
      </c>
      <c r="D92" s="341" t="s">
        <v>840</v>
      </c>
      <c r="E92" s="340">
        <v>0</v>
      </c>
    </row>
    <row r="93" spans="1:5" ht="30" customHeight="1" x14ac:dyDescent="0.2">
      <c r="A93" s="324" t="s">
        <v>689</v>
      </c>
      <c r="B93" s="337" t="s">
        <v>1523</v>
      </c>
      <c r="C93" s="338">
        <v>0</v>
      </c>
      <c r="D93" s="341" t="s">
        <v>840</v>
      </c>
      <c r="E93" s="340">
        <v>0</v>
      </c>
    </row>
    <row r="94" spans="1:5" ht="30" customHeight="1" x14ac:dyDescent="0.2">
      <c r="A94" s="324" t="s">
        <v>690</v>
      </c>
      <c r="B94" s="337" t="s">
        <v>1524</v>
      </c>
      <c r="C94" s="338">
        <v>0</v>
      </c>
      <c r="D94" s="341" t="s">
        <v>840</v>
      </c>
      <c r="E94" s="340">
        <v>0</v>
      </c>
    </row>
    <row r="95" spans="1:5" ht="30" customHeight="1" x14ac:dyDescent="0.2">
      <c r="A95" s="324" t="s">
        <v>691</v>
      </c>
      <c r="B95" s="337" t="s">
        <v>840</v>
      </c>
      <c r="C95" s="338">
        <v>0</v>
      </c>
      <c r="D95" s="341" t="s">
        <v>840</v>
      </c>
      <c r="E95" s="340">
        <v>0</v>
      </c>
    </row>
    <row r="96" spans="1:5" ht="30" customHeight="1" x14ac:dyDescent="0.2">
      <c r="A96" s="324" t="s">
        <v>692</v>
      </c>
      <c r="B96" s="337" t="s">
        <v>1525</v>
      </c>
      <c r="C96" s="338">
        <v>0</v>
      </c>
      <c r="D96" s="341" t="s">
        <v>840</v>
      </c>
      <c r="E96" s="340">
        <v>0</v>
      </c>
    </row>
    <row r="97" spans="1:5" ht="30" customHeight="1" x14ac:dyDescent="0.2">
      <c r="A97" s="324" t="s">
        <v>693</v>
      </c>
      <c r="B97" s="337" t="s">
        <v>1526</v>
      </c>
      <c r="C97" s="338">
        <v>0</v>
      </c>
      <c r="D97" s="341" t="s">
        <v>840</v>
      </c>
      <c r="E97" s="340">
        <v>0</v>
      </c>
    </row>
    <row r="98" spans="1:5" ht="30" customHeight="1" x14ac:dyDescent="0.2">
      <c r="A98" s="324" t="s">
        <v>694</v>
      </c>
      <c r="B98" s="337" t="s">
        <v>1527</v>
      </c>
      <c r="C98" s="338">
        <v>0</v>
      </c>
      <c r="D98" s="341" t="s">
        <v>840</v>
      </c>
      <c r="E98" s="340">
        <v>0</v>
      </c>
    </row>
    <row r="99" spans="1:5" ht="30" customHeight="1" x14ac:dyDescent="0.2">
      <c r="A99" s="324" t="s">
        <v>695</v>
      </c>
      <c r="B99" s="337"/>
      <c r="C99" s="338">
        <v>0</v>
      </c>
      <c r="D99" s="341" t="s">
        <v>840</v>
      </c>
      <c r="E99" s="340">
        <v>0</v>
      </c>
    </row>
    <row r="100" spans="1:5" ht="30" customHeight="1" x14ac:dyDescent="0.2">
      <c r="A100" s="324" t="s">
        <v>783</v>
      </c>
      <c r="B100" s="337"/>
      <c r="C100" s="338" t="s">
        <v>845</v>
      </c>
      <c r="D100" s="341" t="s">
        <v>840</v>
      </c>
      <c r="E100" s="340">
        <v>0</v>
      </c>
    </row>
    <row r="101" spans="1:5" ht="30" customHeight="1" x14ac:dyDescent="0.2">
      <c r="A101" s="324" t="s">
        <v>790</v>
      </c>
      <c r="B101" s="337"/>
      <c r="C101" s="338" t="s">
        <v>846</v>
      </c>
      <c r="D101" s="341" t="s">
        <v>840</v>
      </c>
      <c r="E101" s="340">
        <v>0</v>
      </c>
    </row>
    <row r="102" spans="1:5" ht="30" customHeight="1" x14ac:dyDescent="0.2">
      <c r="A102" s="324" t="s">
        <v>797</v>
      </c>
      <c r="B102" s="337"/>
      <c r="C102" s="338" t="s">
        <v>846</v>
      </c>
      <c r="D102" s="341" t="s">
        <v>840</v>
      </c>
      <c r="E102" s="340">
        <v>0</v>
      </c>
    </row>
    <row r="103" spans="1:5" ht="30" customHeight="1" x14ac:dyDescent="0.2">
      <c r="A103" s="324" t="s">
        <v>804</v>
      </c>
      <c r="B103" s="337"/>
      <c r="C103" s="338" t="s">
        <v>846</v>
      </c>
      <c r="D103" s="341" t="s">
        <v>840</v>
      </c>
      <c r="E103" s="340">
        <v>0</v>
      </c>
    </row>
    <row r="104" spans="1:5" ht="30" customHeight="1" x14ac:dyDescent="0.2">
      <c r="A104" s="324" t="s">
        <v>811</v>
      </c>
      <c r="B104" s="337"/>
      <c r="C104" s="338" t="s">
        <v>846</v>
      </c>
      <c r="D104" s="341" t="s">
        <v>840</v>
      </c>
      <c r="E104" s="340">
        <v>0</v>
      </c>
    </row>
    <row r="105" spans="1:5" ht="30" customHeight="1" x14ac:dyDescent="0.2">
      <c r="A105" s="324" t="s">
        <v>818</v>
      </c>
      <c r="B105" s="337"/>
      <c r="C105" s="338" t="s">
        <v>846</v>
      </c>
      <c r="D105" s="341" t="s">
        <v>840</v>
      </c>
      <c r="E105" s="340">
        <v>0</v>
      </c>
    </row>
    <row r="106" spans="1:5" ht="30" customHeight="1" x14ac:dyDescent="0.2">
      <c r="A106" s="324" t="s">
        <v>697</v>
      </c>
      <c r="B106" s="337"/>
      <c r="C106" s="338">
        <v>0</v>
      </c>
      <c r="D106" s="341" t="s">
        <v>840</v>
      </c>
      <c r="E106" s="340">
        <v>0</v>
      </c>
    </row>
    <row r="107" spans="1:5" ht="30" customHeight="1" x14ac:dyDescent="0.2">
      <c r="A107" s="324" t="s">
        <v>698</v>
      </c>
      <c r="B107" s="337"/>
      <c r="C107" s="338">
        <v>0</v>
      </c>
      <c r="D107" s="341" t="s">
        <v>840</v>
      </c>
      <c r="E107" s="340">
        <v>0</v>
      </c>
    </row>
    <row r="108" spans="1:5" ht="30" customHeight="1" x14ac:dyDescent="0.2">
      <c r="A108" s="324" t="s">
        <v>699</v>
      </c>
      <c r="B108" s="337"/>
      <c r="C108" s="338">
        <v>0</v>
      </c>
      <c r="D108" s="341" t="s">
        <v>840</v>
      </c>
      <c r="E108" s="340">
        <v>0</v>
      </c>
    </row>
    <row r="109" spans="1:5" ht="30" customHeight="1" x14ac:dyDescent="0.2">
      <c r="A109" s="324" t="s">
        <v>700</v>
      </c>
      <c r="B109" s="337"/>
      <c r="C109" s="338">
        <v>0</v>
      </c>
      <c r="D109" s="341" t="s">
        <v>840</v>
      </c>
      <c r="E109" s="340">
        <v>0</v>
      </c>
    </row>
    <row r="110" spans="1:5" ht="30" customHeight="1" x14ac:dyDescent="0.2">
      <c r="A110" s="324" t="s">
        <v>701</v>
      </c>
      <c r="B110" s="337"/>
      <c r="C110" s="338">
        <v>0</v>
      </c>
      <c r="D110" s="339">
        <v>0</v>
      </c>
      <c r="E110" s="339">
        <v>0</v>
      </c>
    </row>
    <row r="111" spans="1:5" ht="30" customHeight="1" x14ac:dyDescent="0.2">
      <c r="A111" s="324" t="s">
        <v>702</v>
      </c>
      <c r="B111" s="337"/>
      <c r="C111" s="338">
        <v>0</v>
      </c>
      <c r="D111" s="340">
        <v>0</v>
      </c>
      <c r="E111" s="340">
        <v>0</v>
      </c>
    </row>
    <row r="112" spans="1:5" ht="30" customHeight="1" x14ac:dyDescent="0.2">
      <c r="A112" s="324" t="s">
        <v>703</v>
      </c>
      <c r="B112" s="337"/>
      <c r="C112" s="338">
        <v>0</v>
      </c>
      <c r="D112" s="341" t="s">
        <v>840</v>
      </c>
      <c r="E112" s="340">
        <v>0</v>
      </c>
    </row>
    <row r="113" spans="1:5" ht="30" customHeight="1" x14ac:dyDescent="0.2">
      <c r="A113" s="324" t="s">
        <v>704</v>
      </c>
      <c r="B113" s="337"/>
      <c r="C113" s="338">
        <v>0</v>
      </c>
      <c r="D113" s="341" t="s">
        <v>840</v>
      </c>
      <c r="E113" s="340">
        <v>0</v>
      </c>
    </row>
    <row r="114" spans="1:5" ht="30" customHeight="1" x14ac:dyDescent="0.2">
      <c r="A114" s="324" t="s">
        <v>705</v>
      </c>
      <c r="B114" s="337"/>
      <c r="C114" s="338">
        <v>0</v>
      </c>
      <c r="D114" s="341" t="s">
        <v>840</v>
      </c>
      <c r="E114" s="340">
        <v>0</v>
      </c>
    </row>
    <row r="115" spans="1:5" ht="30" customHeight="1" x14ac:dyDescent="0.2">
      <c r="A115" s="324" t="s">
        <v>706</v>
      </c>
      <c r="B115" s="337"/>
      <c r="C115" s="338">
        <v>0</v>
      </c>
      <c r="D115" s="341" t="s">
        <v>840</v>
      </c>
      <c r="E115" s="340">
        <v>0</v>
      </c>
    </row>
    <row r="116" spans="1:5" ht="30" customHeight="1" x14ac:dyDescent="0.2">
      <c r="A116" s="324" t="s">
        <v>707</v>
      </c>
      <c r="B116" s="337"/>
      <c r="C116" s="338">
        <v>0</v>
      </c>
      <c r="D116" s="341" t="s">
        <v>840</v>
      </c>
      <c r="E116" s="340">
        <v>0</v>
      </c>
    </row>
    <row r="117" spans="1:5" ht="30" customHeight="1" x14ac:dyDescent="0.2">
      <c r="A117" s="324" t="s">
        <v>708</v>
      </c>
      <c r="B117" s="337"/>
      <c r="C117" s="338">
        <v>0</v>
      </c>
      <c r="D117" s="341" t="s">
        <v>840</v>
      </c>
      <c r="E117" s="340">
        <v>0</v>
      </c>
    </row>
    <row r="118" spans="1:5" ht="30" customHeight="1" x14ac:dyDescent="0.2">
      <c r="A118" s="324" t="s">
        <v>709</v>
      </c>
      <c r="B118" s="337"/>
      <c r="C118" s="338">
        <v>0</v>
      </c>
      <c r="D118" s="341" t="s">
        <v>840</v>
      </c>
      <c r="E118" s="340">
        <v>0</v>
      </c>
    </row>
    <row r="119" spans="1:5" ht="30" customHeight="1" x14ac:dyDescent="0.2">
      <c r="A119" s="324" t="s">
        <v>710</v>
      </c>
      <c r="B119" s="337"/>
      <c r="C119" s="338">
        <v>0</v>
      </c>
      <c r="D119" s="341" t="s">
        <v>840</v>
      </c>
      <c r="E119" s="340">
        <v>0</v>
      </c>
    </row>
    <row r="120" spans="1:5" ht="30" customHeight="1" x14ac:dyDescent="0.2">
      <c r="A120" s="324" t="s">
        <v>711</v>
      </c>
      <c r="B120" s="337"/>
      <c r="C120" s="338">
        <v>0</v>
      </c>
      <c r="D120" s="341" t="s">
        <v>840</v>
      </c>
      <c r="E120" s="340">
        <v>0</v>
      </c>
    </row>
    <row r="121" spans="1:5" ht="30" customHeight="1" x14ac:dyDescent="0.2">
      <c r="A121" s="324" t="s">
        <v>784</v>
      </c>
      <c r="B121" s="337"/>
      <c r="C121" s="338" t="s">
        <v>845</v>
      </c>
      <c r="D121" s="341" t="s">
        <v>840</v>
      </c>
      <c r="E121" s="340">
        <v>0</v>
      </c>
    </row>
    <row r="122" spans="1:5" ht="30" customHeight="1" x14ac:dyDescent="0.2">
      <c r="A122" s="324" t="s">
        <v>791</v>
      </c>
      <c r="B122" s="337"/>
      <c r="C122" s="338" t="s">
        <v>846</v>
      </c>
      <c r="D122" s="341" t="s">
        <v>840</v>
      </c>
      <c r="E122" s="340">
        <v>0</v>
      </c>
    </row>
    <row r="123" spans="1:5" ht="30" customHeight="1" x14ac:dyDescent="0.2">
      <c r="A123" s="324" t="s">
        <v>798</v>
      </c>
      <c r="B123" s="337"/>
      <c r="C123" s="338" t="s">
        <v>846</v>
      </c>
      <c r="D123" s="341" t="s">
        <v>840</v>
      </c>
      <c r="E123" s="340">
        <v>0</v>
      </c>
    </row>
    <row r="124" spans="1:5" ht="30" customHeight="1" x14ac:dyDescent="0.2">
      <c r="A124" s="324" t="s">
        <v>805</v>
      </c>
      <c r="B124" s="337"/>
      <c r="C124" s="338" t="s">
        <v>846</v>
      </c>
      <c r="D124" s="341" t="s">
        <v>840</v>
      </c>
      <c r="E124" s="340">
        <v>0</v>
      </c>
    </row>
    <row r="125" spans="1:5" ht="30" customHeight="1" x14ac:dyDescent="0.2">
      <c r="A125" s="324" t="s">
        <v>812</v>
      </c>
      <c r="B125" s="337"/>
      <c r="C125" s="338" t="s">
        <v>846</v>
      </c>
      <c r="D125" s="341" t="s">
        <v>840</v>
      </c>
      <c r="E125" s="340">
        <v>0</v>
      </c>
    </row>
    <row r="126" spans="1:5" ht="30" customHeight="1" x14ac:dyDescent="0.2">
      <c r="A126" s="324" t="s">
        <v>819</v>
      </c>
      <c r="B126" s="337"/>
      <c r="C126" s="338" t="s">
        <v>846</v>
      </c>
      <c r="D126" s="341" t="s">
        <v>840</v>
      </c>
      <c r="E126" s="340">
        <v>0</v>
      </c>
    </row>
    <row r="127" spans="1:5" ht="30" customHeight="1" x14ac:dyDescent="0.2">
      <c r="A127" s="324" t="s">
        <v>713</v>
      </c>
      <c r="B127" s="337"/>
      <c r="C127" s="338">
        <v>0</v>
      </c>
      <c r="D127" s="341" t="s">
        <v>840</v>
      </c>
      <c r="E127" s="340">
        <v>0</v>
      </c>
    </row>
    <row r="128" spans="1:5" ht="30" customHeight="1" x14ac:dyDescent="0.2">
      <c r="A128" s="324" t="s">
        <v>714</v>
      </c>
      <c r="B128" s="337"/>
      <c r="C128" s="338">
        <v>0</v>
      </c>
      <c r="D128" s="341" t="s">
        <v>840</v>
      </c>
      <c r="E128" s="340">
        <v>0</v>
      </c>
    </row>
    <row r="129" spans="1:5" ht="30" customHeight="1" x14ac:dyDescent="0.2">
      <c r="A129" s="324" t="s">
        <v>715</v>
      </c>
      <c r="B129" s="337"/>
      <c r="C129" s="338">
        <v>0</v>
      </c>
      <c r="D129" s="341" t="s">
        <v>840</v>
      </c>
      <c r="E129" s="340">
        <v>0</v>
      </c>
    </row>
    <row r="130" spans="1:5" ht="30" customHeight="1" x14ac:dyDescent="0.2">
      <c r="A130" s="324" t="s">
        <v>716</v>
      </c>
      <c r="B130" s="337"/>
      <c r="C130" s="338">
        <v>0</v>
      </c>
      <c r="D130" s="341" t="s">
        <v>840</v>
      </c>
      <c r="E130" s="340">
        <v>0</v>
      </c>
    </row>
    <row r="131" spans="1:5" ht="30" customHeight="1" x14ac:dyDescent="0.2">
      <c r="A131" s="324" t="s">
        <v>717</v>
      </c>
      <c r="B131" s="337"/>
      <c r="C131" s="338">
        <v>0</v>
      </c>
      <c r="D131" s="341" t="s">
        <v>840</v>
      </c>
      <c r="E131" s="340">
        <v>0</v>
      </c>
    </row>
    <row r="132" spans="1:5" ht="30" customHeight="1" x14ac:dyDescent="0.2">
      <c r="A132" s="324" t="s">
        <v>718</v>
      </c>
      <c r="B132" s="337"/>
      <c r="C132" s="338">
        <v>0</v>
      </c>
      <c r="D132" s="341" t="s">
        <v>840</v>
      </c>
      <c r="E132" s="340">
        <v>0</v>
      </c>
    </row>
    <row r="133" spans="1:5" ht="30" customHeight="1" x14ac:dyDescent="0.2">
      <c r="A133" s="324" t="s">
        <v>719</v>
      </c>
      <c r="B133" s="337"/>
      <c r="C133" s="338">
        <v>0</v>
      </c>
      <c r="D133" s="341" t="s">
        <v>840</v>
      </c>
      <c r="E133" s="340">
        <v>0</v>
      </c>
    </row>
    <row r="134" spans="1:5" ht="30" customHeight="1" x14ac:dyDescent="0.2">
      <c r="A134" s="324" t="s">
        <v>720</v>
      </c>
      <c r="B134" s="337"/>
      <c r="C134" s="338">
        <v>0</v>
      </c>
      <c r="D134" s="341" t="s">
        <v>840</v>
      </c>
      <c r="E134" s="340">
        <v>0</v>
      </c>
    </row>
    <row r="135" spans="1:5" ht="30" customHeight="1" x14ac:dyDescent="0.2">
      <c r="A135" s="324" t="s">
        <v>721</v>
      </c>
      <c r="B135" s="337"/>
      <c r="C135" s="338">
        <v>0</v>
      </c>
      <c r="D135" s="341" t="s">
        <v>840</v>
      </c>
      <c r="E135" s="340">
        <v>0</v>
      </c>
    </row>
    <row r="136" spans="1:5" ht="30" customHeight="1" x14ac:dyDescent="0.2">
      <c r="A136" s="324" t="s">
        <v>722</v>
      </c>
      <c r="B136" s="337"/>
      <c r="C136" s="338">
        <v>0</v>
      </c>
      <c r="D136" s="341" t="s">
        <v>840</v>
      </c>
      <c r="E136" s="340">
        <v>0</v>
      </c>
    </row>
    <row r="137" spans="1:5" ht="30" customHeight="1" x14ac:dyDescent="0.2">
      <c r="A137" s="324" t="s">
        <v>723</v>
      </c>
      <c r="B137" s="337"/>
      <c r="C137" s="338">
        <v>0</v>
      </c>
      <c r="D137" s="341" t="s">
        <v>840</v>
      </c>
      <c r="E137" s="340">
        <v>0</v>
      </c>
    </row>
    <row r="138" spans="1:5" ht="30" customHeight="1" x14ac:dyDescent="0.2">
      <c r="A138" s="324" t="s">
        <v>724</v>
      </c>
      <c r="B138" s="337"/>
      <c r="C138" s="338">
        <v>0</v>
      </c>
      <c r="D138" s="341" t="s">
        <v>840</v>
      </c>
      <c r="E138" s="340">
        <v>0</v>
      </c>
    </row>
    <row r="139" spans="1:5" ht="30" customHeight="1" x14ac:dyDescent="0.2">
      <c r="A139" s="324" t="s">
        <v>725</v>
      </c>
      <c r="B139" s="337"/>
      <c r="C139" s="338">
        <v>0</v>
      </c>
      <c r="D139" s="339">
        <v>0</v>
      </c>
      <c r="E139" s="339">
        <v>0</v>
      </c>
    </row>
    <row r="140" spans="1:5" ht="30" customHeight="1" x14ac:dyDescent="0.2">
      <c r="A140" s="324" t="s">
        <v>726</v>
      </c>
      <c r="B140" s="337"/>
      <c r="C140" s="338">
        <v>0</v>
      </c>
      <c r="D140" s="340">
        <v>0</v>
      </c>
      <c r="E140" s="340">
        <v>0</v>
      </c>
    </row>
    <row r="141" spans="1:5" ht="30" customHeight="1" x14ac:dyDescent="0.2">
      <c r="A141" s="324" t="s">
        <v>727</v>
      </c>
      <c r="B141" s="337"/>
      <c r="C141" s="338">
        <v>0</v>
      </c>
      <c r="D141" s="341" t="s">
        <v>840</v>
      </c>
      <c r="E141" s="340">
        <v>0</v>
      </c>
    </row>
    <row r="142" spans="1:5" ht="30" customHeight="1" x14ac:dyDescent="0.2">
      <c r="A142" s="324" t="s">
        <v>785</v>
      </c>
      <c r="B142" s="337"/>
      <c r="C142" s="338" t="s">
        <v>845</v>
      </c>
      <c r="D142" s="341" t="s">
        <v>840</v>
      </c>
      <c r="E142" s="340">
        <v>0</v>
      </c>
    </row>
    <row r="143" spans="1:5" ht="30" customHeight="1" x14ac:dyDescent="0.2">
      <c r="A143" s="324" t="s">
        <v>792</v>
      </c>
      <c r="B143" s="337"/>
      <c r="C143" s="338" t="s">
        <v>846</v>
      </c>
      <c r="D143" s="341" t="s">
        <v>840</v>
      </c>
      <c r="E143" s="340">
        <v>0</v>
      </c>
    </row>
    <row r="144" spans="1:5" ht="30" customHeight="1" x14ac:dyDescent="0.2">
      <c r="A144" s="324" t="s">
        <v>799</v>
      </c>
      <c r="B144" s="337"/>
      <c r="C144" s="338" t="s">
        <v>846</v>
      </c>
      <c r="D144" s="341" t="s">
        <v>840</v>
      </c>
      <c r="E144" s="340">
        <v>0</v>
      </c>
    </row>
    <row r="145" spans="1:5" ht="30" customHeight="1" x14ac:dyDescent="0.2">
      <c r="A145" s="324" t="s">
        <v>806</v>
      </c>
      <c r="B145" s="337"/>
      <c r="C145" s="338" t="s">
        <v>846</v>
      </c>
      <c r="D145" s="341" t="s">
        <v>840</v>
      </c>
      <c r="E145" s="340">
        <v>0</v>
      </c>
    </row>
    <row r="146" spans="1:5" ht="30" customHeight="1" x14ac:dyDescent="0.2">
      <c r="A146" s="324" t="s">
        <v>813</v>
      </c>
      <c r="B146" s="337"/>
      <c r="C146" s="338" t="s">
        <v>846</v>
      </c>
      <c r="D146" s="341" t="s">
        <v>840</v>
      </c>
      <c r="E146" s="340">
        <v>0</v>
      </c>
    </row>
    <row r="147" spans="1:5" ht="30" customHeight="1" x14ac:dyDescent="0.2">
      <c r="A147" s="324" t="s">
        <v>820</v>
      </c>
      <c r="B147" s="337"/>
      <c r="C147" s="338" t="s">
        <v>846</v>
      </c>
      <c r="D147" s="341" t="s">
        <v>840</v>
      </c>
      <c r="E147" s="340">
        <v>0</v>
      </c>
    </row>
    <row r="148" spans="1:5" ht="30" customHeight="1" x14ac:dyDescent="0.2">
      <c r="A148" s="324" t="s">
        <v>729</v>
      </c>
      <c r="B148" s="337"/>
      <c r="C148" s="338">
        <v>0</v>
      </c>
      <c r="D148" s="341" t="s">
        <v>840</v>
      </c>
      <c r="E148" s="340">
        <v>0</v>
      </c>
    </row>
    <row r="149" spans="1:5" ht="30" customHeight="1" x14ac:dyDescent="0.2">
      <c r="A149" s="324" t="s">
        <v>730</v>
      </c>
      <c r="B149" s="337"/>
      <c r="C149" s="338">
        <v>0</v>
      </c>
      <c r="D149" s="341" t="s">
        <v>840</v>
      </c>
      <c r="E149" s="340">
        <v>0</v>
      </c>
    </row>
    <row r="150" spans="1:5" ht="30" customHeight="1" x14ac:dyDescent="0.2">
      <c r="A150" s="324" t="s">
        <v>731</v>
      </c>
      <c r="B150" s="337"/>
      <c r="C150" s="338">
        <v>0</v>
      </c>
      <c r="D150" s="341" t="s">
        <v>840</v>
      </c>
      <c r="E150" s="340">
        <v>0</v>
      </c>
    </row>
    <row r="151" spans="1:5" ht="30" customHeight="1" x14ac:dyDescent="0.2">
      <c r="A151" s="324" t="s">
        <v>732</v>
      </c>
      <c r="B151" s="337"/>
      <c r="C151" s="338">
        <v>0</v>
      </c>
      <c r="D151" s="341" t="s">
        <v>840</v>
      </c>
      <c r="E151" s="340">
        <v>0</v>
      </c>
    </row>
    <row r="152" spans="1:5" ht="30" customHeight="1" x14ac:dyDescent="0.2">
      <c r="A152" s="324" t="s">
        <v>733</v>
      </c>
      <c r="B152" s="337"/>
      <c r="C152" s="338">
        <v>0</v>
      </c>
      <c r="D152" s="341" t="s">
        <v>840</v>
      </c>
      <c r="E152" s="340">
        <v>0</v>
      </c>
    </row>
    <row r="153" spans="1:5" ht="30" customHeight="1" x14ac:dyDescent="0.2">
      <c r="A153" s="324" t="s">
        <v>734</v>
      </c>
      <c r="B153" s="337"/>
      <c r="C153" s="338">
        <v>0</v>
      </c>
      <c r="D153" s="341" t="s">
        <v>840</v>
      </c>
      <c r="E153" s="340">
        <v>0</v>
      </c>
    </row>
    <row r="154" spans="1:5" ht="30" customHeight="1" x14ac:dyDescent="0.2">
      <c r="A154" s="324" t="s">
        <v>735</v>
      </c>
      <c r="B154" s="337"/>
      <c r="C154" s="338">
        <v>0</v>
      </c>
      <c r="D154" s="341" t="s">
        <v>840</v>
      </c>
      <c r="E154" s="340">
        <v>0</v>
      </c>
    </row>
    <row r="155" spans="1:5" ht="30" customHeight="1" x14ac:dyDescent="0.2">
      <c r="A155" s="324" t="s">
        <v>736</v>
      </c>
      <c r="B155" s="337"/>
      <c r="C155" s="338">
        <v>0</v>
      </c>
      <c r="D155" s="341" t="s">
        <v>840</v>
      </c>
      <c r="E155" s="340">
        <v>0</v>
      </c>
    </row>
    <row r="156" spans="1:5" ht="30" customHeight="1" x14ac:dyDescent="0.2">
      <c r="A156" s="324" t="s">
        <v>737</v>
      </c>
      <c r="B156" s="337"/>
      <c r="C156" s="338">
        <v>0</v>
      </c>
      <c r="D156" s="341" t="s">
        <v>840</v>
      </c>
      <c r="E156" s="340">
        <v>0</v>
      </c>
    </row>
    <row r="157" spans="1:5" ht="30" customHeight="1" x14ac:dyDescent="0.2">
      <c r="A157" s="324" t="s">
        <v>738</v>
      </c>
      <c r="B157" s="337"/>
      <c r="C157" s="338">
        <v>0</v>
      </c>
      <c r="D157" s="341" t="s">
        <v>840</v>
      </c>
      <c r="E157" s="340">
        <v>0</v>
      </c>
    </row>
    <row r="158" spans="1:5" ht="30" customHeight="1" x14ac:dyDescent="0.2">
      <c r="A158" s="324" t="s">
        <v>739</v>
      </c>
      <c r="B158" s="337"/>
      <c r="C158" s="338">
        <v>0</v>
      </c>
      <c r="D158" s="341" t="s">
        <v>840</v>
      </c>
      <c r="E158" s="340">
        <v>0</v>
      </c>
    </row>
    <row r="159" spans="1:5" ht="30" customHeight="1" x14ac:dyDescent="0.2">
      <c r="A159" s="324" t="s">
        <v>740</v>
      </c>
      <c r="B159" s="337"/>
      <c r="C159" s="338">
        <v>0</v>
      </c>
      <c r="D159" s="341" t="s">
        <v>840</v>
      </c>
      <c r="E159" s="340">
        <v>0</v>
      </c>
    </row>
    <row r="160" spans="1:5" ht="30" customHeight="1" x14ac:dyDescent="0.2">
      <c r="A160" s="324" t="s">
        <v>741</v>
      </c>
      <c r="B160" s="337"/>
      <c r="C160" s="338">
        <v>0</v>
      </c>
      <c r="D160" s="341" t="s">
        <v>840</v>
      </c>
      <c r="E160" s="340">
        <v>0</v>
      </c>
    </row>
    <row r="161" spans="1:5" ht="30" customHeight="1" x14ac:dyDescent="0.2">
      <c r="A161" s="324" t="s">
        <v>742</v>
      </c>
      <c r="B161" s="337"/>
      <c r="C161" s="338">
        <v>0</v>
      </c>
      <c r="D161" s="341" t="s">
        <v>840</v>
      </c>
      <c r="E161" s="340">
        <v>0</v>
      </c>
    </row>
    <row r="162" spans="1:5" ht="30" customHeight="1" x14ac:dyDescent="0.2">
      <c r="A162" s="324" t="s">
        <v>743</v>
      </c>
      <c r="B162" s="337" t="s">
        <v>840</v>
      </c>
      <c r="C162" s="338">
        <v>0</v>
      </c>
      <c r="D162" s="341" t="s">
        <v>840</v>
      </c>
      <c r="E162" s="340">
        <v>0</v>
      </c>
    </row>
    <row r="163" spans="1:5" x14ac:dyDescent="0.2">
      <c r="A163" s="1" t="s">
        <v>821</v>
      </c>
    </row>
    <row r="164" spans="1:5" x14ac:dyDescent="0.2">
      <c r="A164" s="1" t="s">
        <v>822</v>
      </c>
    </row>
  </sheetData>
  <mergeCells count="2">
    <mergeCell ref="B1:C1"/>
    <mergeCell ref="A2:E2"/>
  </mergeCells>
  <hyperlinks>
    <hyperlink ref="A1" location="Overview!A1" display="Back to Overview" xr:uid="{CA5F8EFD-F584-490B-A986-91D7301872C9}"/>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607A-B0CA-4748-A2FC-76FFDD6090E7}">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NPG Northeast Area (GSP Group_F)"</f>
        <v>Leep Electricity Networks Limited - Effective from 1 April 2026 - Final Supplier of Last Resort and Eligible Bad Debt Pass-Through Costs in NPG Northeast Area (GSP Group_F)</v>
      </c>
      <c r="B2" s="521"/>
      <c r="C2" s="521"/>
      <c r="D2" s="521"/>
      <c r="E2" s="522"/>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845</v>
      </c>
      <c r="D5" s="330">
        <v>0</v>
      </c>
      <c r="E5" s="330" t="s">
        <v>840</v>
      </c>
    </row>
    <row r="6" spans="1:6" ht="27" customHeight="1" x14ac:dyDescent="0.2">
      <c r="A6" s="10" t="s">
        <v>774</v>
      </c>
      <c r="B6" s="28"/>
      <c r="C6" s="313" t="s">
        <v>846</v>
      </c>
      <c r="D6" s="331">
        <v>0</v>
      </c>
      <c r="E6" s="330" t="s">
        <v>840</v>
      </c>
    </row>
    <row r="7" spans="1:6" ht="27" customHeight="1" x14ac:dyDescent="0.2">
      <c r="A7" s="10" t="s">
        <v>775</v>
      </c>
      <c r="B7" s="28"/>
      <c r="C7" s="313" t="s">
        <v>846</v>
      </c>
      <c r="D7" s="331">
        <v>0</v>
      </c>
      <c r="E7" s="330" t="s">
        <v>840</v>
      </c>
    </row>
    <row r="8" spans="1:6" ht="27" customHeight="1" x14ac:dyDescent="0.2">
      <c r="A8" s="10" t="s">
        <v>776</v>
      </c>
      <c r="B8" s="28"/>
      <c r="C8" s="313" t="s">
        <v>846</v>
      </c>
      <c r="D8" s="331">
        <v>0</v>
      </c>
      <c r="E8" s="330" t="s">
        <v>840</v>
      </c>
    </row>
    <row r="9" spans="1:6" ht="27" customHeight="1" x14ac:dyDescent="0.2">
      <c r="A9" s="10" t="s">
        <v>777</v>
      </c>
      <c r="B9" s="28"/>
      <c r="C9" s="313" t="s">
        <v>846</v>
      </c>
      <c r="D9" s="331">
        <v>0</v>
      </c>
      <c r="E9" s="330" t="s">
        <v>840</v>
      </c>
    </row>
    <row r="10" spans="1:6" ht="27" customHeight="1" x14ac:dyDescent="0.2">
      <c r="A10" s="10" t="s">
        <v>778</v>
      </c>
      <c r="B10" s="28"/>
      <c r="C10" s="313" t="s">
        <v>846</v>
      </c>
      <c r="D10" s="331">
        <v>0</v>
      </c>
      <c r="E10" s="330" t="s">
        <v>840</v>
      </c>
    </row>
    <row r="11" spans="1:6" ht="27" customHeight="1" x14ac:dyDescent="0.2">
      <c r="A11" s="324" t="s">
        <v>595</v>
      </c>
      <c r="B11" s="28"/>
      <c r="C11" s="313">
        <v>0</v>
      </c>
      <c r="D11" s="331">
        <v>0</v>
      </c>
      <c r="E11" s="330" t="s">
        <v>840</v>
      </c>
    </row>
    <row r="12" spans="1:6" ht="27" customHeight="1" x14ac:dyDescent="0.2">
      <c r="A12" s="324" t="s">
        <v>596</v>
      </c>
      <c r="B12" s="28"/>
      <c r="C12" s="313">
        <v>0</v>
      </c>
      <c r="D12" s="331">
        <v>0</v>
      </c>
      <c r="E12" s="330" t="s">
        <v>840</v>
      </c>
    </row>
    <row r="13" spans="1:6" ht="27.75" customHeight="1" x14ac:dyDescent="0.2">
      <c r="A13" s="324" t="s">
        <v>597</v>
      </c>
      <c r="B13" s="28"/>
      <c r="C13" s="313">
        <v>0</v>
      </c>
      <c r="D13" s="331">
        <v>0</v>
      </c>
      <c r="E13" s="330" t="s">
        <v>840</v>
      </c>
    </row>
    <row r="14" spans="1:6" ht="27.75" customHeight="1" x14ac:dyDescent="0.2">
      <c r="A14" s="324" t="s">
        <v>598</v>
      </c>
      <c r="B14" s="28"/>
      <c r="C14" s="313">
        <v>0</v>
      </c>
      <c r="D14" s="331">
        <v>0</v>
      </c>
      <c r="E14" s="330" t="s">
        <v>840</v>
      </c>
    </row>
    <row r="15" spans="1:6" ht="27.75" customHeight="1" x14ac:dyDescent="0.2">
      <c r="A15" s="325" t="s">
        <v>599</v>
      </c>
      <c r="B15" s="28"/>
      <c r="C15" s="313">
        <v>0</v>
      </c>
      <c r="D15" s="331">
        <v>0</v>
      </c>
      <c r="E15" s="330" t="s">
        <v>840</v>
      </c>
    </row>
    <row r="16" spans="1:6" ht="27.75" customHeight="1" x14ac:dyDescent="0.2">
      <c r="A16" s="325" t="s">
        <v>600</v>
      </c>
      <c r="B16" s="28"/>
      <c r="C16" s="313">
        <v>0</v>
      </c>
      <c r="D16" s="331">
        <v>0</v>
      </c>
      <c r="E16" s="330" t="s">
        <v>840</v>
      </c>
    </row>
    <row r="17" spans="1:5" ht="27.75" customHeight="1" x14ac:dyDescent="0.2">
      <c r="A17" s="325" t="s">
        <v>601</v>
      </c>
      <c r="B17" s="28"/>
      <c r="C17" s="313">
        <v>0</v>
      </c>
      <c r="D17" s="331">
        <v>0</v>
      </c>
      <c r="E17" s="330" t="s">
        <v>840</v>
      </c>
    </row>
    <row r="18" spans="1:5" ht="27.75" customHeight="1" x14ac:dyDescent="0.2">
      <c r="A18" s="325" t="s">
        <v>602</v>
      </c>
      <c r="B18" s="28"/>
      <c r="C18" s="313">
        <v>0</v>
      </c>
      <c r="D18" s="331">
        <v>0</v>
      </c>
      <c r="E18" s="330" t="s">
        <v>840</v>
      </c>
    </row>
    <row r="19" spans="1:5" ht="27.75" customHeight="1" x14ac:dyDescent="0.2">
      <c r="A19" s="325" t="s">
        <v>603</v>
      </c>
      <c r="B19" s="28"/>
      <c r="C19" s="313">
        <v>0</v>
      </c>
      <c r="D19" s="331">
        <v>0</v>
      </c>
      <c r="E19" s="330" t="s">
        <v>840</v>
      </c>
    </row>
    <row r="20" spans="1:5" ht="27.75" customHeight="1" x14ac:dyDescent="0.2">
      <c r="A20" s="325" t="s">
        <v>604</v>
      </c>
      <c r="B20" s="28"/>
      <c r="C20" s="313">
        <v>0</v>
      </c>
      <c r="D20" s="331">
        <v>0</v>
      </c>
      <c r="E20" s="330" t="s">
        <v>840</v>
      </c>
    </row>
    <row r="21" spans="1:5" ht="27.75" customHeight="1" x14ac:dyDescent="0.2">
      <c r="A21" s="325" t="s">
        <v>605</v>
      </c>
      <c r="B21" s="28"/>
      <c r="C21" s="313">
        <v>0</v>
      </c>
      <c r="D21" s="331">
        <v>0</v>
      </c>
      <c r="E21" s="330" t="s">
        <v>840</v>
      </c>
    </row>
    <row r="22" spans="1:5" ht="27.75" customHeight="1" x14ac:dyDescent="0.2">
      <c r="A22" s="325" t="s">
        <v>606</v>
      </c>
      <c r="B22" s="28"/>
      <c r="C22" s="313">
        <v>0</v>
      </c>
      <c r="D22" s="331">
        <v>0</v>
      </c>
      <c r="E22" s="330" t="s">
        <v>840</v>
      </c>
    </row>
    <row r="23" spans="1:5" ht="27.75" customHeight="1" x14ac:dyDescent="0.2">
      <c r="A23" s="324" t="s">
        <v>607</v>
      </c>
      <c r="B23" s="28"/>
      <c r="C23" s="313">
        <v>0</v>
      </c>
      <c r="D23" s="331">
        <v>0</v>
      </c>
      <c r="E23" s="330" t="s">
        <v>840</v>
      </c>
    </row>
    <row r="24" spans="1:5" ht="27.75" customHeight="1" x14ac:dyDescent="0.2">
      <c r="A24" s="324" t="s">
        <v>608</v>
      </c>
      <c r="B24" s="28"/>
      <c r="C24" s="313">
        <v>0</v>
      </c>
      <c r="D24" s="331">
        <v>0</v>
      </c>
      <c r="E24" s="330" t="s">
        <v>840</v>
      </c>
    </row>
    <row r="25" spans="1:5" ht="27.75" customHeight="1" x14ac:dyDescent="0.2">
      <c r="A25" s="324" t="s">
        <v>609</v>
      </c>
      <c r="B25" s="28"/>
      <c r="C25" s="313">
        <v>0</v>
      </c>
      <c r="D25" s="330">
        <v>0</v>
      </c>
      <c r="E25" s="330" t="s">
        <v>840</v>
      </c>
    </row>
    <row r="26" spans="1:5" ht="27.75" customHeight="1" x14ac:dyDescent="0.2">
      <c r="A26" s="324" t="s">
        <v>779</v>
      </c>
      <c r="B26" s="28" t="s">
        <v>1528</v>
      </c>
      <c r="C26" s="313" t="s">
        <v>845</v>
      </c>
      <c r="D26" s="331">
        <v>0</v>
      </c>
      <c r="E26" s="330" t="s">
        <v>840</v>
      </c>
    </row>
    <row r="27" spans="1:5" ht="27.75" customHeight="1" x14ac:dyDescent="0.2">
      <c r="A27" s="324" t="s">
        <v>786</v>
      </c>
      <c r="B27" s="28" t="s">
        <v>1529</v>
      </c>
      <c r="C27" s="313" t="s">
        <v>846</v>
      </c>
      <c r="D27" s="331">
        <v>0</v>
      </c>
      <c r="E27" s="330" t="s">
        <v>840</v>
      </c>
    </row>
    <row r="28" spans="1:5" ht="27.75" customHeight="1" x14ac:dyDescent="0.2">
      <c r="A28" s="324" t="s">
        <v>793</v>
      </c>
      <c r="B28" s="28" t="s">
        <v>1530</v>
      </c>
      <c r="C28" s="313" t="s">
        <v>846</v>
      </c>
      <c r="D28" s="331">
        <v>0</v>
      </c>
      <c r="E28" s="330" t="s">
        <v>840</v>
      </c>
    </row>
    <row r="29" spans="1:5" ht="27.75" customHeight="1" x14ac:dyDescent="0.2">
      <c r="A29" s="324" t="s">
        <v>800</v>
      </c>
      <c r="B29" s="28" t="s">
        <v>1531</v>
      </c>
      <c r="C29" s="313" t="s">
        <v>846</v>
      </c>
      <c r="D29" s="331">
        <v>0</v>
      </c>
      <c r="E29" s="330" t="s">
        <v>840</v>
      </c>
    </row>
    <row r="30" spans="1:5" ht="27.75" customHeight="1" x14ac:dyDescent="0.2">
      <c r="A30" s="324" t="s">
        <v>807</v>
      </c>
      <c r="B30" s="28" t="s">
        <v>1532</v>
      </c>
      <c r="C30" s="313" t="s">
        <v>846</v>
      </c>
      <c r="D30" s="331">
        <v>0</v>
      </c>
      <c r="E30" s="330" t="s">
        <v>840</v>
      </c>
    </row>
    <row r="31" spans="1:5" ht="27.75" customHeight="1" x14ac:dyDescent="0.2">
      <c r="A31" s="324" t="s">
        <v>814</v>
      </c>
      <c r="B31" s="28" t="s">
        <v>1533</v>
      </c>
      <c r="C31" s="313" t="s">
        <v>846</v>
      </c>
      <c r="D31" s="331">
        <v>0</v>
      </c>
      <c r="E31" s="330" t="s">
        <v>840</v>
      </c>
    </row>
    <row r="32" spans="1:5" ht="27.75" customHeight="1" x14ac:dyDescent="0.2">
      <c r="A32" s="324" t="s">
        <v>643</v>
      </c>
      <c r="B32" s="28" t="s">
        <v>840</v>
      </c>
      <c r="C32" s="313">
        <v>0</v>
      </c>
      <c r="D32" s="331">
        <v>0</v>
      </c>
      <c r="E32" s="330" t="s">
        <v>840</v>
      </c>
    </row>
    <row r="33" spans="1:5" ht="27.75" customHeight="1" x14ac:dyDescent="0.2">
      <c r="A33" s="324" t="s">
        <v>644</v>
      </c>
      <c r="B33" s="28" t="s">
        <v>1534</v>
      </c>
      <c r="C33" s="313">
        <v>0</v>
      </c>
      <c r="D33" s="331">
        <v>0</v>
      </c>
      <c r="E33" s="330" t="s">
        <v>840</v>
      </c>
    </row>
    <row r="34" spans="1:5" ht="27.75" customHeight="1" x14ac:dyDescent="0.2">
      <c r="A34" s="324" t="s">
        <v>645</v>
      </c>
      <c r="B34" s="28" t="s">
        <v>1535</v>
      </c>
      <c r="C34" s="313">
        <v>0</v>
      </c>
      <c r="D34" s="331">
        <v>0</v>
      </c>
      <c r="E34" s="330" t="s">
        <v>840</v>
      </c>
    </row>
    <row r="35" spans="1:5" ht="27.75" customHeight="1" x14ac:dyDescent="0.2">
      <c r="A35" s="324" t="s">
        <v>646</v>
      </c>
      <c r="B35" s="28" t="s">
        <v>1536</v>
      </c>
      <c r="C35" s="313">
        <v>0</v>
      </c>
      <c r="D35" s="331">
        <v>0</v>
      </c>
      <c r="E35" s="330" t="s">
        <v>840</v>
      </c>
    </row>
    <row r="36" spans="1:5" ht="27.75" customHeight="1" x14ac:dyDescent="0.2">
      <c r="A36" s="324" t="s">
        <v>647</v>
      </c>
      <c r="B36" s="28" t="s">
        <v>1537</v>
      </c>
      <c r="C36" s="313">
        <v>0</v>
      </c>
      <c r="D36" s="330">
        <v>0</v>
      </c>
      <c r="E36" s="330" t="s">
        <v>840</v>
      </c>
    </row>
    <row r="37" spans="1:5" ht="27.75" customHeight="1" x14ac:dyDescent="0.2">
      <c r="A37" s="325" t="s">
        <v>780</v>
      </c>
      <c r="B37" s="28" t="e">
        <v>#N/A</v>
      </c>
      <c r="C37" s="313" t="s">
        <v>845</v>
      </c>
      <c r="D37" s="331">
        <v>0</v>
      </c>
      <c r="E37" s="330" t="s">
        <v>840</v>
      </c>
    </row>
    <row r="38" spans="1:5" ht="27.75" customHeight="1" x14ac:dyDescent="0.2">
      <c r="A38" s="324" t="s">
        <v>787</v>
      </c>
      <c r="B38" s="28" t="s">
        <v>1538</v>
      </c>
      <c r="C38" s="313" t="s">
        <v>846</v>
      </c>
      <c r="D38" s="331">
        <v>0</v>
      </c>
      <c r="E38" s="330" t="s">
        <v>840</v>
      </c>
    </row>
    <row r="39" spans="1:5" ht="27.75" customHeight="1" x14ac:dyDescent="0.2">
      <c r="A39" s="324" t="s">
        <v>794</v>
      </c>
      <c r="B39" s="28" t="s">
        <v>1539</v>
      </c>
      <c r="C39" s="313" t="s">
        <v>846</v>
      </c>
      <c r="D39" s="331">
        <v>0</v>
      </c>
      <c r="E39" s="330" t="s">
        <v>840</v>
      </c>
    </row>
    <row r="40" spans="1:5" ht="27.75" customHeight="1" x14ac:dyDescent="0.2">
      <c r="A40" s="324" t="s">
        <v>801</v>
      </c>
      <c r="B40" s="28" t="s">
        <v>1540</v>
      </c>
      <c r="C40" s="313" t="s">
        <v>846</v>
      </c>
      <c r="D40" s="331">
        <v>0</v>
      </c>
      <c r="E40" s="330" t="s">
        <v>840</v>
      </c>
    </row>
    <row r="41" spans="1:5" ht="27.75" customHeight="1" x14ac:dyDescent="0.2">
      <c r="A41" s="324" t="s">
        <v>808</v>
      </c>
      <c r="B41" s="28" t="s">
        <v>1541</v>
      </c>
      <c r="C41" s="313" t="s">
        <v>846</v>
      </c>
      <c r="D41" s="331">
        <v>0</v>
      </c>
      <c r="E41" s="330" t="s">
        <v>840</v>
      </c>
    </row>
    <row r="42" spans="1:5" ht="27.75" customHeight="1" x14ac:dyDescent="0.2">
      <c r="A42" s="324" t="s">
        <v>815</v>
      </c>
      <c r="B42" s="28" t="s">
        <v>1542</v>
      </c>
      <c r="C42" s="313" t="s">
        <v>846</v>
      </c>
      <c r="D42" s="331">
        <v>0</v>
      </c>
      <c r="E42" s="330" t="s">
        <v>840</v>
      </c>
    </row>
    <row r="43" spans="1:5" ht="27.75" customHeight="1" x14ac:dyDescent="0.2">
      <c r="A43" s="324" t="s">
        <v>649</v>
      </c>
      <c r="B43" s="28" t="s">
        <v>840</v>
      </c>
      <c r="C43" s="313">
        <v>0</v>
      </c>
      <c r="D43" s="331">
        <v>0</v>
      </c>
      <c r="E43" s="330" t="s">
        <v>840</v>
      </c>
    </row>
    <row r="44" spans="1:5" ht="27.75" customHeight="1" x14ac:dyDescent="0.2">
      <c r="A44" s="324" t="s">
        <v>650</v>
      </c>
      <c r="B44" s="28" t="s">
        <v>1543</v>
      </c>
      <c r="C44" s="313">
        <v>0</v>
      </c>
      <c r="D44" s="331">
        <v>0</v>
      </c>
      <c r="E44" s="330" t="s">
        <v>840</v>
      </c>
    </row>
    <row r="45" spans="1:5" ht="27.75" customHeight="1" x14ac:dyDescent="0.2">
      <c r="A45" s="324" t="s">
        <v>651</v>
      </c>
      <c r="B45" s="28" t="s">
        <v>1544</v>
      </c>
      <c r="C45" s="313">
        <v>0</v>
      </c>
      <c r="D45" s="331">
        <v>0</v>
      </c>
      <c r="E45" s="330" t="s">
        <v>840</v>
      </c>
    </row>
    <row r="46" spans="1:5" ht="27.75" customHeight="1" x14ac:dyDescent="0.2">
      <c r="A46" s="324" t="s">
        <v>652</v>
      </c>
      <c r="B46" s="28" t="s">
        <v>1545</v>
      </c>
      <c r="C46" s="313">
        <v>0</v>
      </c>
      <c r="D46" s="331">
        <v>0</v>
      </c>
      <c r="E46" s="330" t="s">
        <v>840</v>
      </c>
    </row>
    <row r="47" spans="1:5" ht="27.75" customHeight="1" x14ac:dyDescent="0.2">
      <c r="A47" s="324" t="s">
        <v>653</v>
      </c>
      <c r="B47" s="28" t="s">
        <v>1546</v>
      </c>
      <c r="C47" s="313">
        <v>0</v>
      </c>
      <c r="D47" s="331">
        <v>0</v>
      </c>
      <c r="E47" s="330" t="s">
        <v>840</v>
      </c>
    </row>
    <row r="48" spans="1:5" ht="27.75" customHeight="1" x14ac:dyDescent="0.2">
      <c r="A48" s="324" t="s">
        <v>654</v>
      </c>
      <c r="B48" s="28" t="s">
        <v>840</v>
      </c>
      <c r="C48" s="313">
        <v>0</v>
      </c>
      <c r="D48" s="331">
        <v>0</v>
      </c>
      <c r="E48" s="330" t="s">
        <v>840</v>
      </c>
    </row>
    <row r="49" spans="1:5" ht="27.75" customHeight="1" x14ac:dyDescent="0.2">
      <c r="A49" s="324" t="s">
        <v>655</v>
      </c>
      <c r="B49" s="28" t="s">
        <v>1547</v>
      </c>
      <c r="C49" s="313">
        <v>0</v>
      </c>
      <c r="D49" s="331">
        <v>0</v>
      </c>
      <c r="E49" s="330" t="s">
        <v>840</v>
      </c>
    </row>
    <row r="50" spans="1:5" ht="27.75" customHeight="1" x14ac:dyDescent="0.2">
      <c r="A50" s="324" t="s">
        <v>656</v>
      </c>
      <c r="B50" s="28" t="s">
        <v>1548</v>
      </c>
      <c r="C50" s="313">
        <v>0</v>
      </c>
      <c r="D50" s="331">
        <v>0</v>
      </c>
      <c r="E50" s="330" t="s">
        <v>840</v>
      </c>
    </row>
    <row r="51" spans="1:5" ht="27.75" customHeight="1" x14ac:dyDescent="0.2">
      <c r="A51" s="324" t="s">
        <v>657</v>
      </c>
      <c r="B51" s="28" t="s">
        <v>1549</v>
      </c>
      <c r="C51" s="313">
        <v>0</v>
      </c>
      <c r="D51" s="331">
        <v>0</v>
      </c>
      <c r="E51" s="330" t="s">
        <v>840</v>
      </c>
    </row>
    <row r="52" spans="1:5" ht="27.75" customHeight="1" x14ac:dyDescent="0.2">
      <c r="A52" s="324" t="s">
        <v>658</v>
      </c>
      <c r="B52" s="28" t="s">
        <v>1550</v>
      </c>
      <c r="C52" s="313">
        <v>0</v>
      </c>
      <c r="D52" s="331">
        <v>0</v>
      </c>
      <c r="E52" s="330" t="s">
        <v>840</v>
      </c>
    </row>
    <row r="53" spans="1:5" ht="27.75" customHeight="1" x14ac:dyDescent="0.2">
      <c r="A53" s="324" t="s">
        <v>659</v>
      </c>
      <c r="B53" s="28" t="s">
        <v>840</v>
      </c>
      <c r="C53" s="313">
        <v>0</v>
      </c>
      <c r="D53" s="331">
        <v>0</v>
      </c>
      <c r="E53" s="330" t="s">
        <v>840</v>
      </c>
    </row>
    <row r="54" spans="1:5" ht="27.75" customHeight="1" x14ac:dyDescent="0.2">
      <c r="A54" s="324" t="s">
        <v>660</v>
      </c>
      <c r="B54" s="28" t="s">
        <v>1551</v>
      </c>
      <c r="C54" s="313">
        <v>0</v>
      </c>
      <c r="D54" s="331">
        <v>0</v>
      </c>
      <c r="E54" s="330" t="s">
        <v>840</v>
      </c>
    </row>
    <row r="55" spans="1:5" ht="27.75" customHeight="1" x14ac:dyDescent="0.2">
      <c r="A55" s="324" t="s">
        <v>661</v>
      </c>
      <c r="B55" s="28" t="s">
        <v>1552</v>
      </c>
      <c r="C55" s="313">
        <v>0</v>
      </c>
      <c r="D55" s="331">
        <v>0</v>
      </c>
      <c r="E55" s="330" t="s">
        <v>840</v>
      </c>
    </row>
    <row r="56" spans="1:5" ht="27.75" customHeight="1" x14ac:dyDescent="0.2">
      <c r="A56" s="324" t="s">
        <v>662</v>
      </c>
      <c r="B56" s="28" t="s">
        <v>1553</v>
      </c>
      <c r="C56" s="313">
        <v>0</v>
      </c>
      <c r="D56" s="331">
        <v>0</v>
      </c>
      <c r="E56" s="330" t="s">
        <v>840</v>
      </c>
    </row>
    <row r="57" spans="1:5" ht="27.75" customHeight="1" x14ac:dyDescent="0.2">
      <c r="A57" s="324" t="s">
        <v>663</v>
      </c>
      <c r="B57" s="28" t="s">
        <v>1554</v>
      </c>
      <c r="C57" s="313">
        <v>0</v>
      </c>
      <c r="D57" s="330">
        <v>0</v>
      </c>
      <c r="E57" s="330" t="s">
        <v>840</v>
      </c>
    </row>
    <row r="58" spans="1:5" ht="27.75" customHeight="1" x14ac:dyDescent="0.2">
      <c r="A58" s="324" t="s">
        <v>781</v>
      </c>
      <c r="B58" s="28" t="e">
        <v>#N/A</v>
      </c>
      <c r="C58" s="313" t="s">
        <v>845</v>
      </c>
      <c r="D58" s="331">
        <v>0</v>
      </c>
      <c r="E58" s="330" t="s">
        <v>840</v>
      </c>
    </row>
    <row r="59" spans="1:5" ht="27.75" customHeight="1" x14ac:dyDescent="0.2">
      <c r="A59" s="324" t="s">
        <v>788</v>
      </c>
      <c r="B59" s="28" t="s">
        <v>1555</v>
      </c>
      <c r="C59" s="313" t="s">
        <v>846</v>
      </c>
      <c r="D59" s="331">
        <v>0</v>
      </c>
      <c r="E59" s="330" t="s">
        <v>840</v>
      </c>
    </row>
    <row r="60" spans="1:5" ht="27.75" customHeight="1" x14ac:dyDescent="0.2">
      <c r="A60" s="324" t="s">
        <v>795</v>
      </c>
      <c r="B60" s="28" t="s">
        <v>1556</v>
      </c>
      <c r="C60" s="313" t="s">
        <v>846</v>
      </c>
      <c r="D60" s="331">
        <v>0</v>
      </c>
      <c r="E60" s="330" t="s">
        <v>840</v>
      </c>
    </row>
    <row r="61" spans="1:5" ht="27.75" customHeight="1" x14ac:dyDescent="0.2">
      <c r="A61" s="324" t="s">
        <v>802</v>
      </c>
      <c r="B61" s="28" t="s">
        <v>1557</v>
      </c>
      <c r="C61" s="313" t="s">
        <v>846</v>
      </c>
      <c r="D61" s="331">
        <v>0</v>
      </c>
      <c r="E61" s="330" t="s">
        <v>840</v>
      </c>
    </row>
    <row r="62" spans="1:5" ht="27.75" customHeight="1" x14ac:dyDescent="0.2">
      <c r="A62" s="324" t="s">
        <v>809</v>
      </c>
      <c r="B62" s="28" t="s">
        <v>1558</v>
      </c>
      <c r="C62" s="313" t="s">
        <v>846</v>
      </c>
      <c r="D62" s="331">
        <v>0</v>
      </c>
      <c r="E62" s="330" t="s">
        <v>840</v>
      </c>
    </row>
    <row r="63" spans="1:5" ht="27.75" customHeight="1" x14ac:dyDescent="0.2">
      <c r="A63" s="324" t="s">
        <v>816</v>
      </c>
      <c r="B63" s="28" t="s">
        <v>1559</v>
      </c>
      <c r="C63" s="313" t="s">
        <v>846</v>
      </c>
      <c r="D63" s="331">
        <v>0</v>
      </c>
      <c r="E63" s="330" t="s">
        <v>840</v>
      </c>
    </row>
    <row r="64" spans="1:5" ht="27.75" customHeight="1" x14ac:dyDescent="0.2">
      <c r="A64" s="324" t="s">
        <v>665</v>
      </c>
      <c r="B64" s="28" t="s">
        <v>840</v>
      </c>
      <c r="C64" s="313">
        <v>0</v>
      </c>
      <c r="D64" s="331">
        <v>0</v>
      </c>
      <c r="E64" s="330" t="s">
        <v>840</v>
      </c>
    </row>
    <row r="65" spans="1:5" ht="27.75" customHeight="1" x14ac:dyDescent="0.2">
      <c r="A65" s="324" t="s">
        <v>666</v>
      </c>
      <c r="B65" s="28" t="s">
        <v>1560</v>
      </c>
      <c r="C65" s="313">
        <v>0</v>
      </c>
      <c r="D65" s="331">
        <v>0</v>
      </c>
      <c r="E65" s="330" t="s">
        <v>840</v>
      </c>
    </row>
    <row r="66" spans="1:5" ht="27.75" customHeight="1" x14ac:dyDescent="0.2">
      <c r="A66" s="324" t="s">
        <v>667</v>
      </c>
      <c r="B66" s="28" t="s">
        <v>1561</v>
      </c>
      <c r="C66" s="313">
        <v>0</v>
      </c>
      <c r="D66" s="331">
        <v>0</v>
      </c>
      <c r="E66" s="330" t="s">
        <v>840</v>
      </c>
    </row>
    <row r="67" spans="1:5" ht="27.75" customHeight="1" x14ac:dyDescent="0.2">
      <c r="A67" s="324" t="s">
        <v>668</v>
      </c>
      <c r="B67" s="28" t="s">
        <v>1562</v>
      </c>
      <c r="C67" s="313">
        <v>0</v>
      </c>
      <c r="D67" s="331">
        <v>0</v>
      </c>
      <c r="E67" s="330" t="s">
        <v>840</v>
      </c>
    </row>
    <row r="68" spans="1:5" ht="27.75" customHeight="1" x14ac:dyDescent="0.2">
      <c r="A68" s="324" t="s">
        <v>669</v>
      </c>
      <c r="B68" s="28" t="s">
        <v>1563</v>
      </c>
      <c r="C68" s="313">
        <v>0</v>
      </c>
      <c r="D68" s="331">
        <v>0</v>
      </c>
      <c r="E68" s="330" t="s">
        <v>840</v>
      </c>
    </row>
    <row r="69" spans="1:5" ht="27.75" customHeight="1" x14ac:dyDescent="0.2">
      <c r="A69" s="324" t="s">
        <v>670</v>
      </c>
      <c r="B69" s="28" t="s">
        <v>840</v>
      </c>
      <c r="C69" s="313">
        <v>0</v>
      </c>
      <c r="D69" s="331">
        <v>0</v>
      </c>
      <c r="E69" s="330" t="s">
        <v>840</v>
      </c>
    </row>
    <row r="70" spans="1:5" ht="27.75" customHeight="1" x14ac:dyDescent="0.2">
      <c r="A70" s="324" t="s">
        <v>671</v>
      </c>
      <c r="B70" s="28" t="s">
        <v>1564</v>
      </c>
      <c r="C70" s="313">
        <v>0</v>
      </c>
      <c r="D70" s="331">
        <v>0</v>
      </c>
      <c r="E70" s="330" t="s">
        <v>840</v>
      </c>
    </row>
    <row r="71" spans="1:5" ht="27.75" customHeight="1" x14ac:dyDescent="0.2">
      <c r="A71" s="324" t="s">
        <v>672</v>
      </c>
      <c r="B71" s="28" t="s">
        <v>1565</v>
      </c>
      <c r="C71" s="313">
        <v>0</v>
      </c>
      <c r="D71" s="331">
        <v>0</v>
      </c>
      <c r="E71" s="330" t="s">
        <v>840</v>
      </c>
    </row>
    <row r="72" spans="1:5" ht="27.75" customHeight="1" x14ac:dyDescent="0.2">
      <c r="A72" s="324" t="s">
        <v>673</v>
      </c>
      <c r="B72" s="28" t="s">
        <v>1566</v>
      </c>
      <c r="C72" s="313">
        <v>0</v>
      </c>
      <c r="D72" s="331">
        <v>0</v>
      </c>
      <c r="E72" s="330" t="s">
        <v>840</v>
      </c>
    </row>
    <row r="73" spans="1:5" ht="27.75" customHeight="1" x14ac:dyDescent="0.2">
      <c r="A73" s="324" t="s">
        <v>674</v>
      </c>
      <c r="B73" s="28" t="s">
        <v>1567</v>
      </c>
      <c r="C73" s="313">
        <v>0</v>
      </c>
      <c r="D73" s="331">
        <v>0</v>
      </c>
      <c r="E73" s="330" t="s">
        <v>840</v>
      </c>
    </row>
    <row r="74" spans="1:5" ht="27.75" customHeight="1" x14ac:dyDescent="0.2">
      <c r="A74" s="324" t="s">
        <v>675</v>
      </c>
      <c r="B74" s="28" t="s">
        <v>840</v>
      </c>
      <c r="C74" s="313">
        <v>0</v>
      </c>
      <c r="D74" s="331">
        <v>0</v>
      </c>
      <c r="E74" s="330" t="s">
        <v>840</v>
      </c>
    </row>
    <row r="75" spans="1:5" ht="27.75" customHeight="1" x14ac:dyDescent="0.2">
      <c r="A75" s="324" t="s">
        <v>676</v>
      </c>
      <c r="B75" s="28" t="s">
        <v>1568</v>
      </c>
      <c r="C75" s="313">
        <v>0</v>
      </c>
      <c r="D75" s="331">
        <v>0</v>
      </c>
      <c r="E75" s="330" t="s">
        <v>840</v>
      </c>
    </row>
    <row r="76" spans="1:5" ht="27.75" customHeight="1" x14ac:dyDescent="0.2">
      <c r="A76" s="324" t="s">
        <v>677</v>
      </c>
      <c r="B76" s="28" t="s">
        <v>1569</v>
      </c>
      <c r="C76" s="313">
        <v>0</v>
      </c>
      <c r="D76" s="331">
        <v>0</v>
      </c>
      <c r="E76" s="330" t="s">
        <v>840</v>
      </c>
    </row>
    <row r="77" spans="1:5" ht="27.75" customHeight="1" x14ac:dyDescent="0.2">
      <c r="A77" s="324" t="s">
        <v>678</v>
      </c>
      <c r="B77" s="28" t="s">
        <v>1570</v>
      </c>
      <c r="C77" s="313">
        <v>0</v>
      </c>
      <c r="D77" s="331">
        <v>0</v>
      </c>
      <c r="E77" s="330" t="s">
        <v>840</v>
      </c>
    </row>
    <row r="78" spans="1:5" ht="27.75" customHeight="1" x14ac:dyDescent="0.2">
      <c r="A78" s="324" t="s">
        <v>679</v>
      </c>
      <c r="B78" s="28" t="s">
        <v>1571</v>
      </c>
      <c r="C78" s="313">
        <v>0</v>
      </c>
      <c r="D78" s="330">
        <v>0</v>
      </c>
      <c r="E78" s="330" t="s">
        <v>840</v>
      </c>
    </row>
    <row r="79" spans="1:5" ht="27.75" customHeight="1" x14ac:dyDescent="0.2">
      <c r="A79" s="324" t="s">
        <v>782</v>
      </c>
      <c r="B79" s="28" t="e">
        <v>#N/A</v>
      </c>
      <c r="C79" s="313" t="s">
        <v>845</v>
      </c>
      <c r="D79" s="331">
        <v>0</v>
      </c>
      <c r="E79" s="330" t="s">
        <v>840</v>
      </c>
    </row>
    <row r="80" spans="1:5" ht="27.75" customHeight="1" x14ac:dyDescent="0.2">
      <c r="A80" s="324" t="s">
        <v>789</v>
      </c>
      <c r="B80" s="28" t="s">
        <v>1572</v>
      </c>
      <c r="C80" s="313" t="s">
        <v>846</v>
      </c>
      <c r="D80" s="331">
        <v>0</v>
      </c>
      <c r="E80" s="330" t="s">
        <v>840</v>
      </c>
    </row>
    <row r="81" spans="1:5" ht="27.75" customHeight="1" x14ac:dyDescent="0.2">
      <c r="A81" s="324" t="s">
        <v>796</v>
      </c>
      <c r="B81" s="28" t="s">
        <v>1573</v>
      </c>
      <c r="C81" s="313" t="s">
        <v>846</v>
      </c>
      <c r="D81" s="331">
        <v>0</v>
      </c>
      <c r="E81" s="330" t="s">
        <v>840</v>
      </c>
    </row>
    <row r="82" spans="1:5" ht="27.75" customHeight="1" x14ac:dyDescent="0.2">
      <c r="A82" s="324" t="s">
        <v>803</v>
      </c>
      <c r="B82" s="28" t="s">
        <v>1574</v>
      </c>
      <c r="C82" s="313" t="s">
        <v>846</v>
      </c>
      <c r="D82" s="331">
        <v>0</v>
      </c>
      <c r="E82" s="330" t="s">
        <v>840</v>
      </c>
    </row>
    <row r="83" spans="1:5" ht="27.75" customHeight="1" x14ac:dyDescent="0.2">
      <c r="A83" s="324" t="s">
        <v>810</v>
      </c>
      <c r="B83" s="28" t="s">
        <v>1575</v>
      </c>
      <c r="C83" s="313" t="s">
        <v>846</v>
      </c>
      <c r="D83" s="331">
        <v>0</v>
      </c>
      <c r="E83" s="330" t="s">
        <v>840</v>
      </c>
    </row>
    <row r="84" spans="1:5" ht="27.75" customHeight="1" x14ac:dyDescent="0.2">
      <c r="A84" s="324" t="s">
        <v>817</v>
      </c>
      <c r="B84" s="28" t="s">
        <v>1576</v>
      </c>
      <c r="C84" s="313" t="s">
        <v>846</v>
      </c>
      <c r="D84" s="331">
        <v>0</v>
      </c>
      <c r="E84" s="330" t="s">
        <v>840</v>
      </c>
    </row>
    <row r="85" spans="1:5" ht="27.75" customHeight="1" x14ac:dyDescent="0.2">
      <c r="A85" s="324" t="s">
        <v>681</v>
      </c>
      <c r="B85" s="28" t="s">
        <v>840</v>
      </c>
      <c r="C85" s="313">
        <v>0</v>
      </c>
      <c r="D85" s="331">
        <v>0</v>
      </c>
      <c r="E85" s="330" t="s">
        <v>840</v>
      </c>
    </row>
    <row r="86" spans="1:5" ht="27.75" customHeight="1" x14ac:dyDescent="0.2">
      <c r="A86" s="324" t="s">
        <v>682</v>
      </c>
      <c r="B86" s="28" t="s">
        <v>1577</v>
      </c>
      <c r="C86" s="313">
        <v>0</v>
      </c>
      <c r="D86" s="331">
        <v>0</v>
      </c>
      <c r="E86" s="330" t="s">
        <v>840</v>
      </c>
    </row>
    <row r="87" spans="1:5" ht="27.75" customHeight="1" x14ac:dyDescent="0.2">
      <c r="A87" s="324" t="s">
        <v>683</v>
      </c>
      <c r="B87" s="28" t="s">
        <v>1578</v>
      </c>
      <c r="C87" s="313">
        <v>0</v>
      </c>
      <c r="D87" s="331">
        <v>0</v>
      </c>
      <c r="E87" s="330" t="s">
        <v>840</v>
      </c>
    </row>
    <row r="88" spans="1:5" ht="27.75" customHeight="1" x14ac:dyDescent="0.2">
      <c r="A88" s="324" t="s">
        <v>684</v>
      </c>
      <c r="B88" s="28" t="s">
        <v>1579</v>
      </c>
      <c r="C88" s="313">
        <v>0</v>
      </c>
      <c r="D88" s="331">
        <v>0</v>
      </c>
      <c r="E88" s="330" t="s">
        <v>840</v>
      </c>
    </row>
    <row r="89" spans="1:5" ht="27.75" customHeight="1" x14ac:dyDescent="0.2">
      <c r="A89" s="324" t="s">
        <v>685</v>
      </c>
      <c r="B89" s="28" t="s">
        <v>1580</v>
      </c>
      <c r="C89" s="313">
        <v>0</v>
      </c>
      <c r="D89" s="331">
        <v>0</v>
      </c>
      <c r="E89" s="330" t="s">
        <v>840</v>
      </c>
    </row>
    <row r="90" spans="1:5" ht="27.75" customHeight="1" x14ac:dyDescent="0.2">
      <c r="A90" s="324" t="s">
        <v>686</v>
      </c>
      <c r="B90" s="28" t="s">
        <v>840</v>
      </c>
      <c r="C90" s="313">
        <v>0</v>
      </c>
      <c r="D90" s="331">
        <v>0</v>
      </c>
      <c r="E90" s="330" t="s">
        <v>840</v>
      </c>
    </row>
    <row r="91" spans="1:5" ht="27.75" customHeight="1" x14ac:dyDescent="0.2">
      <c r="A91" s="324" t="s">
        <v>687</v>
      </c>
      <c r="B91" s="28" t="s">
        <v>1581</v>
      </c>
      <c r="C91" s="313">
        <v>0</v>
      </c>
      <c r="D91" s="331">
        <v>0</v>
      </c>
      <c r="E91" s="330" t="s">
        <v>840</v>
      </c>
    </row>
    <row r="92" spans="1:5" ht="27.75" customHeight="1" x14ac:dyDescent="0.2">
      <c r="A92" s="324" t="s">
        <v>688</v>
      </c>
      <c r="B92" s="28" t="s">
        <v>1582</v>
      </c>
      <c r="C92" s="313">
        <v>0</v>
      </c>
      <c r="D92" s="331">
        <v>0</v>
      </c>
      <c r="E92" s="330" t="s">
        <v>840</v>
      </c>
    </row>
    <row r="93" spans="1:5" ht="27.75" customHeight="1" x14ac:dyDescent="0.2">
      <c r="A93" s="324" t="s">
        <v>689</v>
      </c>
      <c r="B93" s="28" t="s">
        <v>1583</v>
      </c>
      <c r="C93" s="313">
        <v>0</v>
      </c>
      <c r="D93" s="331">
        <v>0</v>
      </c>
      <c r="E93" s="330" t="s">
        <v>840</v>
      </c>
    </row>
    <row r="94" spans="1:5" ht="27.75" customHeight="1" x14ac:dyDescent="0.2">
      <c r="A94" s="324" t="s">
        <v>690</v>
      </c>
      <c r="B94" s="28" t="s">
        <v>1584</v>
      </c>
      <c r="C94" s="313">
        <v>0</v>
      </c>
      <c r="D94" s="331">
        <v>0</v>
      </c>
      <c r="E94" s="330" t="s">
        <v>840</v>
      </c>
    </row>
    <row r="95" spans="1:5" ht="27.75" customHeight="1" x14ac:dyDescent="0.2">
      <c r="A95" s="324" t="s">
        <v>691</v>
      </c>
      <c r="B95" s="28" t="s">
        <v>840</v>
      </c>
      <c r="C95" s="313">
        <v>0</v>
      </c>
      <c r="D95" s="331">
        <v>0</v>
      </c>
      <c r="E95" s="330" t="s">
        <v>840</v>
      </c>
    </row>
    <row r="96" spans="1:5" ht="27.75" customHeight="1" x14ac:dyDescent="0.2">
      <c r="A96" s="324" t="s">
        <v>692</v>
      </c>
      <c r="B96" s="28" t="s">
        <v>1585</v>
      </c>
      <c r="C96" s="313">
        <v>0</v>
      </c>
      <c r="D96" s="331">
        <v>0</v>
      </c>
      <c r="E96" s="330" t="s">
        <v>840</v>
      </c>
    </row>
    <row r="97" spans="1:5" ht="27.75" customHeight="1" x14ac:dyDescent="0.2">
      <c r="A97" s="324" t="s">
        <v>693</v>
      </c>
      <c r="B97" s="28" t="s">
        <v>1586</v>
      </c>
      <c r="C97" s="313">
        <v>0</v>
      </c>
      <c r="D97" s="331">
        <v>0</v>
      </c>
      <c r="E97" s="330" t="s">
        <v>840</v>
      </c>
    </row>
    <row r="98" spans="1:5" ht="27.75" customHeight="1" x14ac:dyDescent="0.2">
      <c r="A98" s="324" t="s">
        <v>694</v>
      </c>
      <c r="B98" s="28" t="s">
        <v>1587</v>
      </c>
      <c r="C98" s="313">
        <v>0</v>
      </c>
      <c r="D98" s="331">
        <v>0</v>
      </c>
      <c r="E98" s="330" t="s">
        <v>840</v>
      </c>
    </row>
    <row r="99" spans="1:5" ht="27.75" customHeight="1" x14ac:dyDescent="0.2">
      <c r="A99" s="324" t="s">
        <v>695</v>
      </c>
      <c r="B99" s="28"/>
      <c r="C99" s="313">
        <v>0</v>
      </c>
      <c r="D99" s="330">
        <v>0</v>
      </c>
      <c r="E99" s="330" t="s">
        <v>840</v>
      </c>
    </row>
    <row r="100" spans="1:5" ht="27.75" customHeight="1" x14ac:dyDescent="0.2">
      <c r="A100" s="324" t="s">
        <v>783</v>
      </c>
      <c r="B100" s="28"/>
      <c r="C100" s="313" t="s">
        <v>845</v>
      </c>
      <c r="D100" s="331">
        <v>0</v>
      </c>
      <c r="E100" s="330" t="s">
        <v>840</v>
      </c>
    </row>
    <row r="101" spans="1:5" ht="27.75" customHeight="1" x14ac:dyDescent="0.2">
      <c r="A101" s="324" t="s">
        <v>790</v>
      </c>
      <c r="B101" s="28"/>
      <c r="C101" s="313" t="s">
        <v>846</v>
      </c>
      <c r="D101" s="331">
        <v>0</v>
      </c>
      <c r="E101" s="330" t="s">
        <v>840</v>
      </c>
    </row>
    <row r="102" spans="1:5" ht="27.75" customHeight="1" x14ac:dyDescent="0.2">
      <c r="A102" s="324" t="s">
        <v>797</v>
      </c>
      <c r="B102" s="28"/>
      <c r="C102" s="313" t="s">
        <v>846</v>
      </c>
      <c r="D102" s="331">
        <v>0</v>
      </c>
      <c r="E102" s="330" t="s">
        <v>840</v>
      </c>
    </row>
    <row r="103" spans="1:5" ht="27.75" customHeight="1" x14ac:dyDescent="0.2">
      <c r="A103" s="324" t="s">
        <v>804</v>
      </c>
      <c r="B103" s="28"/>
      <c r="C103" s="313" t="s">
        <v>846</v>
      </c>
      <c r="D103" s="331">
        <v>0</v>
      </c>
      <c r="E103" s="330" t="s">
        <v>840</v>
      </c>
    </row>
    <row r="104" spans="1:5" ht="27.75" customHeight="1" x14ac:dyDescent="0.2">
      <c r="A104" s="324" t="s">
        <v>811</v>
      </c>
      <c r="B104" s="28"/>
      <c r="C104" s="313" t="s">
        <v>846</v>
      </c>
      <c r="D104" s="331">
        <v>0</v>
      </c>
      <c r="E104" s="330" t="s">
        <v>840</v>
      </c>
    </row>
    <row r="105" spans="1:5" ht="27.75" customHeight="1" x14ac:dyDescent="0.2">
      <c r="A105" s="324" t="s">
        <v>818</v>
      </c>
      <c r="B105" s="28"/>
      <c r="C105" s="313" t="s">
        <v>846</v>
      </c>
      <c r="D105" s="331">
        <v>0</v>
      </c>
      <c r="E105" s="330" t="s">
        <v>840</v>
      </c>
    </row>
    <row r="106" spans="1:5" ht="27.75" customHeight="1" x14ac:dyDescent="0.2">
      <c r="A106" s="324" t="s">
        <v>697</v>
      </c>
      <c r="B106" s="28"/>
      <c r="C106" s="313">
        <v>0</v>
      </c>
      <c r="D106" s="331">
        <v>0</v>
      </c>
      <c r="E106" s="330" t="s">
        <v>840</v>
      </c>
    </row>
    <row r="107" spans="1:5" ht="27.75" customHeight="1" x14ac:dyDescent="0.2">
      <c r="A107" s="324" t="s">
        <v>698</v>
      </c>
      <c r="B107" s="28"/>
      <c r="C107" s="313">
        <v>0</v>
      </c>
      <c r="D107" s="331">
        <v>0</v>
      </c>
      <c r="E107" s="330" t="s">
        <v>840</v>
      </c>
    </row>
    <row r="108" spans="1:5" ht="27.75" customHeight="1" x14ac:dyDescent="0.2">
      <c r="A108" s="324" t="s">
        <v>699</v>
      </c>
      <c r="B108" s="28"/>
      <c r="C108" s="313">
        <v>0</v>
      </c>
      <c r="D108" s="331">
        <v>0</v>
      </c>
      <c r="E108" s="330" t="s">
        <v>840</v>
      </c>
    </row>
    <row r="109" spans="1:5" ht="27.75" customHeight="1" x14ac:dyDescent="0.2">
      <c r="A109" s="324" t="s">
        <v>700</v>
      </c>
      <c r="B109" s="28"/>
      <c r="C109" s="313">
        <v>0</v>
      </c>
      <c r="D109" s="331">
        <v>0</v>
      </c>
      <c r="E109" s="330" t="s">
        <v>840</v>
      </c>
    </row>
    <row r="110" spans="1:5" ht="27.75" customHeight="1" x14ac:dyDescent="0.2">
      <c r="A110" s="324" t="s">
        <v>701</v>
      </c>
      <c r="B110" s="28"/>
      <c r="C110" s="313">
        <v>0</v>
      </c>
      <c r="D110" s="331">
        <v>0</v>
      </c>
      <c r="E110" s="330" t="s">
        <v>840</v>
      </c>
    </row>
    <row r="111" spans="1:5" ht="27.75" customHeight="1" x14ac:dyDescent="0.2">
      <c r="A111" s="324" t="s">
        <v>702</v>
      </c>
      <c r="B111" s="28"/>
      <c r="C111" s="313">
        <v>0</v>
      </c>
      <c r="D111" s="331">
        <v>0</v>
      </c>
      <c r="E111" s="330" t="s">
        <v>840</v>
      </c>
    </row>
    <row r="112" spans="1:5" ht="27.75" customHeight="1" x14ac:dyDescent="0.2">
      <c r="A112" s="324" t="s">
        <v>703</v>
      </c>
      <c r="B112" s="28"/>
      <c r="C112" s="313">
        <v>0</v>
      </c>
      <c r="D112" s="331">
        <v>0</v>
      </c>
      <c r="E112" s="330" t="s">
        <v>840</v>
      </c>
    </row>
    <row r="113" spans="1:5" ht="27.75" customHeight="1" x14ac:dyDescent="0.2">
      <c r="A113" s="324" t="s">
        <v>704</v>
      </c>
      <c r="B113" s="28"/>
      <c r="C113" s="313">
        <v>0</v>
      </c>
      <c r="D113" s="331">
        <v>0</v>
      </c>
      <c r="E113" s="330" t="s">
        <v>840</v>
      </c>
    </row>
    <row r="114" spans="1:5" ht="27.75" customHeight="1" x14ac:dyDescent="0.2">
      <c r="A114" s="324" t="s">
        <v>705</v>
      </c>
      <c r="B114" s="28"/>
      <c r="C114" s="313">
        <v>0</v>
      </c>
      <c r="D114" s="331">
        <v>0</v>
      </c>
      <c r="E114" s="330" t="s">
        <v>840</v>
      </c>
    </row>
    <row r="115" spans="1:5" ht="27.75" customHeight="1" x14ac:dyDescent="0.2">
      <c r="A115" s="324" t="s">
        <v>706</v>
      </c>
      <c r="B115" s="28"/>
      <c r="C115" s="313">
        <v>0</v>
      </c>
      <c r="D115" s="331">
        <v>0</v>
      </c>
      <c r="E115" s="330" t="s">
        <v>840</v>
      </c>
    </row>
    <row r="116" spans="1:5" ht="27.75" customHeight="1" x14ac:dyDescent="0.2">
      <c r="A116" s="324" t="s">
        <v>707</v>
      </c>
      <c r="B116" s="28"/>
      <c r="C116" s="313">
        <v>0</v>
      </c>
      <c r="D116" s="331">
        <v>0</v>
      </c>
      <c r="E116" s="330" t="s">
        <v>840</v>
      </c>
    </row>
    <row r="117" spans="1:5" ht="27.75" customHeight="1" x14ac:dyDescent="0.2">
      <c r="A117" s="324" t="s">
        <v>708</v>
      </c>
      <c r="B117" s="28"/>
      <c r="C117" s="313">
        <v>0</v>
      </c>
      <c r="D117" s="331">
        <v>0</v>
      </c>
      <c r="E117" s="330" t="s">
        <v>840</v>
      </c>
    </row>
    <row r="118" spans="1:5" ht="27.75" customHeight="1" x14ac:dyDescent="0.2">
      <c r="A118" s="324" t="s">
        <v>709</v>
      </c>
      <c r="B118" s="28"/>
      <c r="C118" s="313">
        <v>0</v>
      </c>
      <c r="D118" s="331">
        <v>0</v>
      </c>
      <c r="E118" s="330" t="s">
        <v>840</v>
      </c>
    </row>
    <row r="119" spans="1:5" ht="27.75" customHeight="1" x14ac:dyDescent="0.2">
      <c r="A119" s="324" t="s">
        <v>710</v>
      </c>
      <c r="B119" s="28"/>
      <c r="C119" s="313">
        <v>0</v>
      </c>
      <c r="D119" s="331">
        <v>0</v>
      </c>
      <c r="E119" s="330" t="s">
        <v>840</v>
      </c>
    </row>
    <row r="120" spans="1:5" ht="27.75" customHeight="1" x14ac:dyDescent="0.2">
      <c r="A120" s="324" t="s">
        <v>711</v>
      </c>
      <c r="B120" s="28"/>
      <c r="C120" s="313">
        <v>0</v>
      </c>
      <c r="D120" s="330">
        <v>0</v>
      </c>
      <c r="E120" s="330" t="s">
        <v>840</v>
      </c>
    </row>
    <row r="121" spans="1:5" ht="27.75" customHeight="1" x14ac:dyDescent="0.2">
      <c r="A121" s="324" t="s">
        <v>784</v>
      </c>
      <c r="B121" s="28"/>
      <c r="C121" s="313" t="s">
        <v>845</v>
      </c>
      <c r="D121" s="331">
        <v>0</v>
      </c>
      <c r="E121" s="330" t="s">
        <v>840</v>
      </c>
    </row>
    <row r="122" spans="1:5" ht="27.75" customHeight="1" x14ac:dyDescent="0.2">
      <c r="A122" s="324" t="s">
        <v>791</v>
      </c>
      <c r="B122" s="28"/>
      <c r="C122" s="313" t="s">
        <v>846</v>
      </c>
      <c r="D122" s="331">
        <v>0</v>
      </c>
      <c r="E122" s="330" t="s">
        <v>840</v>
      </c>
    </row>
    <row r="123" spans="1:5" ht="27.75" customHeight="1" x14ac:dyDescent="0.2">
      <c r="A123" s="324" t="s">
        <v>798</v>
      </c>
      <c r="B123" s="28"/>
      <c r="C123" s="313" t="s">
        <v>846</v>
      </c>
      <c r="D123" s="331">
        <v>0</v>
      </c>
      <c r="E123" s="330" t="s">
        <v>840</v>
      </c>
    </row>
    <row r="124" spans="1:5" ht="27.75" customHeight="1" x14ac:dyDescent="0.2">
      <c r="A124" s="324" t="s">
        <v>805</v>
      </c>
      <c r="B124" s="28"/>
      <c r="C124" s="313" t="s">
        <v>846</v>
      </c>
      <c r="D124" s="331">
        <v>0</v>
      </c>
      <c r="E124" s="330" t="s">
        <v>840</v>
      </c>
    </row>
    <row r="125" spans="1:5" ht="27.75" customHeight="1" x14ac:dyDescent="0.2">
      <c r="A125" s="324" t="s">
        <v>812</v>
      </c>
      <c r="B125" s="28"/>
      <c r="C125" s="313" t="s">
        <v>846</v>
      </c>
      <c r="D125" s="331">
        <v>0</v>
      </c>
      <c r="E125" s="330" t="s">
        <v>840</v>
      </c>
    </row>
    <row r="126" spans="1:5" ht="27.75" customHeight="1" x14ac:dyDescent="0.2">
      <c r="A126" s="324" t="s">
        <v>819</v>
      </c>
      <c r="B126" s="28"/>
      <c r="C126" s="313" t="s">
        <v>846</v>
      </c>
      <c r="D126" s="331">
        <v>0</v>
      </c>
      <c r="E126" s="330" t="s">
        <v>840</v>
      </c>
    </row>
    <row r="127" spans="1:5" ht="27.75" customHeight="1" x14ac:dyDescent="0.2">
      <c r="A127" s="324" t="s">
        <v>713</v>
      </c>
      <c r="B127" s="28"/>
      <c r="C127" s="313">
        <v>0</v>
      </c>
      <c r="D127" s="331">
        <v>0</v>
      </c>
      <c r="E127" s="330" t="s">
        <v>840</v>
      </c>
    </row>
    <row r="128" spans="1:5" ht="27.75" customHeight="1" x14ac:dyDescent="0.2">
      <c r="A128" s="324" t="s">
        <v>714</v>
      </c>
      <c r="B128" s="28"/>
      <c r="C128" s="313">
        <v>0</v>
      </c>
      <c r="D128" s="331">
        <v>0</v>
      </c>
      <c r="E128" s="330" t="s">
        <v>840</v>
      </c>
    </row>
    <row r="129" spans="1:5" ht="27.75" customHeight="1" x14ac:dyDescent="0.2">
      <c r="A129" s="324" t="s">
        <v>715</v>
      </c>
      <c r="B129" s="28"/>
      <c r="C129" s="313">
        <v>0</v>
      </c>
      <c r="D129" s="331">
        <v>0</v>
      </c>
      <c r="E129" s="330" t="s">
        <v>840</v>
      </c>
    </row>
    <row r="130" spans="1:5" ht="27.75" customHeight="1" x14ac:dyDescent="0.2">
      <c r="A130" s="324" t="s">
        <v>716</v>
      </c>
      <c r="B130" s="28"/>
      <c r="C130" s="313">
        <v>0</v>
      </c>
      <c r="D130" s="331">
        <v>0</v>
      </c>
      <c r="E130" s="330" t="s">
        <v>840</v>
      </c>
    </row>
    <row r="131" spans="1:5" ht="27.75" customHeight="1" x14ac:dyDescent="0.2">
      <c r="A131" s="324" t="s">
        <v>717</v>
      </c>
      <c r="B131" s="28"/>
      <c r="C131" s="313">
        <v>0</v>
      </c>
      <c r="D131" s="331">
        <v>0</v>
      </c>
      <c r="E131" s="330" t="s">
        <v>840</v>
      </c>
    </row>
    <row r="132" spans="1:5" ht="27.75" customHeight="1" x14ac:dyDescent="0.2">
      <c r="A132" s="324" t="s">
        <v>718</v>
      </c>
      <c r="B132" s="28"/>
      <c r="C132" s="313">
        <v>0</v>
      </c>
      <c r="D132" s="331">
        <v>0</v>
      </c>
      <c r="E132" s="330" t="s">
        <v>840</v>
      </c>
    </row>
    <row r="133" spans="1:5" ht="27.75" customHeight="1" x14ac:dyDescent="0.2">
      <c r="A133" s="324" t="s">
        <v>719</v>
      </c>
      <c r="B133" s="28"/>
      <c r="C133" s="313">
        <v>0</v>
      </c>
      <c r="D133" s="331">
        <v>0</v>
      </c>
      <c r="E133" s="330" t="s">
        <v>840</v>
      </c>
    </row>
    <row r="134" spans="1:5" ht="27.75" customHeight="1" x14ac:dyDescent="0.2">
      <c r="A134" s="324" t="s">
        <v>720</v>
      </c>
      <c r="B134" s="28"/>
      <c r="C134" s="313">
        <v>0</v>
      </c>
      <c r="D134" s="331">
        <v>0</v>
      </c>
      <c r="E134" s="330" t="s">
        <v>840</v>
      </c>
    </row>
    <row r="135" spans="1:5" ht="27.75" customHeight="1" x14ac:dyDescent="0.2">
      <c r="A135" s="324" t="s">
        <v>721</v>
      </c>
      <c r="B135" s="28"/>
      <c r="C135" s="313">
        <v>0</v>
      </c>
      <c r="D135" s="331">
        <v>0</v>
      </c>
      <c r="E135" s="330" t="s">
        <v>840</v>
      </c>
    </row>
    <row r="136" spans="1:5" ht="27.75" customHeight="1" x14ac:dyDescent="0.2">
      <c r="A136" s="324" t="s">
        <v>722</v>
      </c>
      <c r="B136" s="28"/>
      <c r="C136" s="313">
        <v>0</v>
      </c>
      <c r="D136" s="331">
        <v>0</v>
      </c>
      <c r="E136" s="330" t="s">
        <v>840</v>
      </c>
    </row>
    <row r="137" spans="1:5" ht="27.75" customHeight="1" x14ac:dyDescent="0.2">
      <c r="A137" s="324" t="s">
        <v>723</v>
      </c>
      <c r="B137" s="28"/>
      <c r="C137" s="313">
        <v>0</v>
      </c>
      <c r="D137" s="331">
        <v>0</v>
      </c>
      <c r="E137" s="330" t="s">
        <v>840</v>
      </c>
    </row>
    <row r="138" spans="1:5" ht="27.75" customHeight="1" x14ac:dyDescent="0.2">
      <c r="A138" s="324" t="s">
        <v>724</v>
      </c>
      <c r="B138" s="28"/>
      <c r="C138" s="313">
        <v>0</v>
      </c>
      <c r="D138" s="331">
        <v>0</v>
      </c>
      <c r="E138" s="330" t="s">
        <v>840</v>
      </c>
    </row>
    <row r="139" spans="1:5" ht="27.75" customHeight="1" x14ac:dyDescent="0.2">
      <c r="A139" s="324" t="s">
        <v>725</v>
      </c>
      <c r="B139" s="28"/>
      <c r="C139" s="313">
        <v>0</v>
      </c>
      <c r="D139" s="331">
        <v>0</v>
      </c>
      <c r="E139" s="330" t="s">
        <v>840</v>
      </c>
    </row>
    <row r="140" spans="1:5" ht="27.75" customHeight="1" x14ac:dyDescent="0.2">
      <c r="A140" s="324" t="s">
        <v>726</v>
      </c>
      <c r="B140" s="28"/>
      <c r="C140" s="313">
        <v>0</v>
      </c>
      <c r="D140" s="331">
        <v>0</v>
      </c>
      <c r="E140" s="330" t="s">
        <v>840</v>
      </c>
    </row>
    <row r="141" spans="1:5" ht="27.75" customHeight="1" x14ac:dyDescent="0.2">
      <c r="A141" s="324" t="s">
        <v>727</v>
      </c>
      <c r="B141" s="28"/>
      <c r="C141" s="313">
        <v>0</v>
      </c>
      <c r="D141" s="330">
        <v>0</v>
      </c>
      <c r="E141" s="330" t="s">
        <v>840</v>
      </c>
    </row>
    <row r="142" spans="1:5" ht="27.75" customHeight="1" x14ac:dyDescent="0.2">
      <c r="A142" s="324" t="s">
        <v>785</v>
      </c>
      <c r="B142" s="28"/>
      <c r="C142" s="313" t="s">
        <v>845</v>
      </c>
      <c r="D142" s="331">
        <v>0</v>
      </c>
      <c r="E142" s="330" t="s">
        <v>840</v>
      </c>
    </row>
    <row r="143" spans="1:5" ht="27.75" customHeight="1" x14ac:dyDescent="0.2">
      <c r="A143" s="324" t="s">
        <v>792</v>
      </c>
      <c r="B143" s="28"/>
      <c r="C143" s="313" t="s">
        <v>846</v>
      </c>
      <c r="D143" s="331">
        <v>0</v>
      </c>
      <c r="E143" s="330" t="s">
        <v>840</v>
      </c>
    </row>
    <row r="144" spans="1:5" ht="27.75" customHeight="1" x14ac:dyDescent="0.2">
      <c r="A144" s="324" t="s">
        <v>799</v>
      </c>
      <c r="B144" s="28"/>
      <c r="C144" s="313" t="s">
        <v>846</v>
      </c>
      <c r="D144" s="331">
        <v>0</v>
      </c>
      <c r="E144" s="330" t="s">
        <v>840</v>
      </c>
    </row>
    <row r="145" spans="1:5" ht="27.75" customHeight="1" x14ac:dyDescent="0.2">
      <c r="A145" s="324" t="s">
        <v>806</v>
      </c>
      <c r="B145" s="28"/>
      <c r="C145" s="313" t="s">
        <v>846</v>
      </c>
      <c r="D145" s="331">
        <v>0</v>
      </c>
      <c r="E145" s="330" t="s">
        <v>840</v>
      </c>
    </row>
    <row r="146" spans="1:5" ht="27.75" customHeight="1" x14ac:dyDescent="0.2">
      <c r="A146" s="324" t="s">
        <v>813</v>
      </c>
      <c r="B146" s="28"/>
      <c r="C146" s="313" t="s">
        <v>846</v>
      </c>
      <c r="D146" s="331">
        <v>0</v>
      </c>
      <c r="E146" s="330" t="s">
        <v>840</v>
      </c>
    </row>
    <row r="147" spans="1:5" ht="27.75" customHeight="1" x14ac:dyDescent="0.2">
      <c r="A147" s="324" t="s">
        <v>820</v>
      </c>
      <c r="B147" s="28"/>
      <c r="C147" s="313" t="s">
        <v>846</v>
      </c>
      <c r="D147" s="331">
        <v>0</v>
      </c>
      <c r="E147" s="330" t="s">
        <v>840</v>
      </c>
    </row>
    <row r="148" spans="1:5" ht="27.75" customHeight="1" x14ac:dyDescent="0.2">
      <c r="A148" s="324" t="s">
        <v>729</v>
      </c>
      <c r="B148" s="28"/>
      <c r="C148" s="313">
        <v>0</v>
      </c>
      <c r="D148" s="331">
        <v>0</v>
      </c>
      <c r="E148" s="330" t="s">
        <v>840</v>
      </c>
    </row>
    <row r="149" spans="1:5" ht="27.75" customHeight="1" x14ac:dyDescent="0.2">
      <c r="A149" s="324" t="s">
        <v>730</v>
      </c>
      <c r="B149" s="28"/>
      <c r="C149" s="313">
        <v>0</v>
      </c>
      <c r="D149" s="331">
        <v>0</v>
      </c>
      <c r="E149" s="330" t="s">
        <v>840</v>
      </c>
    </row>
    <row r="150" spans="1:5" ht="27.75" customHeight="1" x14ac:dyDescent="0.2">
      <c r="A150" s="324" t="s">
        <v>731</v>
      </c>
      <c r="B150" s="28"/>
      <c r="C150" s="313">
        <v>0</v>
      </c>
      <c r="D150" s="331">
        <v>0</v>
      </c>
      <c r="E150" s="330" t="s">
        <v>840</v>
      </c>
    </row>
    <row r="151" spans="1:5" ht="27.75" customHeight="1" x14ac:dyDescent="0.2">
      <c r="A151" s="324" t="s">
        <v>732</v>
      </c>
      <c r="B151" s="28"/>
      <c r="C151" s="313">
        <v>0</v>
      </c>
      <c r="D151" s="331">
        <v>0</v>
      </c>
      <c r="E151" s="330" t="s">
        <v>840</v>
      </c>
    </row>
    <row r="152" spans="1:5" ht="27.75" customHeight="1" x14ac:dyDescent="0.2">
      <c r="A152" s="324" t="s">
        <v>733</v>
      </c>
      <c r="B152" s="28"/>
      <c r="C152" s="313">
        <v>0</v>
      </c>
      <c r="D152" s="331">
        <v>0</v>
      </c>
      <c r="E152" s="330" t="s">
        <v>840</v>
      </c>
    </row>
    <row r="153" spans="1:5" ht="27.75" customHeight="1" x14ac:dyDescent="0.2">
      <c r="A153" s="324" t="s">
        <v>734</v>
      </c>
      <c r="B153" s="28"/>
      <c r="C153" s="313">
        <v>0</v>
      </c>
      <c r="D153" s="331">
        <v>0</v>
      </c>
      <c r="E153" s="330" t="s">
        <v>840</v>
      </c>
    </row>
    <row r="154" spans="1:5" ht="27.75" customHeight="1" x14ac:dyDescent="0.2">
      <c r="A154" s="324" t="s">
        <v>735</v>
      </c>
      <c r="B154" s="28"/>
      <c r="C154" s="313">
        <v>0</v>
      </c>
      <c r="D154" s="331">
        <v>0</v>
      </c>
      <c r="E154" s="330" t="s">
        <v>840</v>
      </c>
    </row>
    <row r="155" spans="1:5" ht="27.75" customHeight="1" x14ac:dyDescent="0.2">
      <c r="A155" s="324" t="s">
        <v>736</v>
      </c>
      <c r="B155" s="28"/>
      <c r="C155" s="313">
        <v>0</v>
      </c>
      <c r="D155" s="331">
        <v>0</v>
      </c>
      <c r="E155" s="330" t="s">
        <v>840</v>
      </c>
    </row>
    <row r="156" spans="1:5" ht="27.75" customHeight="1" x14ac:dyDescent="0.2">
      <c r="A156" s="324" t="s">
        <v>737</v>
      </c>
      <c r="B156" s="28"/>
      <c r="C156" s="313">
        <v>0</v>
      </c>
      <c r="D156" s="331">
        <v>0</v>
      </c>
      <c r="E156" s="330" t="s">
        <v>840</v>
      </c>
    </row>
    <row r="157" spans="1:5" ht="27.75" customHeight="1" x14ac:dyDescent="0.2">
      <c r="A157" s="324" t="s">
        <v>738</v>
      </c>
      <c r="B157" s="28"/>
      <c r="C157" s="313">
        <v>0</v>
      </c>
      <c r="D157" s="331">
        <v>0</v>
      </c>
      <c r="E157" s="330" t="s">
        <v>840</v>
      </c>
    </row>
    <row r="158" spans="1:5" ht="27.75" customHeight="1" x14ac:dyDescent="0.2">
      <c r="A158" s="324" t="s">
        <v>739</v>
      </c>
      <c r="B158" s="28"/>
      <c r="C158" s="313">
        <v>0</v>
      </c>
      <c r="D158" s="331">
        <v>0</v>
      </c>
      <c r="E158" s="330" t="s">
        <v>840</v>
      </c>
    </row>
    <row r="159" spans="1:5" ht="27.75" customHeight="1" x14ac:dyDescent="0.2">
      <c r="A159" s="324" t="s">
        <v>740</v>
      </c>
      <c r="B159" s="28"/>
      <c r="C159" s="313">
        <v>0</v>
      </c>
      <c r="D159" s="331">
        <v>0</v>
      </c>
      <c r="E159" s="330" t="s">
        <v>840</v>
      </c>
    </row>
    <row r="160" spans="1:5" ht="27.75" customHeight="1" x14ac:dyDescent="0.2">
      <c r="A160" s="324" t="s">
        <v>741</v>
      </c>
      <c r="B160" s="28"/>
      <c r="C160" s="313">
        <v>0</v>
      </c>
      <c r="D160" s="331">
        <v>0</v>
      </c>
      <c r="E160" s="330" t="s">
        <v>840</v>
      </c>
    </row>
    <row r="161" spans="1:5" ht="27.75" customHeight="1" x14ac:dyDescent="0.2">
      <c r="A161" s="324" t="s">
        <v>742</v>
      </c>
      <c r="B161" s="28"/>
      <c r="C161" s="313">
        <v>0</v>
      </c>
      <c r="D161" s="331">
        <v>0</v>
      </c>
      <c r="E161" s="330" t="s">
        <v>840</v>
      </c>
    </row>
    <row r="162" spans="1:5" ht="27.75" customHeight="1" x14ac:dyDescent="0.2">
      <c r="A162" s="324" t="s">
        <v>743</v>
      </c>
      <c r="B162" s="28"/>
      <c r="C162" s="313">
        <v>0</v>
      </c>
      <c r="D162" s="331">
        <v>0</v>
      </c>
      <c r="E162" s="330" t="s">
        <v>840</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46D91F9-3E3E-4867-9610-7C085E2BFEC8}"/>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02C8-B7AB-4337-A43E-53F32A274AA2}">
  <dimension ref="A1:M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13" ht="27.75" customHeight="1" x14ac:dyDescent="0.2">
      <c r="A1" s="32" t="s">
        <v>19</v>
      </c>
      <c r="B1" s="519"/>
      <c r="C1" s="519"/>
      <c r="D1" s="329"/>
      <c r="E1" s="329"/>
    </row>
    <row r="2" spans="1:13" ht="35.1" customHeight="1" x14ac:dyDescent="0.2">
      <c r="A2" s="520" t="str">
        <f>Overview!B4&amp; " - Effective from "&amp;TEXT(Overview!D4,"d mmmm yyyy")&amp;" - "&amp;Overview!E4&amp;" Supplier of Last Resort and Eligible Bad Debt Pass-Through Costs"&amp;" in Electricity North West Area (GSP Group_G)"</f>
        <v>Leep Electricity Networks Limited - Effective from 1 April 2026 - Final Supplier of Last Resort and Eligible Bad Debt Pass-Through Costs in Electricity North West Area (GSP Group_G)</v>
      </c>
      <c r="B2" s="521"/>
      <c r="C2" s="521"/>
      <c r="D2" s="521"/>
      <c r="E2" s="522"/>
    </row>
    <row r="3" spans="1:13" s="41" customFormat="1" ht="21" customHeight="1" x14ac:dyDescent="0.2">
      <c r="A3" s="46"/>
      <c r="B3" s="46"/>
      <c r="C3" s="46"/>
      <c r="D3" s="46"/>
      <c r="E3" s="46"/>
      <c r="F3" s="348"/>
    </row>
    <row r="4" spans="1:13" ht="78.75" customHeight="1" x14ac:dyDescent="0.2">
      <c r="A4" s="19" t="s">
        <v>458</v>
      </c>
      <c r="B4" s="16" t="s">
        <v>744</v>
      </c>
      <c r="C4" s="16" t="s">
        <v>24</v>
      </c>
      <c r="D4" s="16" t="s">
        <v>745</v>
      </c>
      <c r="E4" s="16" t="s">
        <v>746</v>
      </c>
      <c r="G4" s="395"/>
      <c r="H4" s="396"/>
      <c r="I4" s="396"/>
      <c r="J4" s="396"/>
      <c r="K4" s="396"/>
      <c r="L4" s="396"/>
      <c r="M4" s="397"/>
    </row>
    <row r="5" spans="1:13" ht="32.25" customHeight="1" x14ac:dyDescent="0.2">
      <c r="A5" s="10" t="s">
        <v>823</v>
      </c>
      <c r="B5" s="28"/>
      <c r="C5" s="313" t="s">
        <v>845</v>
      </c>
      <c r="D5" s="330">
        <v>0</v>
      </c>
      <c r="E5" s="330" t="s">
        <v>840</v>
      </c>
      <c r="G5" s="396"/>
      <c r="H5" s="396"/>
      <c r="I5" s="396"/>
      <c r="J5" s="396"/>
      <c r="K5" s="396"/>
      <c r="L5" s="396"/>
      <c r="M5" s="397"/>
    </row>
    <row r="6" spans="1:13" ht="27" customHeight="1" x14ac:dyDescent="0.2">
      <c r="A6" s="10" t="s">
        <v>774</v>
      </c>
      <c r="B6" s="28"/>
      <c r="C6" s="313" t="s">
        <v>846</v>
      </c>
      <c r="D6" s="331" t="s">
        <v>840</v>
      </c>
      <c r="E6" s="330" t="s">
        <v>840</v>
      </c>
    </row>
    <row r="7" spans="1:13" ht="27" customHeight="1" x14ac:dyDescent="0.2">
      <c r="A7" s="10" t="s">
        <v>775</v>
      </c>
      <c r="B7" s="28"/>
      <c r="C7" s="313" t="s">
        <v>846</v>
      </c>
      <c r="D7" s="331" t="s">
        <v>840</v>
      </c>
      <c r="E7" s="330" t="s">
        <v>840</v>
      </c>
    </row>
    <row r="8" spans="1:13" ht="27" customHeight="1" x14ac:dyDescent="0.2">
      <c r="A8" s="10" t="s">
        <v>776</v>
      </c>
      <c r="B8" s="28"/>
      <c r="C8" s="313" t="s">
        <v>846</v>
      </c>
      <c r="D8" s="331" t="s">
        <v>840</v>
      </c>
      <c r="E8" s="330" t="s">
        <v>840</v>
      </c>
    </row>
    <row r="9" spans="1:13" ht="27" customHeight="1" x14ac:dyDescent="0.2">
      <c r="A9" s="10" t="s">
        <v>777</v>
      </c>
      <c r="B9" s="28"/>
      <c r="C9" s="313" t="s">
        <v>846</v>
      </c>
      <c r="D9" s="331" t="s">
        <v>840</v>
      </c>
      <c r="E9" s="330" t="s">
        <v>840</v>
      </c>
    </row>
    <row r="10" spans="1:13" ht="27" customHeight="1" x14ac:dyDescent="0.2">
      <c r="A10" s="10" t="s">
        <v>778</v>
      </c>
      <c r="B10" s="28"/>
      <c r="C10" s="313" t="s">
        <v>846</v>
      </c>
      <c r="D10" s="331" t="s">
        <v>840</v>
      </c>
      <c r="E10" s="330" t="s">
        <v>840</v>
      </c>
    </row>
    <row r="11" spans="1:13" ht="27" customHeight="1" x14ac:dyDescent="0.2">
      <c r="A11" s="324" t="s">
        <v>595</v>
      </c>
      <c r="B11" s="28"/>
      <c r="C11" s="313">
        <v>0</v>
      </c>
      <c r="D11" s="331" t="s">
        <v>840</v>
      </c>
      <c r="E11" s="330" t="s">
        <v>840</v>
      </c>
    </row>
    <row r="12" spans="1:13" ht="27" customHeight="1" x14ac:dyDescent="0.2">
      <c r="A12" s="324" t="s">
        <v>596</v>
      </c>
      <c r="B12" s="28"/>
      <c r="C12" s="313">
        <v>0</v>
      </c>
      <c r="D12" s="331" t="s">
        <v>840</v>
      </c>
      <c r="E12" s="330" t="s">
        <v>840</v>
      </c>
    </row>
    <row r="13" spans="1:13" ht="27.75" customHeight="1" x14ac:dyDescent="0.2">
      <c r="A13" s="324" t="s">
        <v>597</v>
      </c>
      <c r="B13" s="28"/>
      <c r="C13" s="313">
        <v>0</v>
      </c>
      <c r="D13" s="331" t="s">
        <v>840</v>
      </c>
      <c r="E13" s="330" t="s">
        <v>840</v>
      </c>
    </row>
    <row r="14" spans="1:13" ht="27.75" customHeight="1" x14ac:dyDescent="0.2">
      <c r="A14" s="325" t="s">
        <v>598</v>
      </c>
      <c r="B14" s="28"/>
      <c r="C14" s="313">
        <v>0</v>
      </c>
      <c r="D14" s="331" t="s">
        <v>840</v>
      </c>
      <c r="E14" s="330" t="s">
        <v>840</v>
      </c>
    </row>
    <row r="15" spans="1:13" ht="27.75" customHeight="1" x14ac:dyDescent="0.2">
      <c r="A15" s="325" t="s">
        <v>599</v>
      </c>
      <c r="B15" s="28"/>
      <c r="C15" s="313">
        <v>0</v>
      </c>
      <c r="D15" s="331" t="s">
        <v>840</v>
      </c>
      <c r="E15" s="330" t="s">
        <v>840</v>
      </c>
    </row>
    <row r="16" spans="1:13" ht="27.75" customHeight="1" x14ac:dyDescent="0.2">
      <c r="A16" s="325" t="s">
        <v>600</v>
      </c>
      <c r="B16" s="28"/>
      <c r="C16" s="313">
        <v>0</v>
      </c>
      <c r="D16" s="331" t="s">
        <v>840</v>
      </c>
      <c r="E16" s="330" t="s">
        <v>840</v>
      </c>
    </row>
    <row r="17" spans="1:6" ht="27.75" customHeight="1" x14ac:dyDescent="0.2">
      <c r="A17" s="325" t="s">
        <v>601</v>
      </c>
      <c r="B17" s="28"/>
      <c r="C17" s="313">
        <v>0</v>
      </c>
      <c r="D17" s="331" t="s">
        <v>840</v>
      </c>
      <c r="E17" s="330" t="s">
        <v>840</v>
      </c>
    </row>
    <row r="18" spans="1:6" ht="27.75" customHeight="1" x14ac:dyDescent="0.2">
      <c r="A18" s="325" t="s">
        <v>602</v>
      </c>
      <c r="B18" s="28"/>
      <c r="C18" s="313">
        <v>0</v>
      </c>
      <c r="D18" s="331" t="s">
        <v>840</v>
      </c>
      <c r="E18" s="330" t="s">
        <v>840</v>
      </c>
    </row>
    <row r="19" spans="1:6" ht="27.75" customHeight="1" x14ac:dyDescent="0.2">
      <c r="A19" s="325" t="s">
        <v>603</v>
      </c>
      <c r="B19" s="28"/>
      <c r="C19" s="313">
        <v>0</v>
      </c>
      <c r="D19" s="331" t="s">
        <v>840</v>
      </c>
      <c r="E19" s="330" t="s">
        <v>840</v>
      </c>
    </row>
    <row r="20" spans="1:6" ht="27.75" customHeight="1" x14ac:dyDescent="0.2">
      <c r="A20" s="325" t="s">
        <v>604</v>
      </c>
      <c r="B20" s="28"/>
      <c r="C20" s="313">
        <v>0</v>
      </c>
      <c r="D20" s="331" t="s">
        <v>840</v>
      </c>
      <c r="E20" s="330" t="s">
        <v>840</v>
      </c>
    </row>
    <row r="21" spans="1:6" ht="27.75" customHeight="1" x14ac:dyDescent="0.2">
      <c r="A21" s="325" t="s">
        <v>605</v>
      </c>
      <c r="B21" s="28"/>
      <c r="C21" s="313">
        <v>0</v>
      </c>
      <c r="D21" s="331" t="s">
        <v>840</v>
      </c>
      <c r="E21" s="330" t="s">
        <v>840</v>
      </c>
    </row>
    <row r="22" spans="1:6" ht="27.75" customHeight="1" x14ac:dyDescent="0.2">
      <c r="A22" s="324" t="s">
        <v>606</v>
      </c>
      <c r="B22" s="28"/>
      <c r="C22" s="313">
        <v>0</v>
      </c>
      <c r="D22" s="331" t="s">
        <v>840</v>
      </c>
      <c r="E22" s="330" t="s">
        <v>840</v>
      </c>
    </row>
    <row r="23" spans="1:6" ht="27.75" customHeight="1" x14ac:dyDescent="0.2">
      <c r="A23" s="324" t="s">
        <v>607</v>
      </c>
      <c r="B23" s="28"/>
      <c r="C23" s="313">
        <v>0</v>
      </c>
      <c r="D23" s="331" t="s">
        <v>840</v>
      </c>
      <c r="E23" s="330" t="s">
        <v>840</v>
      </c>
    </row>
    <row r="24" spans="1:6" ht="27.75" customHeight="1" x14ac:dyDescent="0.2">
      <c r="A24" s="324" t="s">
        <v>608</v>
      </c>
      <c r="B24" s="28"/>
      <c r="C24" s="313">
        <v>0</v>
      </c>
      <c r="D24" s="331" t="s">
        <v>840</v>
      </c>
      <c r="E24" s="330" t="s">
        <v>840</v>
      </c>
    </row>
    <row r="25" spans="1:6" ht="27.75" customHeight="1" x14ac:dyDescent="0.2">
      <c r="A25" s="324" t="s">
        <v>609</v>
      </c>
      <c r="B25" s="28"/>
      <c r="C25" s="313">
        <v>0</v>
      </c>
      <c r="D25" s="330">
        <v>0</v>
      </c>
      <c r="E25" s="330" t="s">
        <v>840</v>
      </c>
    </row>
    <row r="26" spans="1:6" ht="27.75" customHeight="1" x14ac:dyDescent="0.2">
      <c r="A26" s="324" t="s">
        <v>824</v>
      </c>
      <c r="B26" s="28" t="s">
        <v>1588</v>
      </c>
      <c r="C26" s="313" t="s">
        <v>845</v>
      </c>
      <c r="D26" s="331" t="s">
        <v>840</v>
      </c>
      <c r="E26" s="330" t="s">
        <v>840</v>
      </c>
      <c r="F26" s="349" t="str">
        <f>A26&amp;" with Residual"</f>
        <v>LDNO LV: Domestic Aggregated or CT with Residual</v>
      </c>
    </row>
    <row r="27" spans="1:6" ht="27.75" customHeight="1" x14ac:dyDescent="0.2">
      <c r="A27" s="324" t="s">
        <v>786</v>
      </c>
      <c r="B27" s="28" t="s">
        <v>1589</v>
      </c>
      <c r="C27" s="313" t="s">
        <v>846</v>
      </c>
      <c r="D27" s="331" t="s">
        <v>840</v>
      </c>
      <c r="E27" s="330" t="s">
        <v>840</v>
      </c>
    </row>
    <row r="28" spans="1:6" ht="27.75" customHeight="1" x14ac:dyDescent="0.2">
      <c r="A28" s="324" t="s">
        <v>793</v>
      </c>
      <c r="B28" s="28" t="s">
        <v>1590</v>
      </c>
      <c r="C28" s="313" t="s">
        <v>846</v>
      </c>
      <c r="D28" s="331" t="s">
        <v>840</v>
      </c>
      <c r="E28" s="330" t="s">
        <v>840</v>
      </c>
    </row>
    <row r="29" spans="1:6" ht="27.75" customHeight="1" x14ac:dyDescent="0.2">
      <c r="A29" s="324" t="s">
        <v>800</v>
      </c>
      <c r="B29" s="28" t="s">
        <v>1591</v>
      </c>
      <c r="C29" s="313" t="s">
        <v>846</v>
      </c>
      <c r="D29" s="331" t="s">
        <v>840</v>
      </c>
      <c r="E29" s="330" t="s">
        <v>840</v>
      </c>
    </row>
    <row r="30" spans="1:6" ht="27.75" customHeight="1" x14ac:dyDescent="0.2">
      <c r="A30" s="324" t="s">
        <v>807</v>
      </c>
      <c r="B30" s="28" t="s">
        <v>1592</v>
      </c>
      <c r="C30" s="313" t="s">
        <v>846</v>
      </c>
      <c r="D30" s="331" t="s">
        <v>840</v>
      </c>
      <c r="E30" s="330" t="s">
        <v>840</v>
      </c>
    </row>
    <row r="31" spans="1:6" ht="27.75" customHeight="1" x14ac:dyDescent="0.2">
      <c r="A31" s="324" t="s">
        <v>814</v>
      </c>
      <c r="B31" s="28" t="s">
        <v>1593</v>
      </c>
      <c r="C31" s="313" t="s">
        <v>846</v>
      </c>
      <c r="D31" s="331" t="s">
        <v>840</v>
      </c>
      <c r="E31" s="330" t="s">
        <v>840</v>
      </c>
    </row>
    <row r="32" spans="1:6" ht="27.75" customHeight="1" x14ac:dyDescent="0.2">
      <c r="A32" s="324" t="s">
        <v>643</v>
      </c>
      <c r="B32" s="28" t="s">
        <v>840</v>
      </c>
      <c r="C32" s="313">
        <v>0</v>
      </c>
      <c r="D32" s="331" t="s">
        <v>840</v>
      </c>
      <c r="E32" s="330" t="s">
        <v>840</v>
      </c>
    </row>
    <row r="33" spans="1:6" ht="27.75" customHeight="1" x14ac:dyDescent="0.2">
      <c r="A33" s="324" t="s">
        <v>644</v>
      </c>
      <c r="B33" s="28" t="s">
        <v>1594</v>
      </c>
      <c r="C33" s="313">
        <v>0</v>
      </c>
      <c r="D33" s="331" t="s">
        <v>840</v>
      </c>
      <c r="E33" s="330" t="s">
        <v>840</v>
      </c>
    </row>
    <row r="34" spans="1:6" ht="27.75" customHeight="1" x14ac:dyDescent="0.2">
      <c r="A34" s="324" t="s">
        <v>645</v>
      </c>
      <c r="B34" s="28" t="s">
        <v>1595</v>
      </c>
      <c r="C34" s="313">
        <v>0</v>
      </c>
      <c r="D34" s="331" t="s">
        <v>840</v>
      </c>
      <c r="E34" s="330" t="s">
        <v>840</v>
      </c>
    </row>
    <row r="35" spans="1:6" ht="27.75" customHeight="1" x14ac:dyDescent="0.2">
      <c r="A35" s="324" t="s">
        <v>646</v>
      </c>
      <c r="B35" s="28" t="s">
        <v>1596</v>
      </c>
      <c r="C35" s="313">
        <v>0</v>
      </c>
      <c r="D35" s="331" t="s">
        <v>840</v>
      </c>
      <c r="E35" s="330" t="s">
        <v>840</v>
      </c>
    </row>
    <row r="36" spans="1:6" ht="27.75" customHeight="1" x14ac:dyDescent="0.2">
      <c r="A36" s="325" t="s">
        <v>647</v>
      </c>
      <c r="B36" s="28" t="s">
        <v>1597</v>
      </c>
      <c r="C36" s="313">
        <v>0</v>
      </c>
      <c r="D36" s="330">
        <v>0</v>
      </c>
      <c r="E36" s="330" t="s">
        <v>840</v>
      </c>
    </row>
    <row r="37" spans="1:6" ht="27.75" customHeight="1" x14ac:dyDescent="0.2">
      <c r="A37" s="324" t="s">
        <v>825</v>
      </c>
      <c r="B37" s="28" t="e">
        <v>#N/A</v>
      </c>
      <c r="C37" s="313" t="s">
        <v>845</v>
      </c>
      <c r="D37" s="331" t="s">
        <v>840</v>
      </c>
      <c r="E37" s="330" t="s">
        <v>840</v>
      </c>
      <c r="F37" s="349" t="str">
        <f>A37&amp;" with Residual"</f>
        <v>LDNO HV: Domestic Aggregated or CT with Residual</v>
      </c>
    </row>
    <row r="38" spans="1:6" ht="27.75" customHeight="1" x14ac:dyDescent="0.2">
      <c r="A38" s="324" t="s">
        <v>787</v>
      </c>
      <c r="B38" s="28" t="s">
        <v>1598</v>
      </c>
      <c r="C38" s="313" t="s">
        <v>846</v>
      </c>
      <c r="D38" s="331" t="s">
        <v>840</v>
      </c>
      <c r="E38" s="330" t="s">
        <v>840</v>
      </c>
    </row>
    <row r="39" spans="1:6" ht="27.75" customHeight="1" x14ac:dyDescent="0.2">
      <c r="A39" s="324" t="s">
        <v>794</v>
      </c>
      <c r="B39" s="28" t="s">
        <v>1599</v>
      </c>
      <c r="C39" s="313" t="s">
        <v>846</v>
      </c>
      <c r="D39" s="331" t="s">
        <v>840</v>
      </c>
      <c r="E39" s="330" t="s">
        <v>840</v>
      </c>
    </row>
    <row r="40" spans="1:6" ht="27.75" customHeight="1" x14ac:dyDescent="0.2">
      <c r="A40" s="324" t="s">
        <v>801</v>
      </c>
      <c r="B40" s="28" t="s">
        <v>1600</v>
      </c>
      <c r="C40" s="313" t="s">
        <v>846</v>
      </c>
      <c r="D40" s="331" t="s">
        <v>840</v>
      </c>
      <c r="E40" s="330" t="s">
        <v>840</v>
      </c>
    </row>
    <row r="41" spans="1:6" ht="27.75" customHeight="1" x14ac:dyDescent="0.2">
      <c r="A41" s="324" t="s">
        <v>808</v>
      </c>
      <c r="B41" s="28" t="s">
        <v>1601</v>
      </c>
      <c r="C41" s="313" t="s">
        <v>846</v>
      </c>
      <c r="D41" s="331" t="s">
        <v>840</v>
      </c>
      <c r="E41" s="330" t="s">
        <v>840</v>
      </c>
    </row>
    <row r="42" spans="1:6" ht="27.75" customHeight="1" x14ac:dyDescent="0.2">
      <c r="A42" s="324" t="s">
        <v>815</v>
      </c>
      <c r="B42" s="28" t="s">
        <v>1602</v>
      </c>
      <c r="C42" s="313" t="s">
        <v>846</v>
      </c>
      <c r="D42" s="331" t="s">
        <v>840</v>
      </c>
      <c r="E42" s="330" t="s">
        <v>840</v>
      </c>
    </row>
    <row r="43" spans="1:6" ht="27.75" customHeight="1" x14ac:dyDescent="0.2">
      <c r="A43" s="324" t="s">
        <v>649</v>
      </c>
      <c r="B43" s="28" t="s">
        <v>840</v>
      </c>
      <c r="C43" s="313">
        <v>0</v>
      </c>
      <c r="D43" s="331" t="s">
        <v>840</v>
      </c>
      <c r="E43" s="330" t="s">
        <v>840</v>
      </c>
    </row>
    <row r="44" spans="1:6" ht="27.75" customHeight="1" x14ac:dyDescent="0.2">
      <c r="A44" s="324" t="s">
        <v>650</v>
      </c>
      <c r="B44" s="28" t="s">
        <v>1603</v>
      </c>
      <c r="C44" s="313">
        <v>0</v>
      </c>
      <c r="D44" s="331" t="s">
        <v>840</v>
      </c>
      <c r="E44" s="330" t="s">
        <v>840</v>
      </c>
    </row>
    <row r="45" spans="1:6" ht="27.75" customHeight="1" x14ac:dyDescent="0.2">
      <c r="A45" s="324" t="s">
        <v>651</v>
      </c>
      <c r="B45" s="28" t="s">
        <v>1604</v>
      </c>
      <c r="C45" s="313">
        <v>0</v>
      </c>
      <c r="D45" s="331" t="s">
        <v>840</v>
      </c>
      <c r="E45" s="330" t="s">
        <v>840</v>
      </c>
    </row>
    <row r="46" spans="1:6" ht="27.75" customHeight="1" x14ac:dyDescent="0.2">
      <c r="A46" s="324" t="s">
        <v>652</v>
      </c>
      <c r="B46" s="28" t="s">
        <v>1605</v>
      </c>
      <c r="C46" s="313">
        <v>0</v>
      </c>
      <c r="D46" s="331" t="s">
        <v>840</v>
      </c>
      <c r="E46" s="330" t="s">
        <v>840</v>
      </c>
    </row>
    <row r="47" spans="1:6" ht="27.75" customHeight="1" x14ac:dyDescent="0.2">
      <c r="A47" s="324" t="s">
        <v>653</v>
      </c>
      <c r="B47" s="28" t="s">
        <v>1606</v>
      </c>
      <c r="C47" s="313">
        <v>0</v>
      </c>
      <c r="D47" s="331" t="s">
        <v>840</v>
      </c>
      <c r="E47" s="330" t="s">
        <v>840</v>
      </c>
    </row>
    <row r="48" spans="1:6" ht="27.75" customHeight="1" x14ac:dyDescent="0.2">
      <c r="A48" s="324" t="s">
        <v>654</v>
      </c>
      <c r="B48" s="28" t="s">
        <v>840</v>
      </c>
      <c r="C48" s="313">
        <v>0</v>
      </c>
      <c r="D48" s="331" t="s">
        <v>840</v>
      </c>
      <c r="E48" s="330" t="s">
        <v>840</v>
      </c>
    </row>
    <row r="49" spans="1:6" ht="27.75" customHeight="1" x14ac:dyDescent="0.2">
      <c r="A49" s="324" t="s">
        <v>655</v>
      </c>
      <c r="B49" s="28" t="s">
        <v>1607</v>
      </c>
      <c r="C49" s="313">
        <v>0</v>
      </c>
      <c r="D49" s="331" t="s">
        <v>840</v>
      </c>
      <c r="E49" s="330" t="s">
        <v>840</v>
      </c>
    </row>
    <row r="50" spans="1:6" ht="27.75" customHeight="1" x14ac:dyDescent="0.2">
      <c r="A50" s="324" t="s">
        <v>656</v>
      </c>
      <c r="B50" s="28" t="s">
        <v>1608</v>
      </c>
      <c r="C50" s="313">
        <v>0</v>
      </c>
      <c r="D50" s="331" t="s">
        <v>840</v>
      </c>
      <c r="E50" s="330" t="s">
        <v>840</v>
      </c>
    </row>
    <row r="51" spans="1:6" ht="27.75" customHeight="1" x14ac:dyDescent="0.2">
      <c r="A51" s="324" t="s">
        <v>657</v>
      </c>
      <c r="B51" s="28" t="s">
        <v>1609</v>
      </c>
      <c r="C51" s="313">
        <v>0</v>
      </c>
      <c r="D51" s="331" t="s">
        <v>840</v>
      </c>
      <c r="E51" s="330" t="s">
        <v>840</v>
      </c>
    </row>
    <row r="52" spans="1:6" ht="27.75" customHeight="1" x14ac:dyDescent="0.2">
      <c r="A52" s="324" t="s">
        <v>658</v>
      </c>
      <c r="B52" s="28" t="s">
        <v>1610</v>
      </c>
      <c r="C52" s="313">
        <v>0</v>
      </c>
      <c r="D52" s="331" t="s">
        <v>840</v>
      </c>
      <c r="E52" s="330" t="s">
        <v>840</v>
      </c>
    </row>
    <row r="53" spans="1:6" ht="27.75" customHeight="1" x14ac:dyDescent="0.2">
      <c r="A53" s="324" t="s">
        <v>659</v>
      </c>
      <c r="B53" s="28" t="s">
        <v>840</v>
      </c>
      <c r="C53" s="313">
        <v>0</v>
      </c>
      <c r="D53" s="331" t="s">
        <v>840</v>
      </c>
      <c r="E53" s="330" t="s">
        <v>840</v>
      </c>
    </row>
    <row r="54" spans="1:6" ht="27.75" customHeight="1" x14ac:dyDescent="0.2">
      <c r="A54" s="324" t="s">
        <v>660</v>
      </c>
      <c r="B54" s="28" t="s">
        <v>1611</v>
      </c>
      <c r="C54" s="313">
        <v>0</v>
      </c>
      <c r="D54" s="331" t="s">
        <v>840</v>
      </c>
      <c r="E54" s="330" t="s">
        <v>840</v>
      </c>
    </row>
    <row r="55" spans="1:6" ht="27.75" customHeight="1" x14ac:dyDescent="0.2">
      <c r="A55" s="324" t="s">
        <v>661</v>
      </c>
      <c r="B55" s="28" t="s">
        <v>1612</v>
      </c>
      <c r="C55" s="313">
        <v>0</v>
      </c>
      <c r="D55" s="331" t="s">
        <v>840</v>
      </c>
      <c r="E55" s="330" t="s">
        <v>840</v>
      </c>
    </row>
    <row r="56" spans="1:6" ht="27.75" customHeight="1" x14ac:dyDescent="0.2">
      <c r="A56" s="324" t="s">
        <v>662</v>
      </c>
      <c r="B56" s="28" t="s">
        <v>1613</v>
      </c>
      <c r="C56" s="313">
        <v>0</v>
      </c>
      <c r="D56" s="331" t="s">
        <v>840</v>
      </c>
      <c r="E56" s="330" t="s">
        <v>840</v>
      </c>
    </row>
    <row r="57" spans="1:6" ht="27.75" customHeight="1" x14ac:dyDescent="0.2">
      <c r="A57" s="324" t="s">
        <v>663</v>
      </c>
      <c r="B57" s="28" t="s">
        <v>1614</v>
      </c>
      <c r="C57" s="313">
        <v>0</v>
      </c>
      <c r="D57" s="330">
        <v>0</v>
      </c>
      <c r="E57" s="330" t="s">
        <v>840</v>
      </c>
    </row>
    <row r="58" spans="1:6" ht="27.75" customHeight="1" x14ac:dyDescent="0.2">
      <c r="A58" s="324" t="s">
        <v>826</v>
      </c>
      <c r="B58" s="28" t="e">
        <v>#N/A</v>
      </c>
      <c r="C58" s="313" t="s">
        <v>845</v>
      </c>
      <c r="D58" s="331" t="s">
        <v>840</v>
      </c>
      <c r="E58" s="330" t="s">
        <v>840</v>
      </c>
      <c r="F58" s="349" t="str">
        <f>A58&amp;" with Residual"</f>
        <v>LDNO HVplus: Domestic Aggregated or CT with Residual</v>
      </c>
    </row>
    <row r="59" spans="1:6" ht="27.75" customHeight="1" x14ac:dyDescent="0.2">
      <c r="A59" s="324" t="s">
        <v>788</v>
      </c>
      <c r="B59" s="28" t="s">
        <v>1615</v>
      </c>
      <c r="C59" s="313" t="s">
        <v>846</v>
      </c>
      <c r="D59" s="331" t="s">
        <v>840</v>
      </c>
      <c r="E59" s="330" t="s">
        <v>840</v>
      </c>
    </row>
    <row r="60" spans="1:6" ht="27.75" customHeight="1" x14ac:dyDescent="0.2">
      <c r="A60" s="324" t="s">
        <v>795</v>
      </c>
      <c r="B60" s="28" t="s">
        <v>1616</v>
      </c>
      <c r="C60" s="313" t="s">
        <v>846</v>
      </c>
      <c r="D60" s="331" t="s">
        <v>840</v>
      </c>
      <c r="E60" s="330" t="s">
        <v>840</v>
      </c>
    </row>
    <row r="61" spans="1:6" ht="27.75" customHeight="1" x14ac:dyDescent="0.2">
      <c r="A61" s="324" t="s">
        <v>802</v>
      </c>
      <c r="B61" s="28" t="s">
        <v>1617</v>
      </c>
      <c r="C61" s="313" t="s">
        <v>846</v>
      </c>
      <c r="D61" s="331" t="s">
        <v>840</v>
      </c>
      <c r="E61" s="330" t="s">
        <v>840</v>
      </c>
    </row>
    <row r="62" spans="1:6" ht="27.75" customHeight="1" x14ac:dyDescent="0.2">
      <c r="A62" s="324" t="s">
        <v>809</v>
      </c>
      <c r="B62" s="28" t="s">
        <v>1618</v>
      </c>
      <c r="C62" s="313" t="s">
        <v>846</v>
      </c>
      <c r="D62" s="331" t="s">
        <v>840</v>
      </c>
      <c r="E62" s="330" t="s">
        <v>840</v>
      </c>
    </row>
    <row r="63" spans="1:6" ht="27.75" customHeight="1" x14ac:dyDescent="0.2">
      <c r="A63" s="324" t="s">
        <v>816</v>
      </c>
      <c r="B63" s="28" t="s">
        <v>1619</v>
      </c>
      <c r="C63" s="313" t="s">
        <v>846</v>
      </c>
      <c r="D63" s="331" t="s">
        <v>840</v>
      </c>
      <c r="E63" s="330" t="s">
        <v>840</v>
      </c>
    </row>
    <row r="64" spans="1:6" ht="27.75" customHeight="1" x14ac:dyDescent="0.2">
      <c r="A64" s="324" t="s">
        <v>665</v>
      </c>
      <c r="B64" s="28" t="s">
        <v>840</v>
      </c>
      <c r="C64" s="313">
        <v>0</v>
      </c>
      <c r="D64" s="331" t="s">
        <v>840</v>
      </c>
      <c r="E64" s="330" t="s">
        <v>840</v>
      </c>
    </row>
    <row r="65" spans="1:6" ht="27.75" customHeight="1" x14ac:dyDescent="0.2">
      <c r="A65" s="324" t="s">
        <v>666</v>
      </c>
      <c r="B65" s="28" t="s">
        <v>1620</v>
      </c>
      <c r="C65" s="313">
        <v>0</v>
      </c>
      <c r="D65" s="331" t="s">
        <v>840</v>
      </c>
      <c r="E65" s="330" t="s">
        <v>840</v>
      </c>
    </row>
    <row r="66" spans="1:6" ht="27.75" customHeight="1" x14ac:dyDescent="0.2">
      <c r="A66" s="324" t="s">
        <v>667</v>
      </c>
      <c r="B66" s="28" t="s">
        <v>1621</v>
      </c>
      <c r="C66" s="313">
        <v>0</v>
      </c>
      <c r="D66" s="331" t="s">
        <v>840</v>
      </c>
      <c r="E66" s="330" t="s">
        <v>840</v>
      </c>
    </row>
    <row r="67" spans="1:6" ht="27.75" customHeight="1" x14ac:dyDescent="0.2">
      <c r="A67" s="324" t="s">
        <v>668</v>
      </c>
      <c r="B67" s="28" t="s">
        <v>1622</v>
      </c>
      <c r="C67" s="313">
        <v>0</v>
      </c>
      <c r="D67" s="331" t="s">
        <v>840</v>
      </c>
      <c r="E67" s="330" t="s">
        <v>840</v>
      </c>
    </row>
    <row r="68" spans="1:6" ht="27.75" customHeight="1" x14ac:dyDescent="0.2">
      <c r="A68" s="324" t="s">
        <v>669</v>
      </c>
      <c r="B68" s="28" t="s">
        <v>1623</v>
      </c>
      <c r="C68" s="313">
        <v>0</v>
      </c>
      <c r="D68" s="331" t="s">
        <v>840</v>
      </c>
      <c r="E68" s="330" t="s">
        <v>840</v>
      </c>
    </row>
    <row r="69" spans="1:6" ht="27.75" customHeight="1" x14ac:dyDescent="0.2">
      <c r="A69" s="324" t="s">
        <v>670</v>
      </c>
      <c r="B69" s="28" t="s">
        <v>840</v>
      </c>
      <c r="C69" s="313">
        <v>0</v>
      </c>
      <c r="D69" s="331" t="s">
        <v>840</v>
      </c>
      <c r="E69" s="330" t="s">
        <v>840</v>
      </c>
    </row>
    <row r="70" spans="1:6" ht="27.75" customHeight="1" x14ac:dyDescent="0.2">
      <c r="A70" s="324" t="s">
        <v>671</v>
      </c>
      <c r="B70" s="28" t="s">
        <v>1624</v>
      </c>
      <c r="C70" s="313">
        <v>0</v>
      </c>
      <c r="D70" s="331" t="s">
        <v>840</v>
      </c>
      <c r="E70" s="330" t="s">
        <v>840</v>
      </c>
    </row>
    <row r="71" spans="1:6" ht="27.75" customHeight="1" x14ac:dyDescent="0.2">
      <c r="A71" s="324" t="s">
        <v>672</v>
      </c>
      <c r="B71" s="28" t="s">
        <v>1625</v>
      </c>
      <c r="C71" s="313">
        <v>0</v>
      </c>
      <c r="D71" s="331" t="s">
        <v>840</v>
      </c>
      <c r="E71" s="330" t="s">
        <v>840</v>
      </c>
    </row>
    <row r="72" spans="1:6" ht="27.75" customHeight="1" x14ac:dyDescent="0.2">
      <c r="A72" s="324" t="s">
        <v>673</v>
      </c>
      <c r="B72" s="28" t="s">
        <v>1626</v>
      </c>
      <c r="C72" s="313">
        <v>0</v>
      </c>
      <c r="D72" s="331" t="s">
        <v>840</v>
      </c>
      <c r="E72" s="330" t="s">
        <v>840</v>
      </c>
    </row>
    <row r="73" spans="1:6" ht="27.75" customHeight="1" x14ac:dyDescent="0.2">
      <c r="A73" s="324" t="s">
        <v>674</v>
      </c>
      <c r="B73" s="28" t="s">
        <v>1627</v>
      </c>
      <c r="C73" s="313">
        <v>0</v>
      </c>
      <c r="D73" s="331" t="s">
        <v>840</v>
      </c>
      <c r="E73" s="330" t="s">
        <v>840</v>
      </c>
    </row>
    <row r="74" spans="1:6" ht="27.75" customHeight="1" x14ac:dyDescent="0.2">
      <c r="A74" s="324" t="s">
        <v>675</v>
      </c>
      <c r="B74" s="28" t="s">
        <v>840</v>
      </c>
      <c r="C74" s="313">
        <v>0</v>
      </c>
      <c r="D74" s="331" t="s">
        <v>840</v>
      </c>
      <c r="E74" s="330" t="s">
        <v>840</v>
      </c>
    </row>
    <row r="75" spans="1:6" ht="27.75" customHeight="1" x14ac:dyDescent="0.2">
      <c r="A75" s="324" t="s">
        <v>676</v>
      </c>
      <c r="B75" s="28" t="s">
        <v>1628</v>
      </c>
      <c r="C75" s="313">
        <v>0</v>
      </c>
      <c r="D75" s="331" t="s">
        <v>840</v>
      </c>
      <c r="E75" s="330" t="s">
        <v>840</v>
      </c>
    </row>
    <row r="76" spans="1:6" ht="27.75" customHeight="1" x14ac:dyDescent="0.2">
      <c r="A76" s="324" t="s">
        <v>677</v>
      </c>
      <c r="B76" s="28" t="s">
        <v>1629</v>
      </c>
      <c r="C76" s="313">
        <v>0</v>
      </c>
      <c r="D76" s="331" t="s">
        <v>840</v>
      </c>
      <c r="E76" s="330" t="s">
        <v>840</v>
      </c>
    </row>
    <row r="77" spans="1:6" ht="27.75" customHeight="1" x14ac:dyDescent="0.2">
      <c r="A77" s="324" t="s">
        <v>678</v>
      </c>
      <c r="B77" s="28" t="s">
        <v>1630</v>
      </c>
      <c r="C77" s="313">
        <v>0</v>
      </c>
      <c r="D77" s="331" t="s">
        <v>840</v>
      </c>
      <c r="E77" s="330" t="s">
        <v>840</v>
      </c>
    </row>
    <row r="78" spans="1:6" ht="27.75" customHeight="1" x14ac:dyDescent="0.2">
      <c r="A78" s="324" t="s">
        <v>679</v>
      </c>
      <c r="B78" s="28" t="s">
        <v>1631</v>
      </c>
      <c r="C78" s="313">
        <v>0</v>
      </c>
      <c r="D78" s="330">
        <v>0</v>
      </c>
      <c r="E78" s="330" t="s">
        <v>840</v>
      </c>
    </row>
    <row r="79" spans="1:6" ht="27.75" customHeight="1" x14ac:dyDescent="0.2">
      <c r="A79" s="324" t="s">
        <v>827</v>
      </c>
      <c r="B79" s="28" t="e">
        <v>#N/A</v>
      </c>
      <c r="C79" s="313" t="s">
        <v>845</v>
      </c>
      <c r="D79" s="331" t="s">
        <v>840</v>
      </c>
      <c r="E79" s="330" t="s">
        <v>840</v>
      </c>
      <c r="F79" s="349" t="str">
        <f>A79&amp;" with Residual"</f>
        <v>LDNO EHV: Domestic Aggregated or CT with Residual</v>
      </c>
    </row>
    <row r="80" spans="1:6" ht="27.75" customHeight="1" x14ac:dyDescent="0.2">
      <c r="A80" s="324" t="s">
        <v>789</v>
      </c>
      <c r="B80" s="28" t="s">
        <v>1632</v>
      </c>
      <c r="C80" s="313" t="s">
        <v>846</v>
      </c>
      <c r="D80" s="331" t="s">
        <v>840</v>
      </c>
      <c r="E80" s="330" t="s">
        <v>840</v>
      </c>
    </row>
    <row r="81" spans="1:5" ht="27.75" customHeight="1" x14ac:dyDescent="0.2">
      <c r="A81" s="324" t="s">
        <v>796</v>
      </c>
      <c r="B81" s="28" t="s">
        <v>1633</v>
      </c>
      <c r="C81" s="313" t="s">
        <v>846</v>
      </c>
      <c r="D81" s="331" t="s">
        <v>840</v>
      </c>
      <c r="E81" s="330" t="s">
        <v>840</v>
      </c>
    </row>
    <row r="82" spans="1:5" ht="27.75" customHeight="1" x14ac:dyDescent="0.2">
      <c r="A82" s="324" t="s">
        <v>803</v>
      </c>
      <c r="B82" s="28" t="s">
        <v>1634</v>
      </c>
      <c r="C82" s="313" t="s">
        <v>846</v>
      </c>
      <c r="D82" s="331" t="s">
        <v>840</v>
      </c>
      <c r="E82" s="330" t="s">
        <v>840</v>
      </c>
    </row>
    <row r="83" spans="1:5" ht="27.75" customHeight="1" x14ac:dyDescent="0.2">
      <c r="A83" s="324" t="s">
        <v>810</v>
      </c>
      <c r="B83" s="28" t="s">
        <v>1635</v>
      </c>
      <c r="C83" s="313" t="s">
        <v>846</v>
      </c>
      <c r="D83" s="331" t="s">
        <v>840</v>
      </c>
      <c r="E83" s="330" t="s">
        <v>840</v>
      </c>
    </row>
    <row r="84" spans="1:5" ht="27.75" customHeight="1" x14ac:dyDescent="0.2">
      <c r="A84" s="324" t="s">
        <v>817</v>
      </c>
      <c r="B84" s="28" t="s">
        <v>1636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1637</v>
      </c>
      <c r="C86" s="313">
        <v>0</v>
      </c>
      <c r="D86" s="331" t="s">
        <v>840</v>
      </c>
      <c r="E86" s="330" t="s">
        <v>840</v>
      </c>
    </row>
    <row r="87" spans="1:5" ht="27.75" customHeight="1" x14ac:dyDescent="0.2">
      <c r="A87" s="324" t="s">
        <v>683</v>
      </c>
      <c r="B87" s="28" t="s">
        <v>1638</v>
      </c>
      <c r="C87" s="313">
        <v>0</v>
      </c>
      <c r="D87" s="331" t="s">
        <v>840</v>
      </c>
      <c r="E87" s="330" t="s">
        <v>840</v>
      </c>
    </row>
    <row r="88" spans="1:5" ht="27.75" customHeight="1" x14ac:dyDescent="0.2">
      <c r="A88" s="324" t="s">
        <v>684</v>
      </c>
      <c r="B88" s="28" t="s">
        <v>1639</v>
      </c>
      <c r="C88" s="313">
        <v>0</v>
      </c>
      <c r="D88" s="331" t="s">
        <v>840</v>
      </c>
      <c r="E88" s="330" t="s">
        <v>840</v>
      </c>
    </row>
    <row r="89" spans="1:5" ht="27.75" customHeight="1" x14ac:dyDescent="0.2">
      <c r="A89" s="324" t="s">
        <v>685</v>
      </c>
      <c r="B89" s="28" t="s">
        <v>1640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1641</v>
      </c>
      <c r="C91" s="313">
        <v>0</v>
      </c>
      <c r="D91" s="331" t="s">
        <v>840</v>
      </c>
      <c r="E91" s="330" t="s">
        <v>840</v>
      </c>
    </row>
    <row r="92" spans="1:5" ht="27.75" customHeight="1" x14ac:dyDescent="0.2">
      <c r="A92" s="324" t="s">
        <v>688</v>
      </c>
      <c r="B92" s="28" t="s">
        <v>1642</v>
      </c>
      <c r="C92" s="313">
        <v>0</v>
      </c>
      <c r="D92" s="331" t="s">
        <v>840</v>
      </c>
      <c r="E92" s="330" t="s">
        <v>840</v>
      </c>
    </row>
    <row r="93" spans="1:5" ht="27.75" customHeight="1" x14ac:dyDescent="0.2">
      <c r="A93" s="324" t="s">
        <v>689</v>
      </c>
      <c r="B93" s="28" t="s">
        <v>1643</v>
      </c>
      <c r="C93" s="313">
        <v>0</v>
      </c>
      <c r="D93" s="331" t="s">
        <v>840</v>
      </c>
      <c r="E93" s="330" t="s">
        <v>840</v>
      </c>
    </row>
    <row r="94" spans="1:5" ht="27.75" customHeight="1" x14ac:dyDescent="0.2">
      <c r="A94" s="324" t="s">
        <v>690</v>
      </c>
      <c r="B94" s="28" t="s">
        <v>1644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1645</v>
      </c>
      <c r="C96" s="313">
        <v>0</v>
      </c>
      <c r="D96" s="331" t="s">
        <v>840</v>
      </c>
      <c r="E96" s="330" t="s">
        <v>840</v>
      </c>
    </row>
    <row r="97" spans="1:5" ht="27.75" customHeight="1" x14ac:dyDescent="0.2">
      <c r="A97" s="324" t="s">
        <v>693</v>
      </c>
      <c r="B97" s="28" t="s">
        <v>1646</v>
      </c>
      <c r="C97" s="313">
        <v>0</v>
      </c>
      <c r="D97" s="331" t="s">
        <v>840</v>
      </c>
      <c r="E97" s="330" t="s">
        <v>840</v>
      </c>
    </row>
    <row r="98" spans="1:5" ht="27.75" customHeight="1" x14ac:dyDescent="0.2">
      <c r="A98" s="324" t="s">
        <v>694</v>
      </c>
      <c r="B98" s="28" t="s">
        <v>1647</v>
      </c>
      <c r="C98" s="313">
        <v>0</v>
      </c>
      <c r="D98" s="331" t="s">
        <v>840</v>
      </c>
      <c r="E98" s="330" t="s">
        <v>840</v>
      </c>
    </row>
    <row r="99" spans="1:5" ht="27.75" customHeight="1" x14ac:dyDescent="0.2">
      <c r="A99" s="324" t="s">
        <v>695</v>
      </c>
      <c r="B99" s="28"/>
      <c r="C99" s="313">
        <v>0</v>
      </c>
      <c r="D99" s="330">
        <v>0</v>
      </c>
      <c r="E99" s="330" t="s">
        <v>840</v>
      </c>
    </row>
    <row r="100" spans="1:5" ht="27.75" customHeight="1" x14ac:dyDescent="0.2">
      <c r="A100" s="324" t="s">
        <v>828</v>
      </c>
      <c r="B100" s="28"/>
      <c r="C100" s="313" t="s">
        <v>845</v>
      </c>
      <c r="D100" s="331"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0">
        <v>0</v>
      </c>
      <c r="E120" s="330" t="s">
        <v>840</v>
      </c>
    </row>
    <row r="121" spans="1:5" ht="27.75" customHeight="1" x14ac:dyDescent="0.2">
      <c r="A121" s="324" t="s">
        <v>829</v>
      </c>
      <c r="B121" s="28"/>
      <c r="C121" s="313" t="s">
        <v>845</v>
      </c>
      <c r="D121" s="331"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0">
        <v>0</v>
      </c>
      <c r="E141" s="330" t="s">
        <v>840</v>
      </c>
    </row>
    <row r="142" spans="1:5" ht="27.75" customHeight="1" x14ac:dyDescent="0.2">
      <c r="A142" s="324" t="s">
        <v>830</v>
      </c>
      <c r="B142" s="28"/>
      <c r="C142" s="313" t="s">
        <v>845</v>
      </c>
      <c r="D142" s="331"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24" t="s">
        <v>743</v>
      </c>
      <c r="B162" s="28" t="s">
        <v>840</v>
      </c>
      <c r="C162" s="313">
        <v>0</v>
      </c>
      <c r="D162" s="331" t="s">
        <v>840</v>
      </c>
      <c r="E162" s="330" t="s">
        <v>840</v>
      </c>
    </row>
    <row r="163" spans="1:5" ht="27.75" customHeight="1" x14ac:dyDescent="0.2">
      <c r="A163" s="1" t="s">
        <v>821</v>
      </c>
    </row>
    <row r="164" spans="1:5" ht="27.75" customHeight="1" x14ac:dyDescent="0.2">
      <c r="A164" s="1" t="s">
        <v>822</v>
      </c>
    </row>
  </sheetData>
  <mergeCells count="3">
    <mergeCell ref="B1:C1"/>
    <mergeCell ref="A2:E2"/>
    <mergeCell ref="G4:M5"/>
  </mergeCells>
  <hyperlinks>
    <hyperlink ref="A1" location="Overview!A1" display="Back to Overview" xr:uid="{8634C2B6-0051-4FAA-AFA1-910B9B2764D7}"/>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4EA6-7BF0-4664-84C4-49002857E5C3}">
  <dimension ref="A1:M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13" ht="27.75" customHeight="1" x14ac:dyDescent="0.2">
      <c r="A1" s="32" t="s">
        <v>19</v>
      </c>
      <c r="B1" s="519"/>
      <c r="C1" s="519"/>
      <c r="D1" s="329"/>
      <c r="E1" s="329"/>
    </row>
    <row r="2" spans="1:13" ht="35.1" customHeight="1" x14ac:dyDescent="0.2">
      <c r="A2" s="520" t="str">
        <f>Overview!B4&amp; " - Effective from "&amp;TEXT(Overview!D4,"d mmmm yyyy")&amp;" - "&amp;Overview!E4&amp;" Supplier of Last Resort and Eligible Bad Debt Pass-Through Costs"&amp;" in SSE SEPD Area (GSP Group_H)"</f>
        <v>Leep Electricity Networks Limited - Effective from 1 April 2026 - Final Supplier of Last Resort and Eligible Bad Debt Pass-Through Costs in SSE SEPD Area (GSP Group_H)</v>
      </c>
      <c r="B2" s="521"/>
      <c r="C2" s="521"/>
      <c r="D2" s="521"/>
      <c r="E2" s="521"/>
    </row>
    <row r="3" spans="1:13" s="41" customFormat="1" ht="21" customHeight="1" x14ac:dyDescent="0.2">
      <c r="A3" s="46"/>
      <c r="B3" s="46"/>
      <c r="C3" s="46"/>
      <c r="D3" s="46"/>
      <c r="E3" s="46"/>
      <c r="F3" s="348"/>
    </row>
    <row r="4" spans="1:13" ht="78.75" customHeight="1" x14ac:dyDescent="0.2">
      <c r="A4" s="19" t="s">
        <v>458</v>
      </c>
      <c r="B4" s="16" t="s">
        <v>744</v>
      </c>
      <c r="C4" s="16" t="s">
        <v>24</v>
      </c>
      <c r="D4" s="16" t="s">
        <v>745</v>
      </c>
      <c r="E4" s="16" t="s">
        <v>746</v>
      </c>
      <c r="G4" s="395"/>
      <c r="H4" s="396"/>
      <c r="I4" s="396"/>
      <c r="J4" s="396"/>
      <c r="K4" s="396"/>
      <c r="L4" s="396"/>
      <c r="M4" s="397"/>
    </row>
    <row r="5" spans="1:13" ht="32.25" customHeight="1" x14ac:dyDescent="0.2">
      <c r="A5" s="10" t="s">
        <v>773</v>
      </c>
      <c r="B5" s="28"/>
      <c r="C5" s="313" t="s">
        <v>845</v>
      </c>
      <c r="D5" s="330" t="s">
        <v>840</v>
      </c>
      <c r="E5" s="330" t="s">
        <v>840</v>
      </c>
      <c r="G5" s="396"/>
      <c r="H5" s="396"/>
      <c r="I5" s="396"/>
      <c r="J5" s="396"/>
      <c r="K5" s="396"/>
      <c r="L5" s="396"/>
      <c r="M5" s="397"/>
    </row>
    <row r="6" spans="1:13" ht="27" customHeight="1" x14ac:dyDescent="0.2">
      <c r="A6" s="10" t="s">
        <v>774</v>
      </c>
      <c r="B6" s="28"/>
      <c r="C6" s="313" t="s">
        <v>846</v>
      </c>
      <c r="D6" s="331" t="s">
        <v>840</v>
      </c>
      <c r="E6" s="330" t="s">
        <v>840</v>
      </c>
    </row>
    <row r="7" spans="1:13" ht="27" customHeight="1" x14ac:dyDescent="0.2">
      <c r="A7" s="10" t="s">
        <v>775</v>
      </c>
      <c r="B7" s="28"/>
      <c r="C7" s="313" t="s">
        <v>846</v>
      </c>
      <c r="D7" s="331" t="s">
        <v>840</v>
      </c>
      <c r="E7" s="330" t="s">
        <v>840</v>
      </c>
    </row>
    <row r="8" spans="1:13" ht="27" customHeight="1" x14ac:dyDescent="0.2">
      <c r="A8" s="10" t="s">
        <v>776</v>
      </c>
      <c r="B8" s="28"/>
      <c r="C8" s="313" t="s">
        <v>846</v>
      </c>
      <c r="D8" s="331" t="s">
        <v>840</v>
      </c>
      <c r="E8" s="330" t="s">
        <v>840</v>
      </c>
    </row>
    <row r="9" spans="1:13" ht="27" customHeight="1" x14ac:dyDescent="0.2">
      <c r="A9" s="10" t="s">
        <v>777</v>
      </c>
      <c r="B9" s="28"/>
      <c r="C9" s="313" t="s">
        <v>846</v>
      </c>
      <c r="D9" s="331" t="s">
        <v>840</v>
      </c>
      <c r="E9" s="330" t="s">
        <v>840</v>
      </c>
    </row>
    <row r="10" spans="1:13" ht="27" customHeight="1" x14ac:dyDescent="0.2">
      <c r="A10" s="10" t="s">
        <v>778</v>
      </c>
      <c r="B10" s="28"/>
      <c r="C10" s="313" t="s">
        <v>846</v>
      </c>
      <c r="D10" s="331" t="s">
        <v>840</v>
      </c>
      <c r="E10" s="330" t="s">
        <v>840</v>
      </c>
    </row>
    <row r="11" spans="1:13" ht="27" customHeight="1" x14ac:dyDescent="0.2">
      <c r="A11" s="324" t="s">
        <v>595</v>
      </c>
      <c r="B11" s="28"/>
      <c r="C11" s="313">
        <v>0</v>
      </c>
      <c r="D11" s="331" t="s">
        <v>840</v>
      </c>
      <c r="E11" s="330" t="s">
        <v>840</v>
      </c>
    </row>
    <row r="12" spans="1:13" ht="27" customHeight="1" x14ac:dyDescent="0.2">
      <c r="A12" s="324" t="s">
        <v>596</v>
      </c>
      <c r="B12" s="28"/>
      <c r="C12" s="313">
        <v>0</v>
      </c>
      <c r="D12" s="331" t="s">
        <v>840</v>
      </c>
      <c r="E12" s="330" t="s">
        <v>840</v>
      </c>
    </row>
    <row r="13" spans="1:13" ht="27.75" customHeight="1" x14ac:dyDescent="0.2">
      <c r="A13" s="324" t="s">
        <v>597</v>
      </c>
      <c r="B13" s="28"/>
      <c r="C13" s="313">
        <v>0</v>
      </c>
      <c r="D13" s="331" t="s">
        <v>840</v>
      </c>
      <c r="E13" s="330" t="s">
        <v>840</v>
      </c>
    </row>
    <row r="14" spans="1:13" ht="27.75" customHeight="1" x14ac:dyDescent="0.2">
      <c r="A14" s="325" t="s">
        <v>598</v>
      </c>
      <c r="B14" s="28"/>
      <c r="C14" s="313">
        <v>0</v>
      </c>
      <c r="D14" s="331" t="s">
        <v>840</v>
      </c>
      <c r="E14" s="330" t="s">
        <v>840</v>
      </c>
    </row>
    <row r="15" spans="1:13" ht="27.75" customHeight="1" x14ac:dyDescent="0.2">
      <c r="A15" s="325" t="s">
        <v>599</v>
      </c>
      <c r="B15" s="28"/>
      <c r="C15" s="313">
        <v>0</v>
      </c>
      <c r="D15" s="331" t="s">
        <v>840</v>
      </c>
      <c r="E15" s="330" t="s">
        <v>840</v>
      </c>
    </row>
    <row r="16" spans="1:13" ht="27.75" customHeight="1" x14ac:dyDescent="0.2">
      <c r="A16" s="325" t="s">
        <v>600</v>
      </c>
      <c r="B16" s="28"/>
      <c r="C16" s="313">
        <v>0</v>
      </c>
      <c r="D16" s="331" t="s">
        <v>840</v>
      </c>
      <c r="E16" s="330" t="s">
        <v>840</v>
      </c>
    </row>
    <row r="17" spans="1:6" ht="27.75" customHeight="1" x14ac:dyDescent="0.2">
      <c r="A17" s="325" t="s">
        <v>601</v>
      </c>
      <c r="B17" s="28"/>
      <c r="C17" s="313">
        <v>0</v>
      </c>
      <c r="D17" s="331" t="s">
        <v>840</v>
      </c>
      <c r="E17" s="330" t="s">
        <v>840</v>
      </c>
    </row>
    <row r="18" spans="1:6" ht="27.75" customHeight="1" x14ac:dyDescent="0.2">
      <c r="A18" s="325" t="s">
        <v>602</v>
      </c>
      <c r="B18" s="28"/>
      <c r="C18" s="313">
        <v>0</v>
      </c>
      <c r="D18" s="331" t="s">
        <v>840</v>
      </c>
      <c r="E18" s="330" t="s">
        <v>840</v>
      </c>
    </row>
    <row r="19" spans="1:6" ht="27.75" customHeight="1" x14ac:dyDescent="0.2">
      <c r="A19" s="325" t="s">
        <v>603</v>
      </c>
      <c r="B19" s="28"/>
      <c r="C19" s="313">
        <v>0</v>
      </c>
      <c r="D19" s="331" t="s">
        <v>840</v>
      </c>
      <c r="E19" s="330" t="s">
        <v>840</v>
      </c>
    </row>
    <row r="20" spans="1:6" ht="27.75" customHeight="1" x14ac:dyDescent="0.2">
      <c r="A20" s="325" t="s">
        <v>604</v>
      </c>
      <c r="B20" s="28"/>
      <c r="C20" s="313">
        <v>0</v>
      </c>
      <c r="D20" s="331" t="s">
        <v>840</v>
      </c>
      <c r="E20" s="330" t="s">
        <v>840</v>
      </c>
    </row>
    <row r="21" spans="1:6" ht="27.75" customHeight="1" x14ac:dyDescent="0.2">
      <c r="A21" s="325" t="s">
        <v>605</v>
      </c>
      <c r="B21" s="28"/>
      <c r="C21" s="313">
        <v>0</v>
      </c>
      <c r="D21" s="331" t="s">
        <v>840</v>
      </c>
      <c r="E21" s="330" t="s">
        <v>840</v>
      </c>
    </row>
    <row r="22" spans="1:6" ht="27.75" customHeight="1" x14ac:dyDescent="0.2">
      <c r="A22" s="324" t="s">
        <v>606</v>
      </c>
      <c r="B22" s="28"/>
      <c r="C22" s="313">
        <v>0</v>
      </c>
      <c r="D22" s="331" t="s">
        <v>840</v>
      </c>
      <c r="E22" s="330" t="s">
        <v>840</v>
      </c>
    </row>
    <row r="23" spans="1:6" ht="27.75" customHeight="1" x14ac:dyDescent="0.2">
      <c r="A23" s="324" t="s">
        <v>607</v>
      </c>
      <c r="B23" s="28"/>
      <c r="C23" s="313">
        <v>0</v>
      </c>
      <c r="D23" s="331" t="s">
        <v>840</v>
      </c>
      <c r="E23" s="330" t="s">
        <v>840</v>
      </c>
    </row>
    <row r="24" spans="1:6" ht="27.75" customHeight="1" x14ac:dyDescent="0.2">
      <c r="A24" s="324" t="s">
        <v>608</v>
      </c>
      <c r="B24" s="28"/>
      <c r="C24" s="313">
        <v>0</v>
      </c>
      <c r="D24" s="331" t="s">
        <v>840</v>
      </c>
      <c r="E24" s="330" t="s">
        <v>840</v>
      </c>
    </row>
    <row r="25" spans="1:6" ht="27.75" customHeight="1" x14ac:dyDescent="0.2">
      <c r="A25" s="324" t="s">
        <v>609</v>
      </c>
      <c r="B25" s="28"/>
      <c r="C25" s="313">
        <v>0</v>
      </c>
      <c r="D25" s="330" t="s">
        <v>840</v>
      </c>
      <c r="E25" s="330" t="s">
        <v>840</v>
      </c>
    </row>
    <row r="26" spans="1:6" ht="27.75" customHeight="1" x14ac:dyDescent="0.2">
      <c r="A26" s="324" t="s">
        <v>779</v>
      </c>
      <c r="B26" s="28" t="s">
        <v>1648</v>
      </c>
      <c r="C26" s="313" t="s">
        <v>845</v>
      </c>
      <c r="D26" s="331" t="s">
        <v>840</v>
      </c>
      <c r="E26" s="330" t="s">
        <v>840</v>
      </c>
      <c r="F26" s="349" t="str">
        <f>A26&amp;" with Residual"</f>
        <v>LDNO LV: Domestic Aggregated or CT with Residual with Residual</v>
      </c>
    </row>
    <row r="27" spans="1:6" ht="27.75" customHeight="1" x14ac:dyDescent="0.2">
      <c r="A27" s="324" t="s">
        <v>786</v>
      </c>
      <c r="B27" s="28" t="s">
        <v>1649</v>
      </c>
      <c r="C27" s="313" t="s">
        <v>846</v>
      </c>
      <c r="D27" s="331" t="s">
        <v>840</v>
      </c>
      <c r="E27" s="330" t="s">
        <v>840</v>
      </c>
    </row>
    <row r="28" spans="1:6" ht="27.75" customHeight="1" x14ac:dyDescent="0.2">
      <c r="A28" s="324" t="s">
        <v>793</v>
      </c>
      <c r="B28" s="28" t="s">
        <v>1650</v>
      </c>
      <c r="C28" s="313" t="s">
        <v>846</v>
      </c>
      <c r="D28" s="331" t="s">
        <v>840</v>
      </c>
      <c r="E28" s="330" t="s">
        <v>840</v>
      </c>
    </row>
    <row r="29" spans="1:6" ht="27.75" customHeight="1" x14ac:dyDescent="0.2">
      <c r="A29" s="324" t="s">
        <v>800</v>
      </c>
      <c r="B29" s="28" t="s">
        <v>1651</v>
      </c>
      <c r="C29" s="313" t="s">
        <v>846</v>
      </c>
      <c r="D29" s="331" t="s">
        <v>840</v>
      </c>
      <c r="E29" s="330" t="s">
        <v>840</v>
      </c>
    </row>
    <row r="30" spans="1:6" ht="27.75" customHeight="1" x14ac:dyDescent="0.2">
      <c r="A30" s="324" t="s">
        <v>807</v>
      </c>
      <c r="B30" s="28" t="s">
        <v>1652</v>
      </c>
      <c r="C30" s="313" t="s">
        <v>846</v>
      </c>
      <c r="D30" s="331" t="s">
        <v>840</v>
      </c>
      <c r="E30" s="330" t="s">
        <v>840</v>
      </c>
    </row>
    <row r="31" spans="1:6" ht="27.75" customHeight="1" x14ac:dyDescent="0.2">
      <c r="A31" s="324" t="s">
        <v>814</v>
      </c>
      <c r="B31" s="28" t="s">
        <v>1653</v>
      </c>
      <c r="C31" s="313" t="s">
        <v>846</v>
      </c>
      <c r="D31" s="331" t="s">
        <v>840</v>
      </c>
      <c r="E31" s="330" t="s">
        <v>840</v>
      </c>
    </row>
    <row r="32" spans="1:6" ht="27.75" customHeight="1" x14ac:dyDescent="0.2">
      <c r="A32" s="324" t="s">
        <v>643</v>
      </c>
      <c r="B32" s="28" t="s">
        <v>840</v>
      </c>
      <c r="C32" s="313">
        <v>0</v>
      </c>
      <c r="D32" s="331" t="s">
        <v>840</v>
      </c>
      <c r="E32" s="330" t="s">
        <v>840</v>
      </c>
    </row>
    <row r="33" spans="1:6" ht="27.75" customHeight="1" x14ac:dyDescent="0.2">
      <c r="A33" s="324" t="s">
        <v>644</v>
      </c>
      <c r="B33" s="28" t="s">
        <v>1654</v>
      </c>
      <c r="C33" s="313">
        <v>0</v>
      </c>
      <c r="D33" s="331" t="s">
        <v>840</v>
      </c>
      <c r="E33" s="330" t="s">
        <v>840</v>
      </c>
    </row>
    <row r="34" spans="1:6" ht="27.75" customHeight="1" x14ac:dyDescent="0.2">
      <c r="A34" s="324" t="s">
        <v>645</v>
      </c>
      <c r="B34" s="28" t="s">
        <v>1655</v>
      </c>
      <c r="C34" s="313">
        <v>0</v>
      </c>
      <c r="D34" s="331" t="s">
        <v>840</v>
      </c>
      <c r="E34" s="330" t="s">
        <v>840</v>
      </c>
    </row>
    <row r="35" spans="1:6" ht="27.75" customHeight="1" x14ac:dyDescent="0.2">
      <c r="A35" s="324" t="s">
        <v>646</v>
      </c>
      <c r="B35" s="28" t="s">
        <v>1656</v>
      </c>
      <c r="C35" s="313">
        <v>0</v>
      </c>
      <c r="D35" s="331" t="s">
        <v>840</v>
      </c>
      <c r="E35" s="330" t="s">
        <v>840</v>
      </c>
    </row>
    <row r="36" spans="1:6" ht="27.75" customHeight="1" x14ac:dyDescent="0.2">
      <c r="A36" s="325" t="s">
        <v>647</v>
      </c>
      <c r="B36" s="28" t="s">
        <v>1657</v>
      </c>
      <c r="C36" s="313">
        <v>0</v>
      </c>
      <c r="D36" s="330" t="s">
        <v>840</v>
      </c>
      <c r="E36" s="330" t="s">
        <v>840</v>
      </c>
    </row>
    <row r="37" spans="1:6" ht="27.75" customHeight="1" x14ac:dyDescent="0.2">
      <c r="A37" s="324" t="s">
        <v>780</v>
      </c>
      <c r="B37" s="28" t="e">
        <v>#N/A</v>
      </c>
      <c r="C37" s="313" t="s">
        <v>845</v>
      </c>
      <c r="D37" s="331" t="s">
        <v>840</v>
      </c>
      <c r="E37" s="330" t="s">
        <v>840</v>
      </c>
      <c r="F37" s="349" t="str">
        <f>A37&amp;" with Residual"</f>
        <v>LDNO HV: Domestic Aggregated or CT with Residual with Residual</v>
      </c>
    </row>
    <row r="38" spans="1:6" ht="27.75" customHeight="1" x14ac:dyDescent="0.2">
      <c r="A38" s="324" t="s">
        <v>787</v>
      </c>
      <c r="B38" s="28" t="s">
        <v>1658</v>
      </c>
      <c r="C38" s="313" t="s">
        <v>846</v>
      </c>
      <c r="D38" s="331" t="s">
        <v>840</v>
      </c>
      <c r="E38" s="330" t="s">
        <v>840</v>
      </c>
    </row>
    <row r="39" spans="1:6" ht="27.75" customHeight="1" x14ac:dyDescent="0.2">
      <c r="A39" s="324" t="s">
        <v>794</v>
      </c>
      <c r="B39" s="28" t="s">
        <v>1659</v>
      </c>
      <c r="C39" s="313" t="s">
        <v>846</v>
      </c>
      <c r="D39" s="331" t="s">
        <v>840</v>
      </c>
      <c r="E39" s="330" t="s">
        <v>840</v>
      </c>
    </row>
    <row r="40" spans="1:6" ht="27.75" customHeight="1" x14ac:dyDescent="0.2">
      <c r="A40" s="324" t="s">
        <v>801</v>
      </c>
      <c r="B40" s="28" t="s">
        <v>1660</v>
      </c>
      <c r="C40" s="313" t="s">
        <v>846</v>
      </c>
      <c r="D40" s="331" t="s">
        <v>840</v>
      </c>
      <c r="E40" s="330" t="s">
        <v>840</v>
      </c>
    </row>
    <row r="41" spans="1:6" ht="27.75" customHeight="1" x14ac:dyDescent="0.2">
      <c r="A41" s="324" t="s">
        <v>808</v>
      </c>
      <c r="B41" s="28" t="s">
        <v>1661</v>
      </c>
      <c r="C41" s="313" t="s">
        <v>846</v>
      </c>
      <c r="D41" s="331" t="s">
        <v>840</v>
      </c>
      <c r="E41" s="330" t="s">
        <v>840</v>
      </c>
    </row>
    <row r="42" spans="1:6" ht="27.75" customHeight="1" x14ac:dyDescent="0.2">
      <c r="A42" s="324" t="s">
        <v>815</v>
      </c>
      <c r="B42" s="28" t="s">
        <v>1662</v>
      </c>
      <c r="C42" s="313" t="s">
        <v>846</v>
      </c>
      <c r="D42" s="331" t="s">
        <v>840</v>
      </c>
      <c r="E42" s="330" t="s">
        <v>840</v>
      </c>
    </row>
    <row r="43" spans="1:6" ht="27.75" customHeight="1" x14ac:dyDescent="0.2">
      <c r="A43" s="324" t="s">
        <v>649</v>
      </c>
      <c r="B43" s="28" t="s">
        <v>840</v>
      </c>
      <c r="C43" s="313">
        <v>0</v>
      </c>
      <c r="D43" s="331" t="s">
        <v>840</v>
      </c>
      <c r="E43" s="330" t="s">
        <v>840</v>
      </c>
    </row>
    <row r="44" spans="1:6" ht="27.75" customHeight="1" x14ac:dyDescent="0.2">
      <c r="A44" s="324" t="s">
        <v>650</v>
      </c>
      <c r="B44" s="28" t="s">
        <v>1663</v>
      </c>
      <c r="C44" s="313">
        <v>0</v>
      </c>
      <c r="D44" s="331" t="s">
        <v>840</v>
      </c>
      <c r="E44" s="330" t="s">
        <v>840</v>
      </c>
    </row>
    <row r="45" spans="1:6" ht="27.75" customHeight="1" x14ac:dyDescent="0.2">
      <c r="A45" s="324" t="s">
        <v>651</v>
      </c>
      <c r="B45" s="28" t="s">
        <v>1664</v>
      </c>
      <c r="C45" s="313">
        <v>0</v>
      </c>
      <c r="D45" s="331" t="s">
        <v>840</v>
      </c>
      <c r="E45" s="330" t="s">
        <v>840</v>
      </c>
    </row>
    <row r="46" spans="1:6" ht="27.75" customHeight="1" x14ac:dyDescent="0.2">
      <c r="A46" s="324" t="s">
        <v>652</v>
      </c>
      <c r="B46" s="28" t="s">
        <v>1665</v>
      </c>
      <c r="C46" s="313">
        <v>0</v>
      </c>
      <c r="D46" s="331" t="s">
        <v>840</v>
      </c>
      <c r="E46" s="330" t="s">
        <v>840</v>
      </c>
    </row>
    <row r="47" spans="1:6" ht="27.75" customHeight="1" x14ac:dyDescent="0.2">
      <c r="A47" s="324" t="s">
        <v>653</v>
      </c>
      <c r="B47" s="28" t="s">
        <v>1666</v>
      </c>
      <c r="C47" s="313">
        <v>0</v>
      </c>
      <c r="D47" s="331" t="s">
        <v>840</v>
      </c>
      <c r="E47" s="330" t="s">
        <v>840</v>
      </c>
    </row>
    <row r="48" spans="1:6" ht="27.75" customHeight="1" x14ac:dyDescent="0.2">
      <c r="A48" s="324" t="s">
        <v>654</v>
      </c>
      <c r="B48" s="28" t="s">
        <v>840</v>
      </c>
      <c r="C48" s="313">
        <v>0</v>
      </c>
      <c r="D48" s="331" t="s">
        <v>840</v>
      </c>
      <c r="E48" s="330" t="s">
        <v>840</v>
      </c>
    </row>
    <row r="49" spans="1:6" ht="27.75" customHeight="1" x14ac:dyDescent="0.2">
      <c r="A49" s="324" t="s">
        <v>655</v>
      </c>
      <c r="B49" s="28" t="s">
        <v>1667</v>
      </c>
      <c r="C49" s="313">
        <v>0</v>
      </c>
      <c r="D49" s="331" t="s">
        <v>840</v>
      </c>
      <c r="E49" s="330" t="s">
        <v>840</v>
      </c>
    </row>
    <row r="50" spans="1:6" ht="27.75" customHeight="1" x14ac:dyDescent="0.2">
      <c r="A50" s="324" t="s">
        <v>656</v>
      </c>
      <c r="B50" s="28" t="s">
        <v>1668</v>
      </c>
      <c r="C50" s="313">
        <v>0</v>
      </c>
      <c r="D50" s="331" t="s">
        <v>840</v>
      </c>
      <c r="E50" s="330" t="s">
        <v>840</v>
      </c>
    </row>
    <row r="51" spans="1:6" ht="27.75" customHeight="1" x14ac:dyDescent="0.2">
      <c r="A51" s="324" t="s">
        <v>657</v>
      </c>
      <c r="B51" s="28" t="s">
        <v>1669</v>
      </c>
      <c r="C51" s="313">
        <v>0</v>
      </c>
      <c r="D51" s="331" t="s">
        <v>840</v>
      </c>
      <c r="E51" s="330" t="s">
        <v>840</v>
      </c>
    </row>
    <row r="52" spans="1:6" ht="27.75" customHeight="1" x14ac:dyDescent="0.2">
      <c r="A52" s="324" t="s">
        <v>658</v>
      </c>
      <c r="B52" s="28" t="s">
        <v>1670</v>
      </c>
      <c r="C52" s="313">
        <v>0</v>
      </c>
      <c r="D52" s="331" t="s">
        <v>840</v>
      </c>
      <c r="E52" s="330" t="s">
        <v>840</v>
      </c>
    </row>
    <row r="53" spans="1:6" ht="27.75" customHeight="1" x14ac:dyDescent="0.2">
      <c r="A53" s="324" t="s">
        <v>659</v>
      </c>
      <c r="B53" s="28" t="s">
        <v>840</v>
      </c>
      <c r="C53" s="313">
        <v>0</v>
      </c>
      <c r="D53" s="331" t="s">
        <v>840</v>
      </c>
      <c r="E53" s="330" t="s">
        <v>840</v>
      </c>
    </row>
    <row r="54" spans="1:6" ht="27.75" customHeight="1" x14ac:dyDescent="0.2">
      <c r="A54" s="324" t="s">
        <v>660</v>
      </c>
      <c r="B54" s="28" t="s">
        <v>1671</v>
      </c>
      <c r="C54" s="313">
        <v>0</v>
      </c>
      <c r="D54" s="331" t="s">
        <v>840</v>
      </c>
      <c r="E54" s="330" t="s">
        <v>840</v>
      </c>
    </row>
    <row r="55" spans="1:6" ht="27.75" customHeight="1" x14ac:dyDescent="0.2">
      <c r="A55" s="324" t="s">
        <v>661</v>
      </c>
      <c r="B55" s="28" t="s">
        <v>1672</v>
      </c>
      <c r="C55" s="313">
        <v>0</v>
      </c>
      <c r="D55" s="331" t="s">
        <v>840</v>
      </c>
      <c r="E55" s="330" t="s">
        <v>840</v>
      </c>
    </row>
    <row r="56" spans="1:6" ht="27.75" customHeight="1" x14ac:dyDescent="0.2">
      <c r="A56" s="324" t="s">
        <v>662</v>
      </c>
      <c r="B56" s="28" t="s">
        <v>1673</v>
      </c>
      <c r="C56" s="313">
        <v>0</v>
      </c>
      <c r="D56" s="331" t="s">
        <v>840</v>
      </c>
      <c r="E56" s="330" t="s">
        <v>840</v>
      </c>
    </row>
    <row r="57" spans="1:6" ht="27.75" customHeight="1" x14ac:dyDescent="0.2">
      <c r="A57" s="324" t="s">
        <v>663</v>
      </c>
      <c r="B57" s="28" t="s">
        <v>1674</v>
      </c>
      <c r="C57" s="313">
        <v>0</v>
      </c>
      <c r="D57" s="330" t="s">
        <v>840</v>
      </c>
      <c r="E57" s="330" t="s">
        <v>840</v>
      </c>
    </row>
    <row r="58" spans="1:6" ht="27.75" customHeight="1" x14ac:dyDescent="0.2">
      <c r="A58" s="324" t="s">
        <v>781</v>
      </c>
      <c r="B58" s="28" t="e">
        <v>#N/A</v>
      </c>
      <c r="C58" s="313" t="s">
        <v>845</v>
      </c>
      <c r="D58" s="331" t="s">
        <v>840</v>
      </c>
      <c r="E58" s="330" t="s">
        <v>840</v>
      </c>
      <c r="F58" s="349" t="str">
        <f>A58&amp;" with Residual"</f>
        <v>LDNO HVplus: Domestic Aggregated or CT with Residual with Residual</v>
      </c>
    </row>
    <row r="59" spans="1:6" ht="27.75" customHeight="1" x14ac:dyDescent="0.2">
      <c r="A59" s="324" t="s">
        <v>788</v>
      </c>
      <c r="B59" s="28" t="s">
        <v>1675</v>
      </c>
      <c r="C59" s="313" t="s">
        <v>846</v>
      </c>
      <c r="D59" s="331" t="s">
        <v>840</v>
      </c>
      <c r="E59" s="330" t="s">
        <v>840</v>
      </c>
    </row>
    <row r="60" spans="1:6" ht="27.75" customHeight="1" x14ac:dyDescent="0.2">
      <c r="A60" s="324" t="s">
        <v>795</v>
      </c>
      <c r="B60" s="28" t="s">
        <v>1676</v>
      </c>
      <c r="C60" s="313" t="s">
        <v>846</v>
      </c>
      <c r="D60" s="331" t="s">
        <v>840</v>
      </c>
      <c r="E60" s="330" t="s">
        <v>840</v>
      </c>
    </row>
    <row r="61" spans="1:6" ht="27.75" customHeight="1" x14ac:dyDescent="0.2">
      <c r="A61" s="324" t="s">
        <v>802</v>
      </c>
      <c r="B61" s="28" t="s">
        <v>1677</v>
      </c>
      <c r="C61" s="313" t="s">
        <v>846</v>
      </c>
      <c r="D61" s="331" t="s">
        <v>840</v>
      </c>
      <c r="E61" s="330" t="s">
        <v>840</v>
      </c>
    </row>
    <row r="62" spans="1:6" ht="27.75" customHeight="1" x14ac:dyDescent="0.2">
      <c r="A62" s="324" t="s">
        <v>809</v>
      </c>
      <c r="B62" s="28" t="s">
        <v>1678</v>
      </c>
      <c r="C62" s="313" t="s">
        <v>846</v>
      </c>
      <c r="D62" s="331" t="s">
        <v>840</v>
      </c>
      <c r="E62" s="330" t="s">
        <v>840</v>
      </c>
    </row>
    <row r="63" spans="1:6" ht="27.75" customHeight="1" x14ac:dyDescent="0.2">
      <c r="A63" s="324" t="s">
        <v>816</v>
      </c>
      <c r="B63" s="28" t="s">
        <v>1679</v>
      </c>
      <c r="C63" s="313" t="s">
        <v>846</v>
      </c>
      <c r="D63" s="331" t="s">
        <v>840</v>
      </c>
      <c r="E63" s="330" t="s">
        <v>840</v>
      </c>
    </row>
    <row r="64" spans="1:6" ht="27.75" customHeight="1" x14ac:dyDescent="0.2">
      <c r="A64" s="324" t="s">
        <v>665</v>
      </c>
      <c r="B64" s="28" t="s">
        <v>840</v>
      </c>
      <c r="C64" s="313">
        <v>0</v>
      </c>
      <c r="D64" s="331" t="s">
        <v>840</v>
      </c>
      <c r="E64" s="330" t="s">
        <v>840</v>
      </c>
    </row>
    <row r="65" spans="1:6" ht="27.75" customHeight="1" x14ac:dyDescent="0.2">
      <c r="A65" s="324" t="s">
        <v>666</v>
      </c>
      <c r="B65" s="28" t="s">
        <v>1680</v>
      </c>
      <c r="C65" s="313">
        <v>0</v>
      </c>
      <c r="D65" s="331" t="s">
        <v>840</v>
      </c>
      <c r="E65" s="330" t="s">
        <v>840</v>
      </c>
    </row>
    <row r="66" spans="1:6" ht="27.75" customHeight="1" x14ac:dyDescent="0.2">
      <c r="A66" s="324" t="s">
        <v>667</v>
      </c>
      <c r="B66" s="28" t="s">
        <v>1681</v>
      </c>
      <c r="C66" s="313">
        <v>0</v>
      </c>
      <c r="D66" s="331" t="s">
        <v>840</v>
      </c>
      <c r="E66" s="330" t="s">
        <v>840</v>
      </c>
    </row>
    <row r="67" spans="1:6" ht="27.75" customHeight="1" x14ac:dyDescent="0.2">
      <c r="A67" s="324" t="s">
        <v>668</v>
      </c>
      <c r="B67" s="28" t="s">
        <v>1682</v>
      </c>
      <c r="C67" s="313">
        <v>0</v>
      </c>
      <c r="D67" s="331" t="s">
        <v>840</v>
      </c>
      <c r="E67" s="330" t="s">
        <v>840</v>
      </c>
    </row>
    <row r="68" spans="1:6" ht="27.75" customHeight="1" x14ac:dyDescent="0.2">
      <c r="A68" s="324" t="s">
        <v>669</v>
      </c>
      <c r="B68" s="28" t="s">
        <v>1683</v>
      </c>
      <c r="C68" s="313">
        <v>0</v>
      </c>
      <c r="D68" s="331" t="s">
        <v>840</v>
      </c>
      <c r="E68" s="330" t="s">
        <v>840</v>
      </c>
    </row>
    <row r="69" spans="1:6" ht="27.75" customHeight="1" x14ac:dyDescent="0.2">
      <c r="A69" s="324" t="s">
        <v>670</v>
      </c>
      <c r="B69" s="28" t="s">
        <v>840</v>
      </c>
      <c r="C69" s="313">
        <v>0</v>
      </c>
      <c r="D69" s="331" t="s">
        <v>840</v>
      </c>
      <c r="E69" s="330" t="s">
        <v>840</v>
      </c>
    </row>
    <row r="70" spans="1:6" ht="27.75" customHeight="1" x14ac:dyDescent="0.2">
      <c r="A70" s="324" t="s">
        <v>671</v>
      </c>
      <c r="B70" s="28" t="s">
        <v>1684</v>
      </c>
      <c r="C70" s="313">
        <v>0</v>
      </c>
      <c r="D70" s="331" t="s">
        <v>840</v>
      </c>
      <c r="E70" s="330" t="s">
        <v>840</v>
      </c>
    </row>
    <row r="71" spans="1:6" ht="27.75" customHeight="1" x14ac:dyDescent="0.2">
      <c r="A71" s="324" t="s">
        <v>672</v>
      </c>
      <c r="B71" s="28" t="s">
        <v>1685</v>
      </c>
      <c r="C71" s="313">
        <v>0</v>
      </c>
      <c r="D71" s="331" t="s">
        <v>840</v>
      </c>
      <c r="E71" s="330" t="s">
        <v>840</v>
      </c>
    </row>
    <row r="72" spans="1:6" ht="27.75" customHeight="1" x14ac:dyDescent="0.2">
      <c r="A72" s="324" t="s">
        <v>673</v>
      </c>
      <c r="B72" s="28" t="s">
        <v>1686</v>
      </c>
      <c r="C72" s="313">
        <v>0</v>
      </c>
      <c r="D72" s="331" t="s">
        <v>840</v>
      </c>
      <c r="E72" s="330" t="s">
        <v>840</v>
      </c>
    </row>
    <row r="73" spans="1:6" ht="27.75" customHeight="1" x14ac:dyDescent="0.2">
      <c r="A73" s="324" t="s">
        <v>674</v>
      </c>
      <c r="B73" s="28" t="s">
        <v>1687</v>
      </c>
      <c r="C73" s="313">
        <v>0</v>
      </c>
      <c r="D73" s="331" t="s">
        <v>840</v>
      </c>
      <c r="E73" s="330" t="s">
        <v>840</v>
      </c>
    </row>
    <row r="74" spans="1:6" ht="27.75" customHeight="1" x14ac:dyDescent="0.2">
      <c r="A74" s="324" t="s">
        <v>675</v>
      </c>
      <c r="B74" s="28" t="s">
        <v>840</v>
      </c>
      <c r="C74" s="313">
        <v>0</v>
      </c>
      <c r="D74" s="331" t="s">
        <v>840</v>
      </c>
      <c r="E74" s="330" t="s">
        <v>840</v>
      </c>
    </row>
    <row r="75" spans="1:6" ht="27.75" customHeight="1" x14ac:dyDescent="0.2">
      <c r="A75" s="324" t="s">
        <v>676</v>
      </c>
      <c r="B75" s="28" t="s">
        <v>1688</v>
      </c>
      <c r="C75" s="313">
        <v>0</v>
      </c>
      <c r="D75" s="331" t="s">
        <v>840</v>
      </c>
      <c r="E75" s="330" t="s">
        <v>840</v>
      </c>
    </row>
    <row r="76" spans="1:6" ht="27.75" customHeight="1" x14ac:dyDescent="0.2">
      <c r="A76" s="324" t="s">
        <v>677</v>
      </c>
      <c r="B76" s="28" t="s">
        <v>1689</v>
      </c>
      <c r="C76" s="313">
        <v>0</v>
      </c>
      <c r="D76" s="331" t="s">
        <v>840</v>
      </c>
      <c r="E76" s="330" t="s">
        <v>840</v>
      </c>
    </row>
    <row r="77" spans="1:6" ht="27.75" customHeight="1" x14ac:dyDescent="0.2">
      <c r="A77" s="324" t="s">
        <v>678</v>
      </c>
      <c r="B77" s="28" t="s">
        <v>1690</v>
      </c>
      <c r="C77" s="313">
        <v>0</v>
      </c>
      <c r="D77" s="331" t="s">
        <v>840</v>
      </c>
      <c r="E77" s="330" t="s">
        <v>840</v>
      </c>
    </row>
    <row r="78" spans="1:6" ht="27.75" customHeight="1" x14ac:dyDescent="0.2">
      <c r="A78" s="324" t="s">
        <v>679</v>
      </c>
      <c r="B78" s="28" t="s">
        <v>1691</v>
      </c>
      <c r="C78" s="313">
        <v>0</v>
      </c>
      <c r="D78" s="330" t="s">
        <v>840</v>
      </c>
      <c r="E78" s="330" t="s">
        <v>840</v>
      </c>
    </row>
    <row r="79" spans="1:6" ht="27.75" customHeight="1" x14ac:dyDescent="0.2">
      <c r="A79" s="324" t="s">
        <v>782</v>
      </c>
      <c r="B79" s="28" t="e">
        <v>#N/A</v>
      </c>
      <c r="C79" s="313" t="s">
        <v>845</v>
      </c>
      <c r="D79" s="331" t="s">
        <v>840</v>
      </c>
      <c r="E79" s="330" t="s">
        <v>840</v>
      </c>
      <c r="F79" s="349" t="str">
        <f>A79&amp;" with Residual"</f>
        <v>LDNO EHV: Domestic Aggregated or CT with Residual with Residual</v>
      </c>
    </row>
    <row r="80" spans="1:6" ht="27.75" customHeight="1" x14ac:dyDescent="0.2">
      <c r="A80" s="324" t="s">
        <v>789</v>
      </c>
      <c r="B80" s="28" t="s">
        <v>1692</v>
      </c>
      <c r="C80" s="313" t="s">
        <v>846</v>
      </c>
      <c r="D80" s="331" t="s">
        <v>840</v>
      </c>
      <c r="E80" s="330" t="s">
        <v>840</v>
      </c>
    </row>
    <row r="81" spans="1:5" ht="27.75" customHeight="1" x14ac:dyDescent="0.2">
      <c r="A81" s="324" t="s">
        <v>796</v>
      </c>
      <c r="B81" s="28" t="s">
        <v>1693</v>
      </c>
      <c r="C81" s="313" t="s">
        <v>846</v>
      </c>
      <c r="D81" s="331" t="s">
        <v>840</v>
      </c>
      <c r="E81" s="330" t="s">
        <v>840</v>
      </c>
    </row>
    <row r="82" spans="1:5" ht="27.75" customHeight="1" x14ac:dyDescent="0.2">
      <c r="A82" s="324" t="s">
        <v>803</v>
      </c>
      <c r="B82" s="28" t="s">
        <v>1694</v>
      </c>
      <c r="C82" s="313" t="s">
        <v>846</v>
      </c>
      <c r="D82" s="331" t="s">
        <v>840</v>
      </c>
      <c r="E82" s="330" t="s">
        <v>840</v>
      </c>
    </row>
    <row r="83" spans="1:5" ht="27.75" customHeight="1" x14ac:dyDescent="0.2">
      <c r="A83" s="324" t="s">
        <v>810</v>
      </c>
      <c r="B83" s="28" t="s">
        <v>1695</v>
      </c>
      <c r="C83" s="313" t="s">
        <v>846</v>
      </c>
      <c r="D83" s="331" t="s">
        <v>840</v>
      </c>
      <c r="E83" s="330" t="s">
        <v>840</v>
      </c>
    </row>
    <row r="84" spans="1:5" ht="27.75" customHeight="1" x14ac:dyDescent="0.2">
      <c r="A84" s="324" t="s">
        <v>817</v>
      </c>
      <c r="B84" s="28" t="s">
        <v>1696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1697</v>
      </c>
      <c r="C86" s="313">
        <v>0</v>
      </c>
      <c r="D86" s="331" t="s">
        <v>840</v>
      </c>
      <c r="E86" s="330" t="s">
        <v>840</v>
      </c>
    </row>
    <row r="87" spans="1:5" ht="27.75" customHeight="1" x14ac:dyDescent="0.2">
      <c r="A87" s="324" t="s">
        <v>683</v>
      </c>
      <c r="B87" s="28" t="s">
        <v>1698</v>
      </c>
      <c r="C87" s="313">
        <v>0</v>
      </c>
      <c r="D87" s="331" t="s">
        <v>840</v>
      </c>
      <c r="E87" s="330" t="s">
        <v>840</v>
      </c>
    </row>
    <row r="88" spans="1:5" ht="27.75" customHeight="1" x14ac:dyDescent="0.2">
      <c r="A88" s="324" t="s">
        <v>684</v>
      </c>
      <c r="B88" s="28" t="s">
        <v>1699</v>
      </c>
      <c r="C88" s="313">
        <v>0</v>
      </c>
      <c r="D88" s="331" t="s">
        <v>840</v>
      </c>
      <c r="E88" s="330" t="s">
        <v>840</v>
      </c>
    </row>
    <row r="89" spans="1:5" ht="27.75" customHeight="1" x14ac:dyDescent="0.2">
      <c r="A89" s="324" t="s">
        <v>685</v>
      </c>
      <c r="B89" s="28" t="s">
        <v>1700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1701</v>
      </c>
      <c r="C91" s="313">
        <v>0</v>
      </c>
      <c r="D91" s="331" t="s">
        <v>840</v>
      </c>
      <c r="E91" s="330" t="s">
        <v>840</v>
      </c>
    </row>
    <row r="92" spans="1:5" ht="27.75" customHeight="1" x14ac:dyDescent="0.2">
      <c r="A92" s="324" t="s">
        <v>688</v>
      </c>
      <c r="B92" s="28" t="s">
        <v>1702</v>
      </c>
      <c r="C92" s="313">
        <v>0</v>
      </c>
      <c r="D92" s="331" t="s">
        <v>840</v>
      </c>
      <c r="E92" s="330" t="s">
        <v>840</v>
      </c>
    </row>
    <row r="93" spans="1:5" ht="27.75" customHeight="1" x14ac:dyDescent="0.2">
      <c r="A93" s="324" t="s">
        <v>689</v>
      </c>
      <c r="B93" s="28" t="s">
        <v>1703</v>
      </c>
      <c r="C93" s="313">
        <v>0</v>
      </c>
      <c r="D93" s="331" t="s">
        <v>840</v>
      </c>
      <c r="E93" s="330" t="s">
        <v>840</v>
      </c>
    </row>
    <row r="94" spans="1:5" ht="27.75" customHeight="1" x14ac:dyDescent="0.2">
      <c r="A94" s="324" t="s">
        <v>690</v>
      </c>
      <c r="B94" s="28" t="s">
        <v>1704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1705</v>
      </c>
      <c r="C96" s="313">
        <v>0</v>
      </c>
      <c r="D96" s="331" t="s">
        <v>840</v>
      </c>
      <c r="E96" s="330" t="s">
        <v>840</v>
      </c>
    </row>
    <row r="97" spans="1:5" ht="27.75" customHeight="1" x14ac:dyDescent="0.2">
      <c r="A97" s="324" t="s">
        <v>693</v>
      </c>
      <c r="B97" s="28" t="s">
        <v>1706</v>
      </c>
      <c r="C97" s="313">
        <v>0</v>
      </c>
      <c r="D97" s="331" t="s">
        <v>840</v>
      </c>
      <c r="E97" s="330" t="s">
        <v>840</v>
      </c>
    </row>
    <row r="98" spans="1:5" ht="27.75" customHeight="1" x14ac:dyDescent="0.2">
      <c r="A98" s="324" t="s">
        <v>694</v>
      </c>
      <c r="B98" s="28" t="s">
        <v>1707</v>
      </c>
      <c r="C98" s="313">
        <v>0</v>
      </c>
      <c r="D98" s="331" t="s">
        <v>840</v>
      </c>
      <c r="E98" s="330" t="s">
        <v>840</v>
      </c>
    </row>
    <row r="99" spans="1:5" ht="27.75" customHeight="1" x14ac:dyDescent="0.2">
      <c r="A99" s="324" t="s">
        <v>695</v>
      </c>
      <c r="B99" s="28"/>
      <c r="C99" s="313">
        <v>0</v>
      </c>
      <c r="D99" s="330" t="s">
        <v>840</v>
      </c>
      <c r="E99" s="330" t="s">
        <v>840</v>
      </c>
    </row>
    <row r="100" spans="1:5" ht="27.75" customHeight="1" x14ac:dyDescent="0.2">
      <c r="A100" s="324" t="s">
        <v>783</v>
      </c>
      <c r="B100" s="28"/>
      <c r="C100" s="313" t="s">
        <v>845</v>
      </c>
      <c r="D100" s="331"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0" t="s">
        <v>840</v>
      </c>
      <c r="E120" s="330" t="s">
        <v>840</v>
      </c>
    </row>
    <row r="121" spans="1:5" ht="27.75" customHeight="1" x14ac:dyDescent="0.2">
      <c r="A121" s="324" t="s">
        <v>784</v>
      </c>
      <c r="B121" s="28"/>
      <c r="C121" s="313" t="s">
        <v>845</v>
      </c>
      <c r="D121" s="331"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0" t="s">
        <v>840</v>
      </c>
      <c r="E141" s="330" t="s">
        <v>840</v>
      </c>
    </row>
    <row r="142" spans="1:5" ht="27.75" customHeight="1" x14ac:dyDescent="0.2">
      <c r="A142" s="324" t="s">
        <v>785</v>
      </c>
      <c r="B142" s="28"/>
      <c r="C142" s="313" t="s">
        <v>845</v>
      </c>
      <c r="D142" s="331"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24" t="s">
        <v>743</v>
      </c>
      <c r="B162" s="28" t="s">
        <v>840</v>
      </c>
      <c r="C162" s="313">
        <v>0</v>
      </c>
      <c r="D162" s="331" t="s">
        <v>840</v>
      </c>
      <c r="E162" s="330" t="s">
        <v>840</v>
      </c>
    </row>
    <row r="163" spans="1:5" ht="27.75" customHeight="1" x14ac:dyDescent="0.2">
      <c r="A163" s="1" t="s">
        <v>821</v>
      </c>
    </row>
    <row r="164" spans="1:5" ht="27.75" customHeight="1" x14ac:dyDescent="0.2">
      <c r="A164" s="1" t="s">
        <v>822</v>
      </c>
    </row>
  </sheetData>
  <mergeCells count="3">
    <mergeCell ref="B1:C1"/>
    <mergeCell ref="A2:E2"/>
    <mergeCell ref="G4:M5"/>
  </mergeCells>
  <hyperlinks>
    <hyperlink ref="A1" location="Overview!A1" display="Back to Overview" xr:uid="{E29925EB-5984-408B-9CF2-C064071153D7}"/>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71F-E13A-4EC1-9C10-F1B484A3739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UKPN SPN Area (GSP Group_J)"</f>
        <v>Leep Electricity Networks Limited - Effective from 1 April 2026 - Final Supplier of Last Resort and Eligible Bad Debt Pass-Through Costs in UKPN SPN Area (GSP Group_J)</v>
      </c>
      <c r="B2" s="521"/>
      <c r="C2" s="521"/>
      <c r="D2" s="521"/>
      <c r="E2" s="522"/>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845</v>
      </c>
      <c r="D5" s="330" t="s">
        <v>840</v>
      </c>
      <c r="E5" s="330" t="s">
        <v>840</v>
      </c>
    </row>
    <row r="6" spans="1:6" ht="27" customHeight="1" x14ac:dyDescent="0.2">
      <c r="A6" s="10" t="s">
        <v>774</v>
      </c>
      <c r="B6" s="28"/>
      <c r="C6" s="313" t="s">
        <v>846</v>
      </c>
      <c r="D6" s="331" t="s">
        <v>840</v>
      </c>
      <c r="E6" s="330" t="s">
        <v>840</v>
      </c>
    </row>
    <row r="7" spans="1:6" ht="27" customHeight="1" x14ac:dyDescent="0.2">
      <c r="A7" s="10" t="s">
        <v>775</v>
      </c>
      <c r="B7" s="28"/>
      <c r="C7" s="313" t="s">
        <v>846</v>
      </c>
      <c r="D7" s="331" t="s">
        <v>840</v>
      </c>
      <c r="E7" s="330" t="s">
        <v>840</v>
      </c>
    </row>
    <row r="8" spans="1:6" ht="27" customHeight="1" x14ac:dyDescent="0.2">
      <c r="A8" s="10" t="s">
        <v>776</v>
      </c>
      <c r="B8" s="28"/>
      <c r="C8" s="313" t="s">
        <v>846</v>
      </c>
      <c r="D8" s="331" t="s">
        <v>840</v>
      </c>
      <c r="E8" s="330" t="s">
        <v>840</v>
      </c>
    </row>
    <row r="9" spans="1:6" ht="27" customHeight="1" x14ac:dyDescent="0.2">
      <c r="A9" s="10" t="s">
        <v>777</v>
      </c>
      <c r="B9" s="28"/>
      <c r="C9" s="313" t="s">
        <v>846</v>
      </c>
      <c r="D9" s="331" t="s">
        <v>840</v>
      </c>
      <c r="E9" s="330" t="s">
        <v>840</v>
      </c>
    </row>
    <row r="10" spans="1:6" ht="27" customHeight="1" x14ac:dyDescent="0.2">
      <c r="A10" s="10" t="s">
        <v>778</v>
      </c>
      <c r="B10" s="28"/>
      <c r="C10" s="313" t="s">
        <v>846</v>
      </c>
      <c r="D10" s="331" t="s">
        <v>840</v>
      </c>
      <c r="E10" s="330" t="s">
        <v>840</v>
      </c>
    </row>
    <row r="11" spans="1:6" ht="27" customHeight="1" x14ac:dyDescent="0.2">
      <c r="A11" s="10" t="s">
        <v>595</v>
      </c>
      <c r="B11" s="28"/>
      <c r="C11" s="313">
        <v>0</v>
      </c>
      <c r="D11" s="331" t="s">
        <v>840</v>
      </c>
      <c r="E11" s="330" t="s">
        <v>840</v>
      </c>
    </row>
    <row r="12" spans="1:6" ht="27" customHeight="1" x14ac:dyDescent="0.2">
      <c r="A12" s="324" t="s">
        <v>596</v>
      </c>
      <c r="B12" s="28"/>
      <c r="C12" s="313">
        <v>0</v>
      </c>
      <c r="D12" s="331" t="s">
        <v>840</v>
      </c>
      <c r="E12" s="330" t="s">
        <v>840</v>
      </c>
    </row>
    <row r="13" spans="1:6" ht="27" customHeight="1" x14ac:dyDescent="0.2">
      <c r="A13" s="324" t="s">
        <v>597</v>
      </c>
      <c r="B13" s="28"/>
      <c r="C13" s="313">
        <v>0</v>
      </c>
      <c r="D13" s="331" t="s">
        <v>840</v>
      </c>
      <c r="E13" s="330" t="s">
        <v>840</v>
      </c>
    </row>
    <row r="14" spans="1:6" ht="27.75" customHeight="1" x14ac:dyDescent="0.2">
      <c r="A14" s="324" t="s">
        <v>598</v>
      </c>
      <c r="B14" s="28"/>
      <c r="C14" s="313">
        <v>0</v>
      </c>
      <c r="D14" s="331" t="s">
        <v>840</v>
      </c>
      <c r="E14" s="330" t="s">
        <v>840</v>
      </c>
    </row>
    <row r="15" spans="1:6" ht="27.75" customHeight="1" x14ac:dyDescent="0.2">
      <c r="A15" s="325" t="s">
        <v>599</v>
      </c>
      <c r="B15" s="28"/>
      <c r="C15" s="313">
        <v>0</v>
      </c>
      <c r="D15" s="331" t="s">
        <v>840</v>
      </c>
      <c r="E15" s="330" t="s">
        <v>840</v>
      </c>
    </row>
    <row r="16" spans="1:6" ht="27.75" customHeight="1" x14ac:dyDescent="0.2">
      <c r="A16" s="325" t="s">
        <v>600</v>
      </c>
      <c r="B16" s="28"/>
      <c r="C16" s="313">
        <v>0</v>
      </c>
      <c r="D16" s="331" t="s">
        <v>840</v>
      </c>
      <c r="E16" s="330" t="s">
        <v>840</v>
      </c>
    </row>
    <row r="17" spans="1:5" ht="27.75" customHeight="1" x14ac:dyDescent="0.2">
      <c r="A17" s="325" t="s">
        <v>601</v>
      </c>
      <c r="B17" s="28"/>
      <c r="C17" s="313">
        <v>0</v>
      </c>
      <c r="D17" s="331" t="s">
        <v>840</v>
      </c>
      <c r="E17" s="330" t="s">
        <v>840</v>
      </c>
    </row>
    <row r="18" spans="1:5" ht="27.75" customHeight="1" x14ac:dyDescent="0.2">
      <c r="A18" s="325" t="s">
        <v>602</v>
      </c>
      <c r="B18" s="28"/>
      <c r="C18" s="313">
        <v>0</v>
      </c>
      <c r="D18" s="331" t="s">
        <v>840</v>
      </c>
      <c r="E18" s="330" t="s">
        <v>840</v>
      </c>
    </row>
    <row r="19" spans="1:5" ht="27.75" customHeight="1" x14ac:dyDescent="0.2">
      <c r="A19" s="325" t="s">
        <v>603</v>
      </c>
      <c r="B19" s="28"/>
      <c r="C19" s="313">
        <v>0</v>
      </c>
      <c r="D19" s="331" t="s">
        <v>840</v>
      </c>
      <c r="E19" s="330" t="s">
        <v>840</v>
      </c>
    </row>
    <row r="20" spans="1:5" ht="27.75" customHeight="1" x14ac:dyDescent="0.2">
      <c r="A20" s="325" t="s">
        <v>604</v>
      </c>
      <c r="B20" s="28"/>
      <c r="C20" s="313">
        <v>0</v>
      </c>
      <c r="D20" s="331" t="s">
        <v>840</v>
      </c>
      <c r="E20" s="330" t="s">
        <v>840</v>
      </c>
    </row>
    <row r="21" spans="1:5" ht="27.75" customHeight="1" x14ac:dyDescent="0.2">
      <c r="A21" s="325" t="s">
        <v>605</v>
      </c>
      <c r="B21" s="28"/>
      <c r="C21" s="313">
        <v>0</v>
      </c>
      <c r="D21" s="331" t="s">
        <v>840</v>
      </c>
      <c r="E21" s="330" t="s">
        <v>840</v>
      </c>
    </row>
    <row r="22" spans="1:5" ht="27.75" customHeight="1" x14ac:dyDescent="0.2">
      <c r="A22" s="325" t="s">
        <v>606</v>
      </c>
      <c r="B22" s="28"/>
      <c r="C22" s="313">
        <v>0</v>
      </c>
      <c r="D22" s="331" t="s">
        <v>840</v>
      </c>
      <c r="E22" s="330" t="s">
        <v>840</v>
      </c>
    </row>
    <row r="23" spans="1:5" ht="27.75" customHeight="1" x14ac:dyDescent="0.2">
      <c r="A23" s="324" t="s">
        <v>607</v>
      </c>
      <c r="B23" s="28"/>
      <c r="C23" s="313">
        <v>0</v>
      </c>
      <c r="D23" s="331" t="s">
        <v>840</v>
      </c>
      <c r="E23" s="330" t="s">
        <v>840</v>
      </c>
    </row>
    <row r="24" spans="1:5" ht="27.75" customHeight="1" x14ac:dyDescent="0.2">
      <c r="A24" s="324" t="s">
        <v>608</v>
      </c>
      <c r="B24" s="28"/>
      <c r="C24" s="313">
        <v>0</v>
      </c>
      <c r="D24" s="331" t="s">
        <v>840</v>
      </c>
      <c r="E24" s="330" t="s">
        <v>840</v>
      </c>
    </row>
    <row r="25" spans="1:5" ht="27.75" customHeight="1" x14ac:dyDescent="0.2">
      <c r="A25" s="324" t="s">
        <v>609</v>
      </c>
      <c r="B25" s="28"/>
      <c r="C25" s="313">
        <v>0</v>
      </c>
      <c r="D25" s="331" t="s">
        <v>840</v>
      </c>
      <c r="E25" s="330" t="s">
        <v>840</v>
      </c>
    </row>
    <row r="26" spans="1:5" ht="27.75" customHeight="1" x14ac:dyDescent="0.2">
      <c r="A26" s="324" t="s">
        <v>779</v>
      </c>
      <c r="B26" s="28" t="s">
        <v>1708</v>
      </c>
      <c r="C26" s="313" t="s">
        <v>845</v>
      </c>
      <c r="D26" s="330" t="s">
        <v>840</v>
      </c>
      <c r="E26" s="330" t="s">
        <v>840</v>
      </c>
    </row>
    <row r="27" spans="1:5" ht="27.75" customHeight="1" x14ac:dyDescent="0.2">
      <c r="A27" s="324" t="s">
        <v>786</v>
      </c>
      <c r="B27" s="28" t="s">
        <v>1709</v>
      </c>
      <c r="C27" s="313" t="s">
        <v>846</v>
      </c>
      <c r="D27" s="331" t="s">
        <v>840</v>
      </c>
      <c r="E27" s="330" t="s">
        <v>840</v>
      </c>
    </row>
    <row r="28" spans="1:5" ht="27.75" customHeight="1" x14ac:dyDescent="0.2">
      <c r="A28" s="324" t="s">
        <v>793</v>
      </c>
      <c r="B28" s="28" t="s">
        <v>1710</v>
      </c>
      <c r="C28" s="313" t="s">
        <v>846</v>
      </c>
      <c r="D28" s="331" t="s">
        <v>840</v>
      </c>
      <c r="E28" s="330" t="s">
        <v>840</v>
      </c>
    </row>
    <row r="29" spans="1:5" ht="27.75" customHeight="1" x14ac:dyDescent="0.2">
      <c r="A29" s="324" t="s">
        <v>800</v>
      </c>
      <c r="B29" s="28" t="s">
        <v>1711</v>
      </c>
      <c r="C29" s="313" t="s">
        <v>846</v>
      </c>
      <c r="D29" s="331" t="s">
        <v>840</v>
      </c>
      <c r="E29" s="330" t="s">
        <v>840</v>
      </c>
    </row>
    <row r="30" spans="1:5" ht="27.75" customHeight="1" x14ac:dyDescent="0.2">
      <c r="A30" s="324" t="s">
        <v>807</v>
      </c>
      <c r="B30" s="28" t="s">
        <v>1712</v>
      </c>
      <c r="C30" s="313" t="s">
        <v>846</v>
      </c>
      <c r="D30" s="331" t="s">
        <v>840</v>
      </c>
      <c r="E30" s="330" t="s">
        <v>840</v>
      </c>
    </row>
    <row r="31" spans="1:5" ht="27.75" customHeight="1" x14ac:dyDescent="0.2">
      <c r="A31" s="324" t="s">
        <v>814</v>
      </c>
      <c r="B31" s="28" t="s">
        <v>1713</v>
      </c>
      <c r="C31" s="313" t="s">
        <v>846</v>
      </c>
      <c r="D31" s="331" t="s">
        <v>840</v>
      </c>
      <c r="E31" s="330" t="s">
        <v>840</v>
      </c>
    </row>
    <row r="32" spans="1:5" ht="27.75" customHeight="1" x14ac:dyDescent="0.2">
      <c r="A32" s="324" t="s">
        <v>643</v>
      </c>
      <c r="B32" s="28" t="s">
        <v>840</v>
      </c>
      <c r="C32" s="313">
        <v>0</v>
      </c>
      <c r="D32" s="331" t="s">
        <v>840</v>
      </c>
      <c r="E32" s="330" t="s">
        <v>840</v>
      </c>
    </row>
    <row r="33" spans="1:5" ht="27.75" customHeight="1" x14ac:dyDescent="0.2">
      <c r="A33" s="324" t="s">
        <v>644</v>
      </c>
      <c r="B33" s="28" t="s">
        <v>1714</v>
      </c>
      <c r="C33" s="313">
        <v>0</v>
      </c>
      <c r="D33" s="331" t="s">
        <v>840</v>
      </c>
      <c r="E33" s="330" t="s">
        <v>840</v>
      </c>
    </row>
    <row r="34" spans="1:5" ht="27.75" customHeight="1" x14ac:dyDescent="0.2">
      <c r="A34" s="324" t="s">
        <v>645</v>
      </c>
      <c r="B34" s="28" t="s">
        <v>1715</v>
      </c>
      <c r="C34" s="313">
        <v>0</v>
      </c>
      <c r="D34" s="331" t="s">
        <v>840</v>
      </c>
      <c r="E34" s="330" t="s">
        <v>840</v>
      </c>
    </row>
    <row r="35" spans="1:5" ht="27.75" customHeight="1" x14ac:dyDescent="0.2">
      <c r="A35" s="324" t="s">
        <v>646</v>
      </c>
      <c r="B35" s="28" t="s">
        <v>1716</v>
      </c>
      <c r="C35" s="313">
        <v>0</v>
      </c>
      <c r="D35" s="331" t="s">
        <v>840</v>
      </c>
      <c r="E35" s="330" t="s">
        <v>840</v>
      </c>
    </row>
    <row r="36" spans="1:5" ht="27.75" customHeight="1" x14ac:dyDescent="0.2">
      <c r="A36" s="324" t="s">
        <v>647</v>
      </c>
      <c r="B36" s="28" t="s">
        <v>1717</v>
      </c>
      <c r="C36" s="313">
        <v>0</v>
      </c>
      <c r="D36" s="331" t="s">
        <v>840</v>
      </c>
      <c r="E36" s="330" t="s">
        <v>840</v>
      </c>
    </row>
    <row r="37" spans="1:5" ht="27.75" customHeight="1" x14ac:dyDescent="0.2">
      <c r="A37" s="325" t="s">
        <v>780</v>
      </c>
      <c r="B37" s="28" t="e">
        <v>#N/A</v>
      </c>
      <c r="C37" s="313" t="s">
        <v>845</v>
      </c>
      <c r="D37" s="330" t="s">
        <v>840</v>
      </c>
      <c r="E37" s="330" t="s">
        <v>840</v>
      </c>
    </row>
    <row r="38" spans="1:5" ht="27.75" customHeight="1" x14ac:dyDescent="0.2">
      <c r="A38" s="324" t="s">
        <v>787</v>
      </c>
      <c r="B38" s="28" t="s">
        <v>1718</v>
      </c>
      <c r="C38" s="313" t="s">
        <v>846</v>
      </c>
      <c r="D38" s="331" t="s">
        <v>840</v>
      </c>
      <c r="E38" s="330" t="s">
        <v>840</v>
      </c>
    </row>
    <row r="39" spans="1:5" ht="27.75" customHeight="1" x14ac:dyDescent="0.2">
      <c r="A39" s="324" t="s">
        <v>794</v>
      </c>
      <c r="B39" s="28" t="s">
        <v>1719</v>
      </c>
      <c r="C39" s="313" t="s">
        <v>846</v>
      </c>
      <c r="D39" s="331" t="s">
        <v>840</v>
      </c>
      <c r="E39" s="330" t="s">
        <v>840</v>
      </c>
    </row>
    <row r="40" spans="1:5" ht="27.75" customHeight="1" x14ac:dyDescent="0.2">
      <c r="A40" s="324" t="s">
        <v>801</v>
      </c>
      <c r="B40" s="28" t="s">
        <v>1720</v>
      </c>
      <c r="C40" s="313" t="s">
        <v>846</v>
      </c>
      <c r="D40" s="331" t="s">
        <v>840</v>
      </c>
      <c r="E40" s="330" t="s">
        <v>840</v>
      </c>
    </row>
    <row r="41" spans="1:5" ht="27.75" customHeight="1" x14ac:dyDescent="0.2">
      <c r="A41" s="324" t="s">
        <v>808</v>
      </c>
      <c r="B41" s="28" t="s">
        <v>1721</v>
      </c>
      <c r="C41" s="313" t="s">
        <v>846</v>
      </c>
      <c r="D41" s="331" t="s">
        <v>840</v>
      </c>
      <c r="E41" s="330" t="s">
        <v>840</v>
      </c>
    </row>
    <row r="42" spans="1:5" ht="27.75" customHeight="1" x14ac:dyDescent="0.2">
      <c r="A42" s="324" t="s">
        <v>815</v>
      </c>
      <c r="B42" s="28" t="s">
        <v>1722</v>
      </c>
      <c r="C42" s="313" t="s">
        <v>846</v>
      </c>
      <c r="D42" s="331" t="s">
        <v>840</v>
      </c>
      <c r="E42" s="330" t="s">
        <v>840</v>
      </c>
    </row>
    <row r="43" spans="1:5" ht="27.75" customHeight="1" x14ac:dyDescent="0.2">
      <c r="A43" s="324" t="s">
        <v>649</v>
      </c>
      <c r="B43" s="28" t="s">
        <v>840</v>
      </c>
      <c r="C43" s="313">
        <v>0</v>
      </c>
      <c r="D43" s="331" t="s">
        <v>840</v>
      </c>
      <c r="E43" s="330" t="s">
        <v>840</v>
      </c>
    </row>
    <row r="44" spans="1:5" ht="27.75" customHeight="1" x14ac:dyDescent="0.2">
      <c r="A44" s="324" t="s">
        <v>650</v>
      </c>
      <c r="B44" s="28" t="s">
        <v>1723</v>
      </c>
      <c r="C44" s="313">
        <v>0</v>
      </c>
      <c r="D44" s="331" t="s">
        <v>840</v>
      </c>
      <c r="E44" s="330" t="s">
        <v>840</v>
      </c>
    </row>
    <row r="45" spans="1:5" ht="27.75" customHeight="1" x14ac:dyDescent="0.2">
      <c r="A45" s="324" t="s">
        <v>651</v>
      </c>
      <c r="B45" s="28" t="s">
        <v>1724</v>
      </c>
      <c r="C45" s="313">
        <v>0</v>
      </c>
      <c r="D45" s="331" t="s">
        <v>840</v>
      </c>
      <c r="E45" s="330" t="s">
        <v>840</v>
      </c>
    </row>
    <row r="46" spans="1:5" ht="27.75" customHeight="1" x14ac:dyDescent="0.2">
      <c r="A46" s="324" t="s">
        <v>652</v>
      </c>
      <c r="B46" s="28" t="s">
        <v>1725</v>
      </c>
      <c r="C46" s="313">
        <v>0</v>
      </c>
      <c r="D46" s="331" t="s">
        <v>840</v>
      </c>
      <c r="E46" s="330" t="s">
        <v>840</v>
      </c>
    </row>
    <row r="47" spans="1:5" ht="27.75" customHeight="1" x14ac:dyDescent="0.2">
      <c r="A47" s="324" t="s">
        <v>653</v>
      </c>
      <c r="B47" s="28" t="s">
        <v>1726</v>
      </c>
      <c r="C47" s="313">
        <v>0</v>
      </c>
      <c r="D47" s="331" t="s">
        <v>840</v>
      </c>
      <c r="E47" s="330" t="s">
        <v>840</v>
      </c>
    </row>
    <row r="48" spans="1:5" ht="27.75" customHeight="1" x14ac:dyDescent="0.2">
      <c r="A48" s="324" t="s">
        <v>654</v>
      </c>
      <c r="B48" s="28" t="s">
        <v>840</v>
      </c>
      <c r="C48" s="313">
        <v>0</v>
      </c>
      <c r="D48" s="331" t="s">
        <v>840</v>
      </c>
      <c r="E48" s="330" t="s">
        <v>840</v>
      </c>
    </row>
    <row r="49" spans="1:5" ht="27.75" customHeight="1" x14ac:dyDescent="0.2">
      <c r="A49" s="324" t="s">
        <v>655</v>
      </c>
      <c r="B49" s="28" t="s">
        <v>1727</v>
      </c>
      <c r="C49" s="313">
        <v>0</v>
      </c>
      <c r="D49" s="331" t="s">
        <v>840</v>
      </c>
      <c r="E49" s="330" t="s">
        <v>840</v>
      </c>
    </row>
    <row r="50" spans="1:5" ht="27.75" customHeight="1" x14ac:dyDescent="0.2">
      <c r="A50" s="324" t="s">
        <v>656</v>
      </c>
      <c r="B50" s="28" t="s">
        <v>1728</v>
      </c>
      <c r="C50" s="313">
        <v>0</v>
      </c>
      <c r="D50" s="331" t="s">
        <v>840</v>
      </c>
      <c r="E50" s="330" t="s">
        <v>840</v>
      </c>
    </row>
    <row r="51" spans="1:5" ht="27.75" customHeight="1" x14ac:dyDescent="0.2">
      <c r="A51" s="324" t="s">
        <v>657</v>
      </c>
      <c r="B51" s="28" t="s">
        <v>1729</v>
      </c>
      <c r="C51" s="313">
        <v>0</v>
      </c>
      <c r="D51" s="331" t="s">
        <v>840</v>
      </c>
      <c r="E51" s="330" t="s">
        <v>840</v>
      </c>
    </row>
    <row r="52" spans="1:5" ht="27.75" customHeight="1" x14ac:dyDescent="0.2">
      <c r="A52" s="324" t="s">
        <v>658</v>
      </c>
      <c r="B52" s="28" t="s">
        <v>1730</v>
      </c>
      <c r="C52" s="313">
        <v>0</v>
      </c>
      <c r="D52" s="331" t="s">
        <v>840</v>
      </c>
      <c r="E52" s="330" t="s">
        <v>840</v>
      </c>
    </row>
    <row r="53" spans="1:5" ht="27.75" customHeight="1" x14ac:dyDescent="0.2">
      <c r="A53" s="324" t="s">
        <v>659</v>
      </c>
      <c r="B53" s="28" t="s">
        <v>840</v>
      </c>
      <c r="C53" s="313">
        <v>0</v>
      </c>
      <c r="D53" s="331" t="s">
        <v>840</v>
      </c>
      <c r="E53" s="330" t="s">
        <v>840</v>
      </c>
    </row>
    <row r="54" spans="1:5" ht="27.75" customHeight="1" x14ac:dyDescent="0.2">
      <c r="A54" s="324" t="s">
        <v>660</v>
      </c>
      <c r="B54" s="28" t="s">
        <v>1731</v>
      </c>
      <c r="C54" s="313">
        <v>0</v>
      </c>
      <c r="D54" s="331" t="s">
        <v>840</v>
      </c>
      <c r="E54" s="330" t="s">
        <v>840</v>
      </c>
    </row>
    <row r="55" spans="1:5" ht="27.75" customHeight="1" x14ac:dyDescent="0.2">
      <c r="A55" s="324" t="s">
        <v>661</v>
      </c>
      <c r="B55" s="28" t="s">
        <v>1732</v>
      </c>
      <c r="C55" s="313">
        <v>0</v>
      </c>
      <c r="D55" s="331" t="s">
        <v>840</v>
      </c>
      <c r="E55" s="330" t="s">
        <v>840</v>
      </c>
    </row>
    <row r="56" spans="1:5" ht="27.75" customHeight="1" x14ac:dyDescent="0.2">
      <c r="A56" s="324" t="s">
        <v>662</v>
      </c>
      <c r="B56" s="28" t="s">
        <v>1733</v>
      </c>
      <c r="C56" s="313">
        <v>0</v>
      </c>
      <c r="D56" s="331" t="s">
        <v>840</v>
      </c>
      <c r="E56" s="330" t="s">
        <v>840</v>
      </c>
    </row>
    <row r="57" spans="1:5" ht="27.75" customHeight="1" x14ac:dyDescent="0.2">
      <c r="A57" s="324" t="s">
        <v>663</v>
      </c>
      <c r="B57" s="28" t="s">
        <v>1734</v>
      </c>
      <c r="C57" s="313">
        <v>0</v>
      </c>
      <c r="D57" s="331" t="s">
        <v>840</v>
      </c>
      <c r="E57" s="330" t="s">
        <v>840</v>
      </c>
    </row>
    <row r="58" spans="1:5" ht="27.75" customHeight="1" x14ac:dyDescent="0.2">
      <c r="A58" s="324" t="s">
        <v>781</v>
      </c>
      <c r="B58" s="28" t="e">
        <v>#N/A</v>
      </c>
      <c r="C58" s="313" t="s">
        <v>845</v>
      </c>
      <c r="D58" s="330" t="s">
        <v>840</v>
      </c>
      <c r="E58" s="330" t="s">
        <v>840</v>
      </c>
    </row>
    <row r="59" spans="1:5" ht="27.75" customHeight="1" x14ac:dyDescent="0.2">
      <c r="A59" s="324" t="s">
        <v>788</v>
      </c>
      <c r="B59" s="28" t="s">
        <v>1735</v>
      </c>
      <c r="C59" s="313" t="s">
        <v>846</v>
      </c>
      <c r="D59" s="331" t="s">
        <v>840</v>
      </c>
      <c r="E59" s="330" t="s">
        <v>840</v>
      </c>
    </row>
    <row r="60" spans="1:5" ht="27.75" customHeight="1" x14ac:dyDescent="0.2">
      <c r="A60" s="324" t="s">
        <v>795</v>
      </c>
      <c r="B60" s="28" t="s">
        <v>1736</v>
      </c>
      <c r="C60" s="313" t="s">
        <v>846</v>
      </c>
      <c r="D60" s="331" t="s">
        <v>840</v>
      </c>
      <c r="E60" s="330" t="s">
        <v>840</v>
      </c>
    </row>
    <row r="61" spans="1:5" ht="27.75" customHeight="1" x14ac:dyDescent="0.2">
      <c r="A61" s="324" t="s">
        <v>802</v>
      </c>
      <c r="B61" s="28" t="s">
        <v>1737</v>
      </c>
      <c r="C61" s="313" t="s">
        <v>846</v>
      </c>
      <c r="D61" s="331" t="s">
        <v>840</v>
      </c>
      <c r="E61" s="330" t="s">
        <v>840</v>
      </c>
    </row>
    <row r="62" spans="1:5" ht="27.75" customHeight="1" x14ac:dyDescent="0.2">
      <c r="A62" s="324" t="s">
        <v>809</v>
      </c>
      <c r="B62" s="28" t="s">
        <v>1738</v>
      </c>
      <c r="C62" s="313" t="s">
        <v>846</v>
      </c>
      <c r="D62" s="331" t="s">
        <v>840</v>
      </c>
      <c r="E62" s="330" t="s">
        <v>840</v>
      </c>
    </row>
    <row r="63" spans="1:5" ht="27.75" customHeight="1" x14ac:dyDescent="0.2">
      <c r="A63" s="324" t="s">
        <v>816</v>
      </c>
      <c r="B63" s="28" t="s">
        <v>1739</v>
      </c>
      <c r="C63" s="313" t="s">
        <v>846</v>
      </c>
      <c r="D63" s="331" t="s">
        <v>840</v>
      </c>
      <c r="E63" s="330" t="s">
        <v>840</v>
      </c>
    </row>
    <row r="64" spans="1:5" ht="27.75" customHeight="1" x14ac:dyDescent="0.2">
      <c r="A64" s="324" t="s">
        <v>665</v>
      </c>
      <c r="B64" s="28" t="s">
        <v>840</v>
      </c>
      <c r="C64" s="313">
        <v>0</v>
      </c>
      <c r="D64" s="331" t="s">
        <v>840</v>
      </c>
      <c r="E64" s="330" t="s">
        <v>840</v>
      </c>
    </row>
    <row r="65" spans="1:5" ht="27.75" customHeight="1" x14ac:dyDescent="0.2">
      <c r="A65" s="324" t="s">
        <v>666</v>
      </c>
      <c r="B65" s="28" t="s">
        <v>1740</v>
      </c>
      <c r="C65" s="313">
        <v>0</v>
      </c>
      <c r="D65" s="331" t="s">
        <v>840</v>
      </c>
      <c r="E65" s="330" t="s">
        <v>840</v>
      </c>
    </row>
    <row r="66" spans="1:5" ht="27.75" customHeight="1" x14ac:dyDescent="0.2">
      <c r="A66" s="324" t="s">
        <v>667</v>
      </c>
      <c r="B66" s="28" t="s">
        <v>1741</v>
      </c>
      <c r="C66" s="313">
        <v>0</v>
      </c>
      <c r="D66" s="331" t="s">
        <v>840</v>
      </c>
      <c r="E66" s="330" t="s">
        <v>840</v>
      </c>
    </row>
    <row r="67" spans="1:5" ht="27.75" customHeight="1" x14ac:dyDescent="0.2">
      <c r="A67" s="324" t="s">
        <v>668</v>
      </c>
      <c r="B67" s="28" t="s">
        <v>1742</v>
      </c>
      <c r="C67" s="313">
        <v>0</v>
      </c>
      <c r="D67" s="331" t="s">
        <v>840</v>
      </c>
      <c r="E67" s="330" t="s">
        <v>840</v>
      </c>
    </row>
    <row r="68" spans="1:5" ht="27.75" customHeight="1" x14ac:dyDescent="0.2">
      <c r="A68" s="324" t="s">
        <v>669</v>
      </c>
      <c r="B68" s="28" t="s">
        <v>1743</v>
      </c>
      <c r="C68" s="313">
        <v>0</v>
      </c>
      <c r="D68" s="331" t="s">
        <v>840</v>
      </c>
      <c r="E68" s="330" t="s">
        <v>840</v>
      </c>
    </row>
    <row r="69" spans="1:5" ht="27.75" customHeight="1" x14ac:dyDescent="0.2">
      <c r="A69" s="324" t="s">
        <v>670</v>
      </c>
      <c r="B69" s="28" t="s">
        <v>840</v>
      </c>
      <c r="C69" s="313">
        <v>0</v>
      </c>
      <c r="D69" s="331" t="s">
        <v>840</v>
      </c>
      <c r="E69" s="330" t="s">
        <v>840</v>
      </c>
    </row>
    <row r="70" spans="1:5" ht="27.75" customHeight="1" x14ac:dyDescent="0.2">
      <c r="A70" s="324" t="s">
        <v>671</v>
      </c>
      <c r="B70" s="28" t="s">
        <v>1744</v>
      </c>
      <c r="C70" s="313">
        <v>0</v>
      </c>
      <c r="D70" s="331" t="s">
        <v>840</v>
      </c>
      <c r="E70" s="330" t="s">
        <v>840</v>
      </c>
    </row>
    <row r="71" spans="1:5" ht="27.75" customHeight="1" x14ac:dyDescent="0.2">
      <c r="A71" s="324" t="s">
        <v>672</v>
      </c>
      <c r="B71" s="28" t="s">
        <v>1745</v>
      </c>
      <c r="C71" s="313">
        <v>0</v>
      </c>
      <c r="D71" s="331" t="s">
        <v>840</v>
      </c>
      <c r="E71" s="330" t="s">
        <v>840</v>
      </c>
    </row>
    <row r="72" spans="1:5" ht="27.75" customHeight="1" x14ac:dyDescent="0.2">
      <c r="A72" s="324" t="s">
        <v>673</v>
      </c>
      <c r="B72" s="28" t="s">
        <v>1746</v>
      </c>
      <c r="C72" s="313">
        <v>0</v>
      </c>
      <c r="D72" s="331" t="s">
        <v>840</v>
      </c>
      <c r="E72" s="330" t="s">
        <v>840</v>
      </c>
    </row>
    <row r="73" spans="1:5" ht="27.75" customHeight="1" x14ac:dyDescent="0.2">
      <c r="A73" s="324" t="s">
        <v>674</v>
      </c>
      <c r="B73" s="28" t="s">
        <v>1747</v>
      </c>
      <c r="C73" s="313">
        <v>0</v>
      </c>
      <c r="D73" s="331" t="s">
        <v>840</v>
      </c>
      <c r="E73" s="330" t="s">
        <v>840</v>
      </c>
    </row>
    <row r="74" spans="1:5" ht="27.75" customHeight="1" x14ac:dyDescent="0.2">
      <c r="A74" s="324" t="s">
        <v>675</v>
      </c>
      <c r="B74" s="28" t="s">
        <v>840</v>
      </c>
      <c r="C74" s="313">
        <v>0</v>
      </c>
      <c r="D74" s="331" t="s">
        <v>840</v>
      </c>
      <c r="E74" s="330" t="s">
        <v>840</v>
      </c>
    </row>
    <row r="75" spans="1:5" ht="27.75" customHeight="1" x14ac:dyDescent="0.2">
      <c r="A75" s="324" t="s">
        <v>676</v>
      </c>
      <c r="B75" s="28" t="s">
        <v>1748</v>
      </c>
      <c r="C75" s="313">
        <v>0</v>
      </c>
      <c r="D75" s="331" t="s">
        <v>840</v>
      </c>
      <c r="E75" s="330" t="s">
        <v>840</v>
      </c>
    </row>
    <row r="76" spans="1:5" ht="27.75" customHeight="1" x14ac:dyDescent="0.2">
      <c r="A76" s="324" t="s">
        <v>677</v>
      </c>
      <c r="B76" s="28" t="s">
        <v>1749</v>
      </c>
      <c r="C76" s="313">
        <v>0</v>
      </c>
      <c r="D76" s="331" t="s">
        <v>840</v>
      </c>
      <c r="E76" s="330" t="s">
        <v>840</v>
      </c>
    </row>
    <row r="77" spans="1:5" ht="27.75" customHeight="1" x14ac:dyDescent="0.2">
      <c r="A77" s="324" t="s">
        <v>678</v>
      </c>
      <c r="B77" s="28" t="s">
        <v>1750</v>
      </c>
      <c r="C77" s="313">
        <v>0</v>
      </c>
      <c r="D77" s="331" t="s">
        <v>840</v>
      </c>
      <c r="E77" s="330" t="s">
        <v>840</v>
      </c>
    </row>
    <row r="78" spans="1:5" ht="27.75" customHeight="1" x14ac:dyDescent="0.2">
      <c r="A78" s="324" t="s">
        <v>679</v>
      </c>
      <c r="B78" s="28" t="s">
        <v>1751</v>
      </c>
      <c r="C78" s="313">
        <v>0</v>
      </c>
      <c r="D78" s="331" t="s">
        <v>840</v>
      </c>
      <c r="E78" s="330" t="s">
        <v>840</v>
      </c>
    </row>
    <row r="79" spans="1:5" ht="27.75" customHeight="1" x14ac:dyDescent="0.2">
      <c r="A79" s="324" t="s">
        <v>782</v>
      </c>
      <c r="B79" s="28" t="e">
        <v>#N/A</v>
      </c>
      <c r="C79" s="313" t="s">
        <v>845</v>
      </c>
      <c r="D79" s="330" t="s">
        <v>840</v>
      </c>
      <c r="E79" s="330" t="s">
        <v>840</v>
      </c>
    </row>
    <row r="80" spans="1:5" ht="27.75" customHeight="1" x14ac:dyDescent="0.2">
      <c r="A80" s="324" t="s">
        <v>789</v>
      </c>
      <c r="B80" s="28" t="s">
        <v>1752</v>
      </c>
      <c r="C80" s="313" t="s">
        <v>846</v>
      </c>
      <c r="D80" s="331" t="s">
        <v>840</v>
      </c>
      <c r="E80" s="330" t="s">
        <v>840</v>
      </c>
    </row>
    <row r="81" spans="1:5" ht="27.75" customHeight="1" x14ac:dyDescent="0.2">
      <c r="A81" s="324" t="s">
        <v>796</v>
      </c>
      <c r="B81" s="28" t="s">
        <v>1753</v>
      </c>
      <c r="C81" s="313" t="s">
        <v>846</v>
      </c>
      <c r="D81" s="331" t="s">
        <v>840</v>
      </c>
      <c r="E81" s="330" t="s">
        <v>840</v>
      </c>
    </row>
    <row r="82" spans="1:5" ht="27.75" customHeight="1" x14ac:dyDescent="0.2">
      <c r="A82" s="324" t="s">
        <v>803</v>
      </c>
      <c r="B82" s="28" t="s">
        <v>1754</v>
      </c>
      <c r="C82" s="313" t="s">
        <v>846</v>
      </c>
      <c r="D82" s="331" t="s">
        <v>840</v>
      </c>
      <c r="E82" s="330" t="s">
        <v>840</v>
      </c>
    </row>
    <row r="83" spans="1:5" ht="27.75" customHeight="1" x14ac:dyDescent="0.2">
      <c r="A83" s="324" t="s">
        <v>810</v>
      </c>
      <c r="B83" s="28" t="s">
        <v>1755</v>
      </c>
      <c r="C83" s="313" t="s">
        <v>846</v>
      </c>
      <c r="D83" s="331" t="s">
        <v>840</v>
      </c>
      <c r="E83" s="330" t="s">
        <v>840</v>
      </c>
    </row>
    <row r="84" spans="1:5" ht="27.75" customHeight="1" x14ac:dyDescent="0.2">
      <c r="A84" s="324" t="s">
        <v>817</v>
      </c>
      <c r="B84" s="28" t="s">
        <v>1756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1757</v>
      </c>
      <c r="C86" s="313">
        <v>0</v>
      </c>
      <c r="D86" s="331" t="s">
        <v>840</v>
      </c>
      <c r="E86" s="330" t="s">
        <v>840</v>
      </c>
    </row>
    <row r="87" spans="1:5" ht="27.75" customHeight="1" x14ac:dyDescent="0.2">
      <c r="A87" s="324" t="s">
        <v>683</v>
      </c>
      <c r="B87" s="28" t="s">
        <v>1758</v>
      </c>
      <c r="C87" s="313">
        <v>0</v>
      </c>
      <c r="D87" s="331" t="s">
        <v>840</v>
      </c>
      <c r="E87" s="330" t="s">
        <v>840</v>
      </c>
    </row>
    <row r="88" spans="1:5" ht="27.75" customHeight="1" x14ac:dyDescent="0.2">
      <c r="A88" s="324" t="s">
        <v>684</v>
      </c>
      <c r="B88" s="28" t="s">
        <v>1759</v>
      </c>
      <c r="C88" s="313">
        <v>0</v>
      </c>
      <c r="D88" s="331" t="s">
        <v>840</v>
      </c>
      <c r="E88" s="330" t="s">
        <v>840</v>
      </c>
    </row>
    <row r="89" spans="1:5" ht="27.75" customHeight="1" x14ac:dyDescent="0.2">
      <c r="A89" s="324" t="s">
        <v>685</v>
      </c>
      <c r="B89" s="28" t="s">
        <v>1760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1761</v>
      </c>
      <c r="C91" s="313">
        <v>0</v>
      </c>
      <c r="D91" s="331" t="s">
        <v>840</v>
      </c>
      <c r="E91" s="330" t="s">
        <v>840</v>
      </c>
    </row>
    <row r="92" spans="1:5" ht="27.75" customHeight="1" x14ac:dyDescent="0.2">
      <c r="A92" s="324" t="s">
        <v>688</v>
      </c>
      <c r="B92" s="28" t="s">
        <v>1762</v>
      </c>
      <c r="C92" s="313">
        <v>0</v>
      </c>
      <c r="D92" s="331" t="s">
        <v>840</v>
      </c>
      <c r="E92" s="330" t="s">
        <v>840</v>
      </c>
    </row>
    <row r="93" spans="1:5" ht="27.75" customHeight="1" x14ac:dyDescent="0.2">
      <c r="A93" s="324" t="s">
        <v>689</v>
      </c>
      <c r="B93" s="28" t="s">
        <v>1763</v>
      </c>
      <c r="C93" s="313">
        <v>0</v>
      </c>
      <c r="D93" s="331" t="s">
        <v>840</v>
      </c>
      <c r="E93" s="330" t="s">
        <v>840</v>
      </c>
    </row>
    <row r="94" spans="1:5" ht="27.75" customHeight="1" x14ac:dyDescent="0.2">
      <c r="A94" s="324" t="s">
        <v>690</v>
      </c>
      <c r="B94" s="28" t="s">
        <v>1764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1765</v>
      </c>
      <c r="C96" s="313">
        <v>0</v>
      </c>
      <c r="D96" s="331" t="s">
        <v>840</v>
      </c>
      <c r="E96" s="330" t="s">
        <v>840</v>
      </c>
    </row>
    <row r="97" spans="1:5" ht="27.75" customHeight="1" x14ac:dyDescent="0.2">
      <c r="A97" s="324" t="s">
        <v>693</v>
      </c>
      <c r="B97" s="28" t="s">
        <v>1766</v>
      </c>
      <c r="C97" s="313">
        <v>0</v>
      </c>
      <c r="D97" s="331" t="s">
        <v>840</v>
      </c>
      <c r="E97" s="330" t="s">
        <v>840</v>
      </c>
    </row>
    <row r="98" spans="1:5" ht="27.75" customHeight="1" x14ac:dyDescent="0.2">
      <c r="A98" s="324" t="s">
        <v>694</v>
      </c>
      <c r="B98" s="28" t="s">
        <v>1767</v>
      </c>
      <c r="C98" s="313">
        <v>0</v>
      </c>
      <c r="D98" s="331" t="s">
        <v>840</v>
      </c>
      <c r="E98" s="330" t="s">
        <v>840</v>
      </c>
    </row>
    <row r="99" spans="1:5" ht="27.75" customHeight="1" x14ac:dyDescent="0.2">
      <c r="A99" s="324" t="s">
        <v>695</v>
      </c>
      <c r="B99" s="28"/>
      <c r="C99" s="313">
        <v>0</v>
      </c>
      <c r="D99" s="331" t="s">
        <v>840</v>
      </c>
      <c r="E99" s="330" t="s">
        <v>840</v>
      </c>
    </row>
    <row r="100" spans="1:5" ht="27.75" customHeight="1" x14ac:dyDescent="0.2">
      <c r="A100" s="324" t="s">
        <v>783</v>
      </c>
      <c r="B100" s="28"/>
      <c r="C100" s="313" t="s">
        <v>845</v>
      </c>
      <c r="D100" s="330"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1" t="s">
        <v>840</v>
      </c>
      <c r="E120" s="330" t="s">
        <v>840</v>
      </c>
    </row>
    <row r="121" spans="1:5" ht="27.75" customHeight="1" x14ac:dyDescent="0.2">
      <c r="A121" s="324" t="s">
        <v>784</v>
      </c>
      <c r="B121" s="28"/>
      <c r="C121" s="313" t="s">
        <v>845</v>
      </c>
      <c r="D121" s="330"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1" t="s">
        <v>840</v>
      </c>
      <c r="E141" s="330" t="s">
        <v>840</v>
      </c>
    </row>
    <row r="142" spans="1:5" ht="27.75" customHeight="1" x14ac:dyDescent="0.2">
      <c r="A142" s="324" t="s">
        <v>785</v>
      </c>
      <c r="B142" s="28"/>
      <c r="C142" s="313" t="s">
        <v>845</v>
      </c>
      <c r="D142" s="330"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24" t="s">
        <v>743</v>
      </c>
      <c r="B162" s="28" t="s">
        <v>840</v>
      </c>
      <c r="C162" s="313">
        <v>0</v>
      </c>
      <c r="D162" s="331" t="s">
        <v>840</v>
      </c>
      <c r="E162" s="330" t="s">
        <v>840</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DF8EBADA-BB03-49BF-A1C2-4734688FAAC5}"/>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881-ECDA-4C2E-9A5A-4D1F10993EEE}">
  <dimension ref="A1:L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12" ht="27.75" customHeight="1" x14ac:dyDescent="0.2">
      <c r="A1" s="32" t="s">
        <v>19</v>
      </c>
      <c r="B1" s="519"/>
      <c r="C1" s="519"/>
      <c r="D1" s="329"/>
      <c r="E1" s="329"/>
    </row>
    <row r="2" spans="1:12" ht="35.1" customHeight="1" x14ac:dyDescent="0.2">
      <c r="A2" s="520" t="str">
        <f>Overview!B4&amp; " - Effective from "&amp;TEXT(Overview!D4,"d mmmm yyyy")&amp;" - "&amp;Overview!E4&amp;" Supplier of Last Resort and Eligible Bad Debt Pass-Through Costs"&amp;" in WPD South Wales Area (GSP Group_K)"</f>
        <v>Leep Electricity Networks Limited - Effective from 1 April 2026 - Final Supplier of Last Resort and Eligible Bad Debt Pass-Through Costs in WPD South Wales Area (GSP Group_K)</v>
      </c>
      <c r="B2" s="521"/>
      <c r="C2" s="521"/>
      <c r="D2" s="521"/>
      <c r="E2" s="522"/>
    </row>
    <row r="3" spans="1:12" s="41" customFormat="1" ht="21" customHeight="1" x14ac:dyDescent="0.2">
      <c r="A3" s="46"/>
      <c r="B3" s="46"/>
      <c r="C3" s="46"/>
      <c r="D3" s="46"/>
      <c r="E3" s="46"/>
      <c r="F3" s="1"/>
    </row>
    <row r="4" spans="1:12" ht="78.75" customHeight="1" x14ac:dyDescent="0.2">
      <c r="A4" s="19" t="s">
        <v>458</v>
      </c>
      <c r="B4" s="16" t="s">
        <v>744</v>
      </c>
      <c r="C4" s="16" t="s">
        <v>24</v>
      </c>
      <c r="D4" s="16" t="s">
        <v>745</v>
      </c>
      <c r="E4" s="16" t="s">
        <v>746</v>
      </c>
    </row>
    <row r="5" spans="1:12" ht="32.25" customHeight="1" x14ac:dyDescent="0.2">
      <c r="A5" s="10" t="s">
        <v>773</v>
      </c>
      <c r="B5" s="28"/>
      <c r="C5" s="313" t="s">
        <v>845</v>
      </c>
      <c r="D5" s="330">
        <v>0</v>
      </c>
      <c r="E5" s="330">
        <v>0</v>
      </c>
      <c r="L5" s="346"/>
    </row>
    <row r="6" spans="1:12" ht="32.25" customHeight="1" x14ac:dyDescent="0.2">
      <c r="A6" s="10" t="s">
        <v>774</v>
      </c>
      <c r="B6" s="28"/>
      <c r="C6" s="313" t="s">
        <v>846</v>
      </c>
      <c r="D6" s="331" t="s">
        <v>840</v>
      </c>
      <c r="E6" s="330">
        <v>0</v>
      </c>
    </row>
    <row r="7" spans="1:12" ht="27" customHeight="1" x14ac:dyDescent="0.2">
      <c r="A7" s="10" t="s">
        <v>775</v>
      </c>
      <c r="B7" s="28"/>
      <c r="C7" s="313" t="s">
        <v>846</v>
      </c>
      <c r="D7" s="331" t="s">
        <v>840</v>
      </c>
      <c r="E7" s="330">
        <v>0</v>
      </c>
    </row>
    <row r="8" spans="1:12" ht="27" customHeight="1" x14ac:dyDescent="0.2">
      <c r="A8" s="10" t="s">
        <v>776</v>
      </c>
      <c r="B8" s="28"/>
      <c r="C8" s="313" t="s">
        <v>846</v>
      </c>
      <c r="D8" s="331" t="s">
        <v>840</v>
      </c>
      <c r="E8" s="330">
        <v>0</v>
      </c>
    </row>
    <row r="9" spans="1:12" ht="27" customHeight="1" x14ac:dyDescent="0.2">
      <c r="A9" s="10" t="s">
        <v>777</v>
      </c>
      <c r="B9" s="28"/>
      <c r="C9" s="313" t="s">
        <v>846</v>
      </c>
      <c r="D9" s="331" t="s">
        <v>840</v>
      </c>
      <c r="E9" s="330">
        <v>0</v>
      </c>
    </row>
    <row r="10" spans="1:12" ht="27" customHeight="1" x14ac:dyDescent="0.2">
      <c r="A10" s="10" t="s">
        <v>778</v>
      </c>
      <c r="B10" s="28"/>
      <c r="C10" s="313" t="s">
        <v>846</v>
      </c>
      <c r="D10" s="331" t="s">
        <v>840</v>
      </c>
      <c r="E10" s="330">
        <v>0</v>
      </c>
    </row>
    <row r="11" spans="1:12" ht="27" customHeight="1" x14ac:dyDescent="0.2">
      <c r="A11" s="10" t="s">
        <v>595</v>
      </c>
      <c r="B11" s="28"/>
      <c r="C11" s="313">
        <v>0</v>
      </c>
      <c r="D11" s="331" t="s">
        <v>840</v>
      </c>
      <c r="E11" s="330">
        <v>0</v>
      </c>
    </row>
    <row r="12" spans="1:12" ht="27" customHeight="1" x14ac:dyDescent="0.2">
      <c r="A12" s="324" t="s">
        <v>596</v>
      </c>
      <c r="B12" s="28"/>
      <c r="C12" s="313">
        <v>0</v>
      </c>
      <c r="D12" s="331" t="s">
        <v>840</v>
      </c>
      <c r="E12" s="330">
        <v>0</v>
      </c>
    </row>
    <row r="13" spans="1:12" ht="27" customHeight="1" x14ac:dyDescent="0.2">
      <c r="A13" s="324" t="s">
        <v>597</v>
      </c>
      <c r="B13" s="28"/>
      <c r="C13" s="313">
        <v>0</v>
      </c>
      <c r="D13" s="331" t="s">
        <v>840</v>
      </c>
      <c r="E13" s="330">
        <v>0</v>
      </c>
    </row>
    <row r="14" spans="1:12" ht="27" customHeight="1" x14ac:dyDescent="0.2">
      <c r="A14" s="324" t="s">
        <v>598</v>
      </c>
      <c r="B14" s="28"/>
      <c r="C14" s="313">
        <v>0</v>
      </c>
      <c r="D14" s="331" t="s">
        <v>840</v>
      </c>
      <c r="E14" s="330">
        <v>0</v>
      </c>
    </row>
    <row r="15" spans="1:12" ht="27.75" customHeight="1" x14ac:dyDescent="0.2">
      <c r="A15" s="324" t="s">
        <v>599</v>
      </c>
      <c r="B15" s="28"/>
      <c r="C15" s="313">
        <v>0</v>
      </c>
      <c r="D15" s="331" t="s">
        <v>840</v>
      </c>
      <c r="E15" s="330">
        <v>0</v>
      </c>
    </row>
    <row r="16" spans="1:12" ht="27.75" customHeight="1" x14ac:dyDescent="0.2">
      <c r="A16" s="325" t="s">
        <v>600</v>
      </c>
      <c r="B16" s="28"/>
      <c r="C16" s="313">
        <v>0</v>
      </c>
      <c r="D16" s="331" t="s">
        <v>840</v>
      </c>
      <c r="E16" s="330">
        <v>0</v>
      </c>
    </row>
    <row r="17" spans="1:5" ht="27.75" customHeight="1" x14ac:dyDescent="0.2">
      <c r="A17" s="325" t="s">
        <v>601</v>
      </c>
      <c r="B17" s="28"/>
      <c r="C17" s="313">
        <v>0</v>
      </c>
      <c r="D17" s="331" t="s">
        <v>840</v>
      </c>
      <c r="E17" s="330">
        <v>0</v>
      </c>
    </row>
    <row r="18" spans="1:5" ht="27.75" customHeight="1" x14ac:dyDescent="0.2">
      <c r="A18" s="325" t="s">
        <v>602</v>
      </c>
      <c r="B18" s="28"/>
      <c r="C18" s="313">
        <v>0</v>
      </c>
      <c r="D18" s="331" t="s">
        <v>840</v>
      </c>
      <c r="E18" s="330">
        <v>0</v>
      </c>
    </row>
    <row r="19" spans="1:5" ht="27.75" customHeight="1" x14ac:dyDescent="0.2">
      <c r="A19" s="325" t="s">
        <v>603</v>
      </c>
      <c r="B19" s="28"/>
      <c r="C19" s="313">
        <v>0</v>
      </c>
      <c r="D19" s="331" t="s">
        <v>840</v>
      </c>
      <c r="E19" s="330">
        <v>0</v>
      </c>
    </row>
    <row r="20" spans="1:5" ht="27.75" customHeight="1" x14ac:dyDescent="0.2">
      <c r="A20" s="325" t="s">
        <v>604</v>
      </c>
      <c r="B20" s="28"/>
      <c r="C20" s="313">
        <v>0</v>
      </c>
      <c r="D20" s="331" t="s">
        <v>840</v>
      </c>
      <c r="E20" s="330">
        <v>0</v>
      </c>
    </row>
    <row r="21" spans="1:5" ht="27.75" customHeight="1" x14ac:dyDescent="0.2">
      <c r="A21" s="325" t="s">
        <v>605</v>
      </c>
      <c r="B21" s="28"/>
      <c r="C21" s="313">
        <v>0</v>
      </c>
      <c r="D21" s="331" t="s">
        <v>840</v>
      </c>
      <c r="E21" s="330">
        <v>0</v>
      </c>
    </row>
    <row r="22" spans="1:5" ht="27.75" customHeight="1" x14ac:dyDescent="0.2">
      <c r="A22" s="325" t="s">
        <v>606</v>
      </c>
      <c r="B22" s="28"/>
      <c r="C22" s="313">
        <v>0</v>
      </c>
      <c r="D22" s="331" t="s">
        <v>840</v>
      </c>
      <c r="E22" s="330">
        <v>0</v>
      </c>
    </row>
    <row r="23" spans="1:5" ht="27.75" customHeight="1" x14ac:dyDescent="0.2">
      <c r="A23" s="325" t="s">
        <v>607</v>
      </c>
      <c r="B23" s="28"/>
      <c r="C23" s="313">
        <v>0</v>
      </c>
      <c r="D23" s="331" t="s">
        <v>840</v>
      </c>
      <c r="E23" s="330">
        <v>0</v>
      </c>
    </row>
    <row r="24" spans="1:5" ht="27.75" customHeight="1" x14ac:dyDescent="0.2">
      <c r="A24" s="324" t="s">
        <v>608</v>
      </c>
      <c r="B24" s="28"/>
      <c r="C24" s="313">
        <v>0</v>
      </c>
      <c r="D24" s="331" t="s">
        <v>840</v>
      </c>
      <c r="E24" s="330">
        <v>0</v>
      </c>
    </row>
    <row r="25" spans="1:5" ht="27.75" customHeight="1" x14ac:dyDescent="0.2">
      <c r="A25" s="324" t="s">
        <v>609</v>
      </c>
      <c r="B25" s="28"/>
      <c r="C25" s="313">
        <v>0</v>
      </c>
      <c r="D25" s="331" t="s">
        <v>840</v>
      </c>
      <c r="E25" s="330">
        <v>0</v>
      </c>
    </row>
    <row r="26" spans="1:5" ht="27.75" customHeight="1" x14ac:dyDescent="0.2">
      <c r="A26" s="324" t="s">
        <v>779</v>
      </c>
      <c r="B26" s="28" t="s">
        <v>1768</v>
      </c>
      <c r="C26" s="313" t="s">
        <v>845</v>
      </c>
      <c r="D26" s="330">
        <v>0</v>
      </c>
      <c r="E26" s="330">
        <v>0</v>
      </c>
    </row>
    <row r="27" spans="1:5" ht="27.75" customHeight="1" x14ac:dyDescent="0.2">
      <c r="A27" s="324" t="s">
        <v>786</v>
      </c>
      <c r="B27" s="28" t="s">
        <v>1769</v>
      </c>
      <c r="C27" s="313" t="s">
        <v>846</v>
      </c>
      <c r="D27" s="331" t="s">
        <v>840</v>
      </c>
      <c r="E27" s="330">
        <v>0</v>
      </c>
    </row>
    <row r="28" spans="1:5" ht="27.75" customHeight="1" x14ac:dyDescent="0.2">
      <c r="A28" s="324" t="s">
        <v>793</v>
      </c>
      <c r="B28" s="28" t="s">
        <v>1770</v>
      </c>
      <c r="C28" s="313" t="s">
        <v>846</v>
      </c>
      <c r="D28" s="331" t="s">
        <v>840</v>
      </c>
      <c r="E28" s="330">
        <v>0</v>
      </c>
    </row>
    <row r="29" spans="1:5" ht="27.75" customHeight="1" x14ac:dyDescent="0.2">
      <c r="A29" s="324" t="s">
        <v>800</v>
      </c>
      <c r="B29" s="28" t="s">
        <v>1771</v>
      </c>
      <c r="C29" s="313" t="s">
        <v>846</v>
      </c>
      <c r="D29" s="331" t="s">
        <v>840</v>
      </c>
      <c r="E29" s="330">
        <v>0</v>
      </c>
    </row>
    <row r="30" spans="1:5" ht="27.75" customHeight="1" x14ac:dyDescent="0.2">
      <c r="A30" s="324" t="s">
        <v>807</v>
      </c>
      <c r="B30" s="28" t="s">
        <v>1772</v>
      </c>
      <c r="C30" s="313" t="s">
        <v>846</v>
      </c>
      <c r="D30" s="331" t="s">
        <v>840</v>
      </c>
      <c r="E30" s="330">
        <v>0</v>
      </c>
    </row>
    <row r="31" spans="1:5" ht="27.75" customHeight="1" x14ac:dyDescent="0.2">
      <c r="A31" s="324" t="s">
        <v>814</v>
      </c>
      <c r="B31" s="28" t="s">
        <v>1773</v>
      </c>
      <c r="C31" s="313" t="s">
        <v>846</v>
      </c>
      <c r="D31" s="331" t="s">
        <v>840</v>
      </c>
      <c r="E31" s="330">
        <v>0</v>
      </c>
    </row>
    <row r="32" spans="1:5" ht="27.75" customHeight="1" x14ac:dyDescent="0.2">
      <c r="A32" s="324" t="s">
        <v>643</v>
      </c>
      <c r="B32" s="28" t="s">
        <v>840</v>
      </c>
      <c r="C32" s="313">
        <v>0</v>
      </c>
      <c r="D32" s="331" t="s">
        <v>840</v>
      </c>
      <c r="E32" s="330">
        <v>0</v>
      </c>
    </row>
    <row r="33" spans="1:5" ht="27.75" customHeight="1" x14ac:dyDescent="0.2">
      <c r="A33" s="324" t="s">
        <v>644</v>
      </c>
      <c r="B33" s="28" t="s">
        <v>1774</v>
      </c>
      <c r="C33" s="313">
        <v>0</v>
      </c>
      <c r="D33" s="331" t="s">
        <v>840</v>
      </c>
      <c r="E33" s="330">
        <v>0</v>
      </c>
    </row>
    <row r="34" spans="1:5" ht="27.75" customHeight="1" x14ac:dyDescent="0.2">
      <c r="A34" s="324" t="s">
        <v>645</v>
      </c>
      <c r="B34" s="28" t="s">
        <v>1775</v>
      </c>
      <c r="C34" s="313">
        <v>0</v>
      </c>
      <c r="D34" s="331" t="s">
        <v>840</v>
      </c>
      <c r="E34" s="330">
        <v>0</v>
      </c>
    </row>
    <row r="35" spans="1:5" ht="27.75" customHeight="1" x14ac:dyDescent="0.2">
      <c r="A35" s="324" t="s">
        <v>646</v>
      </c>
      <c r="B35" s="28" t="s">
        <v>1776</v>
      </c>
      <c r="C35" s="313">
        <v>0</v>
      </c>
      <c r="D35" s="331" t="s">
        <v>840</v>
      </c>
      <c r="E35" s="330">
        <v>0</v>
      </c>
    </row>
    <row r="36" spans="1:5" ht="27.75" customHeight="1" x14ac:dyDescent="0.2">
      <c r="A36" s="324" t="s">
        <v>647</v>
      </c>
      <c r="B36" s="28" t="s">
        <v>1777</v>
      </c>
      <c r="C36" s="313">
        <v>0</v>
      </c>
      <c r="D36" s="331" t="s">
        <v>840</v>
      </c>
      <c r="E36" s="330">
        <v>0</v>
      </c>
    </row>
    <row r="37" spans="1:5" ht="27.75" customHeight="1" x14ac:dyDescent="0.2">
      <c r="A37" s="324" t="s">
        <v>780</v>
      </c>
      <c r="B37" s="28" t="s">
        <v>840</v>
      </c>
      <c r="C37" s="313" t="s">
        <v>845</v>
      </c>
      <c r="D37" s="330">
        <v>0</v>
      </c>
      <c r="E37" s="330">
        <v>0</v>
      </c>
    </row>
    <row r="38" spans="1:5" ht="27.75" customHeight="1" x14ac:dyDescent="0.2">
      <c r="A38" s="325" t="s">
        <v>787</v>
      </c>
      <c r="B38" s="28" t="s">
        <v>1778</v>
      </c>
      <c r="C38" s="313" t="s">
        <v>846</v>
      </c>
      <c r="D38" s="331" t="s">
        <v>840</v>
      </c>
      <c r="E38" s="330">
        <v>0</v>
      </c>
    </row>
    <row r="39" spans="1:5" ht="27.75" customHeight="1" x14ac:dyDescent="0.2">
      <c r="A39" s="324" t="s">
        <v>794</v>
      </c>
      <c r="B39" s="28" t="s">
        <v>1779</v>
      </c>
      <c r="C39" s="313" t="s">
        <v>846</v>
      </c>
      <c r="D39" s="331" t="s">
        <v>840</v>
      </c>
      <c r="E39" s="330">
        <v>0</v>
      </c>
    </row>
    <row r="40" spans="1:5" ht="27.75" customHeight="1" x14ac:dyDescent="0.2">
      <c r="A40" s="324" t="s">
        <v>801</v>
      </c>
      <c r="B40" s="28" t="s">
        <v>1780</v>
      </c>
      <c r="C40" s="313" t="s">
        <v>846</v>
      </c>
      <c r="D40" s="331" t="s">
        <v>840</v>
      </c>
      <c r="E40" s="330">
        <v>0</v>
      </c>
    </row>
    <row r="41" spans="1:5" ht="27.75" customHeight="1" x14ac:dyDescent="0.2">
      <c r="A41" s="324" t="s">
        <v>808</v>
      </c>
      <c r="B41" s="28" t="s">
        <v>1781</v>
      </c>
      <c r="C41" s="313" t="s">
        <v>846</v>
      </c>
      <c r="D41" s="331" t="s">
        <v>840</v>
      </c>
      <c r="E41" s="330">
        <v>0</v>
      </c>
    </row>
    <row r="42" spans="1:5" ht="27.75" customHeight="1" x14ac:dyDescent="0.2">
      <c r="A42" s="324" t="s">
        <v>815</v>
      </c>
      <c r="B42" s="28" t="s">
        <v>1782</v>
      </c>
      <c r="C42" s="313" t="s">
        <v>846</v>
      </c>
      <c r="D42" s="331" t="s">
        <v>840</v>
      </c>
      <c r="E42" s="330">
        <v>0</v>
      </c>
    </row>
    <row r="43" spans="1:5" ht="27.75" customHeight="1" x14ac:dyDescent="0.2">
      <c r="A43" s="324" t="s">
        <v>649</v>
      </c>
      <c r="B43" s="28" t="s">
        <v>840</v>
      </c>
      <c r="C43" s="313">
        <v>0</v>
      </c>
      <c r="D43" s="331" t="s">
        <v>840</v>
      </c>
      <c r="E43" s="330">
        <v>0</v>
      </c>
    </row>
    <row r="44" spans="1:5" ht="27.75" customHeight="1" x14ac:dyDescent="0.2">
      <c r="A44" s="324" t="s">
        <v>650</v>
      </c>
      <c r="B44" s="28" t="s">
        <v>1783</v>
      </c>
      <c r="C44" s="313">
        <v>0</v>
      </c>
      <c r="D44" s="331" t="s">
        <v>840</v>
      </c>
      <c r="E44" s="330">
        <v>0</v>
      </c>
    </row>
    <row r="45" spans="1:5" ht="27.75" customHeight="1" x14ac:dyDescent="0.2">
      <c r="A45" s="324" t="s">
        <v>651</v>
      </c>
      <c r="B45" s="28" t="s">
        <v>1784</v>
      </c>
      <c r="C45" s="313">
        <v>0</v>
      </c>
      <c r="D45" s="331" t="s">
        <v>840</v>
      </c>
      <c r="E45" s="330">
        <v>0</v>
      </c>
    </row>
    <row r="46" spans="1:5" ht="27.75" customHeight="1" x14ac:dyDescent="0.2">
      <c r="A46" s="324" t="s">
        <v>652</v>
      </c>
      <c r="B46" s="28" t="s">
        <v>1785</v>
      </c>
      <c r="C46" s="313">
        <v>0</v>
      </c>
      <c r="D46" s="331" t="s">
        <v>840</v>
      </c>
      <c r="E46" s="330">
        <v>0</v>
      </c>
    </row>
    <row r="47" spans="1:5" ht="27.75" customHeight="1" x14ac:dyDescent="0.2">
      <c r="A47" s="324" t="s">
        <v>653</v>
      </c>
      <c r="B47" s="28" t="s">
        <v>1786</v>
      </c>
      <c r="C47" s="313">
        <v>0</v>
      </c>
      <c r="D47" s="331" t="s">
        <v>840</v>
      </c>
      <c r="E47" s="330">
        <v>0</v>
      </c>
    </row>
    <row r="48" spans="1:5" ht="27.75" customHeight="1" x14ac:dyDescent="0.2">
      <c r="A48" s="324" t="s">
        <v>654</v>
      </c>
      <c r="B48" s="28" t="s">
        <v>840</v>
      </c>
      <c r="C48" s="313">
        <v>0</v>
      </c>
      <c r="D48" s="331" t="s">
        <v>840</v>
      </c>
      <c r="E48" s="330">
        <v>0</v>
      </c>
    </row>
    <row r="49" spans="1:5" ht="27.75" customHeight="1" x14ac:dyDescent="0.2">
      <c r="A49" s="324" t="s">
        <v>655</v>
      </c>
      <c r="B49" s="28" t="s">
        <v>1787</v>
      </c>
      <c r="C49" s="313">
        <v>0</v>
      </c>
      <c r="D49" s="331" t="s">
        <v>840</v>
      </c>
      <c r="E49" s="330">
        <v>0</v>
      </c>
    </row>
    <row r="50" spans="1:5" ht="27.75" customHeight="1" x14ac:dyDescent="0.2">
      <c r="A50" s="324" t="s">
        <v>656</v>
      </c>
      <c r="B50" s="28" t="s">
        <v>1788</v>
      </c>
      <c r="C50" s="313">
        <v>0</v>
      </c>
      <c r="D50" s="331" t="s">
        <v>840</v>
      </c>
      <c r="E50" s="330">
        <v>0</v>
      </c>
    </row>
    <row r="51" spans="1:5" ht="27.75" customHeight="1" x14ac:dyDescent="0.2">
      <c r="A51" s="324" t="s">
        <v>657</v>
      </c>
      <c r="B51" s="28" t="s">
        <v>1789</v>
      </c>
      <c r="C51" s="313">
        <v>0</v>
      </c>
      <c r="D51" s="331" t="s">
        <v>840</v>
      </c>
      <c r="E51" s="330">
        <v>0</v>
      </c>
    </row>
    <row r="52" spans="1:5" ht="27.75" customHeight="1" x14ac:dyDescent="0.2">
      <c r="A52" s="324" t="s">
        <v>658</v>
      </c>
      <c r="B52" s="28" t="s">
        <v>1790</v>
      </c>
      <c r="C52" s="313">
        <v>0</v>
      </c>
      <c r="D52" s="331" t="s">
        <v>840</v>
      </c>
      <c r="E52" s="330">
        <v>0</v>
      </c>
    </row>
    <row r="53" spans="1:5" ht="27.75" customHeight="1" x14ac:dyDescent="0.2">
      <c r="A53" s="324" t="s">
        <v>659</v>
      </c>
      <c r="B53" s="28" t="s">
        <v>840</v>
      </c>
      <c r="C53" s="313">
        <v>0</v>
      </c>
      <c r="D53" s="331" t="s">
        <v>840</v>
      </c>
      <c r="E53" s="330">
        <v>0</v>
      </c>
    </row>
    <row r="54" spans="1:5" ht="27.75" customHeight="1" x14ac:dyDescent="0.2">
      <c r="A54" s="324" t="s">
        <v>660</v>
      </c>
      <c r="B54" s="28" t="s">
        <v>1791</v>
      </c>
      <c r="C54" s="313">
        <v>0</v>
      </c>
      <c r="D54" s="331" t="s">
        <v>840</v>
      </c>
      <c r="E54" s="330">
        <v>0</v>
      </c>
    </row>
    <row r="55" spans="1:5" ht="27.75" customHeight="1" x14ac:dyDescent="0.2">
      <c r="A55" s="324" t="s">
        <v>661</v>
      </c>
      <c r="B55" s="28" t="s">
        <v>1792</v>
      </c>
      <c r="C55" s="313">
        <v>0</v>
      </c>
      <c r="D55" s="331" t="s">
        <v>840</v>
      </c>
      <c r="E55" s="330">
        <v>0</v>
      </c>
    </row>
    <row r="56" spans="1:5" ht="27.75" customHeight="1" x14ac:dyDescent="0.2">
      <c r="A56" s="324" t="s">
        <v>662</v>
      </c>
      <c r="B56" s="28" t="s">
        <v>1793</v>
      </c>
      <c r="C56" s="313">
        <v>0</v>
      </c>
      <c r="D56" s="331" t="s">
        <v>840</v>
      </c>
      <c r="E56" s="330">
        <v>0</v>
      </c>
    </row>
    <row r="57" spans="1:5" ht="27.75" customHeight="1" x14ac:dyDescent="0.2">
      <c r="A57" s="324" t="s">
        <v>663</v>
      </c>
      <c r="B57" s="28" t="s">
        <v>1794</v>
      </c>
      <c r="C57" s="313">
        <v>0</v>
      </c>
      <c r="D57" s="331" t="s">
        <v>840</v>
      </c>
      <c r="E57" s="330">
        <v>0</v>
      </c>
    </row>
    <row r="58" spans="1:5" ht="27.75" customHeight="1" x14ac:dyDescent="0.2">
      <c r="A58" s="324" t="s">
        <v>781</v>
      </c>
      <c r="B58" s="28" t="s">
        <v>840</v>
      </c>
      <c r="C58" s="313" t="s">
        <v>845</v>
      </c>
      <c r="D58" s="330">
        <v>0</v>
      </c>
      <c r="E58" s="330">
        <v>0</v>
      </c>
    </row>
    <row r="59" spans="1:5" ht="27.75" customHeight="1" x14ac:dyDescent="0.2">
      <c r="A59" s="324" t="s">
        <v>788</v>
      </c>
      <c r="B59" s="28" t="s">
        <v>1795</v>
      </c>
      <c r="C59" s="313" t="s">
        <v>846</v>
      </c>
      <c r="D59" s="331" t="s">
        <v>840</v>
      </c>
      <c r="E59" s="330">
        <v>0</v>
      </c>
    </row>
    <row r="60" spans="1:5" ht="27.75" customHeight="1" x14ac:dyDescent="0.2">
      <c r="A60" s="324" t="s">
        <v>795</v>
      </c>
      <c r="B60" s="28" t="s">
        <v>1796</v>
      </c>
      <c r="C60" s="313" t="s">
        <v>846</v>
      </c>
      <c r="D60" s="331" t="s">
        <v>840</v>
      </c>
      <c r="E60" s="330">
        <v>0</v>
      </c>
    </row>
    <row r="61" spans="1:5" ht="27.75" customHeight="1" x14ac:dyDescent="0.2">
      <c r="A61" s="324" t="s">
        <v>802</v>
      </c>
      <c r="B61" s="28" t="s">
        <v>1797</v>
      </c>
      <c r="C61" s="313" t="s">
        <v>846</v>
      </c>
      <c r="D61" s="331" t="s">
        <v>840</v>
      </c>
      <c r="E61" s="330">
        <v>0</v>
      </c>
    </row>
    <row r="62" spans="1:5" ht="27.75" customHeight="1" x14ac:dyDescent="0.2">
      <c r="A62" s="324" t="s">
        <v>809</v>
      </c>
      <c r="B62" s="28" t="s">
        <v>1798</v>
      </c>
      <c r="C62" s="313" t="s">
        <v>846</v>
      </c>
      <c r="D62" s="331" t="s">
        <v>840</v>
      </c>
      <c r="E62" s="330">
        <v>0</v>
      </c>
    </row>
    <row r="63" spans="1:5" ht="27.75" customHeight="1" x14ac:dyDescent="0.2">
      <c r="A63" s="324" t="s">
        <v>816</v>
      </c>
      <c r="B63" s="28" t="s">
        <v>1799</v>
      </c>
      <c r="C63" s="313" t="s">
        <v>846</v>
      </c>
      <c r="D63" s="331" t="s">
        <v>840</v>
      </c>
      <c r="E63" s="330">
        <v>0</v>
      </c>
    </row>
    <row r="64" spans="1:5" ht="27.75" customHeight="1" x14ac:dyDescent="0.2">
      <c r="A64" s="324" t="s">
        <v>665</v>
      </c>
      <c r="B64" s="28" t="s">
        <v>840</v>
      </c>
      <c r="C64" s="313">
        <v>0</v>
      </c>
      <c r="D64" s="331" t="s">
        <v>840</v>
      </c>
      <c r="E64" s="330">
        <v>0</v>
      </c>
    </row>
    <row r="65" spans="1:5" ht="27.75" customHeight="1" x14ac:dyDescent="0.2">
      <c r="A65" s="324" t="s">
        <v>666</v>
      </c>
      <c r="B65" s="28" t="s">
        <v>1800</v>
      </c>
      <c r="C65" s="313">
        <v>0</v>
      </c>
      <c r="D65" s="331" t="s">
        <v>840</v>
      </c>
      <c r="E65" s="330">
        <v>0</v>
      </c>
    </row>
    <row r="66" spans="1:5" ht="27.75" customHeight="1" x14ac:dyDescent="0.2">
      <c r="A66" s="324" t="s">
        <v>667</v>
      </c>
      <c r="B66" s="28" t="s">
        <v>1801</v>
      </c>
      <c r="C66" s="313">
        <v>0</v>
      </c>
      <c r="D66" s="331" t="s">
        <v>840</v>
      </c>
      <c r="E66" s="330">
        <v>0</v>
      </c>
    </row>
    <row r="67" spans="1:5" ht="27.75" customHeight="1" x14ac:dyDescent="0.2">
      <c r="A67" s="324" t="s">
        <v>668</v>
      </c>
      <c r="B67" s="28" t="s">
        <v>1802</v>
      </c>
      <c r="C67" s="313">
        <v>0</v>
      </c>
      <c r="D67" s="331" t="s">
        <v>840</v>
      </c>
      <c r="E67" s="330">
        <v>0</v>
      </c>
    </row>
    <row r="68" spans="1:5" ht="27.75" customHeight="1" x14ac:dyDescent="0.2">
      <c r="A68" s="324" t="s">
        <v>669</v>
      </c>
      <c r="B68" s="28" t="s">
        <v>1803</v>
      </c>
      <c r="C68" s="313">
        <v>0</v>
      </c>
      <c r="D68" s="331" t="s">
        <v>840</v>
      </c>
      <c r="E68" s="330">
        <v>0</v>
      </c>
    </row>
    <row r="69" spans="1:5" ht="27.75" customHeight="1" x14ac:dyDescent="0.2">
      <c r="A69" s="324" t="s">
        <v>670</v>
      </c>
      <c r="B69" s="28" t="s">
        <v>840</v>
      </c>
      <c r="C69" s="313">
        <v>0</v>
      </c>
      <c r="D69" s="331" t="s">
        <v>840</v>
      </c>
      <c r="E69" s="330">
        <v>0</v>
      </c>
    </row>
    <row r="70" spans="1:5" ht="27.75" customHeight="1" x14ac:dyDescent="0.2">
      <c r="A70" s="324" t="s">
        <v>671</v>
      </c>
      <c r="B70" s="28" t="s">
        <v>1804</v>
      </c>
      <c r="C70" s="313">
        <v>0</v>
      </c>
      <c r="D70" s="331" t="s">
        <v>840</v>
      </c>
      <c r="E70" s="330">
        <v>0</v>
      </c>
    </row>
    <row r="71" spans="1:5" ht="27.75" customHeight="1" x14ac:dyDescent="0.2">
      <c r="A71" s="324" t="s">
        <v>672</v>
      </c>
      <c r="B71" s="28" t="s">
        <v>1805</v>
      </c>
      <c r="C71" s="313">
        <v>0</v>
      </c>
      <c r="D71" s="331" t="s">
        <v>840</v>
      </c>
      <c r="E71" s="330">
        <v>0</v>
      </c>
    </row>
    <row r="72" spans="1:5" ht="27.75" customHeight="1" x14ac:dyDescent="0.2">
      <c r="A72" s="324" t="s">
        <v>673</v>
      </c>
      <c r="B72" s="28" t="s">
        <v>1806</v>
      </c>
      <c r="C72" s="313">
        <v>0</v>
      </c>
      <c r="D72" s="331" t="s">
        <v>840</v>
      </c>
      <c r="E72" s="330">
        <v>0</v>
      </c>
    </row>
    <row r="73" spans="1:5" ht="27.75" customHeight="1" x14ac:dyDescent="0.2">
      <c r="A73" s="324" t="s">
        <v>674</v>
      </c>
      <c r="B73" s="28" t="s">
        <v>1807</v>
      </c>
      <c r="C73" s="313">
        <v>0</v>
      </c>
      <c r="D73" s="331" t="s">
        <v>840</v>
      </c>
      <c r="E73" s="330">
        <v>0</v>
      </c>
    </row>
    <row r="74" spans="1:5" ht="27.75" customHeight="1" x14ac:dyDescent="0.2">
      <c r="A74" s="324" t="s">
        <v>675</v>
      </c>
      <c r="B74" s="28" t="s">
        <v>840</v>
      </c>
      <c r="C74" s="313">
        <v>0</v>
      </c>
      <c r="D74" s="331" t="s">
        <v>840</v>
      </c>
      <c r="E74" s="330">
        <v>0</v>
      </c>
    </row>
    <row r="75" spans="1:5" ht="27.75" customHeight="1" x14ac:dyDescent="0.2">
      <c r="A75" s="324" t="s">
        <v>676</v>
      </c>
      <c r="B75" s="28" t="s">
        <v>1808</v>
      </c>
      <c r="C75" s="313">
        <v>0</v>
      </c>
      <c r="D75" s="331" t="s">
        <v>840</v>
      </c>
      <c r="E75" s="330">
        <v>0</v>
      </c>
    </row>
    <row r="76" spans="1:5" ht="27.75" customHeight="1" x14ac:dyDescent="0.2">
      <c r="A76" s="324" t="s">
        <v>677</v>
      </c>
      <c r="B76" s="28" t="s">
        <v>1809</v>
      </c>
      <c r="C76" s="313">
        <v>0</v>
      </c>
      <c r="D76" s="331" t="s">
        <v>840</v>
      </c>
      <c r="E76" s="330">
        <v>0</v>
      </c>
    </row>
    <row r="77" spans="1:5" ht="27.75" customHeight="1" x14ac:dyDescent="0.2">
      <c r="A77" s="324" t="s">
        <v>678</v>
      </c>
      <c r="B77" s="28" t="s">
        <v>1810</v>
      </c>
      <c r="C77" s="313">
        <v>0</v>
      </c>
      <c r="D77" s="331" t="s">
        <v>840</v>
      </c>
      <c r="E77" s="330">
        <v>0</v>
      </c>
    </row>
    <row r="78" spans="1:5" ht="27.75" customHeight="1" x14ac:dyDescent="0.2">
      <c r="A78" s="324" t="s">
        <v>679</v>
      </c>
      <c r="B78" s="28" t="s">
        <v>1811</v>
      </c>
      <c r="C78" s="313">
        <v>0</v>
      </c>
      <c r="D78" s="331" t="s">
        <v>840</v>
      </c>
      <c r="E78" s="330">
        <v>0</v>
      </c>
    </row>
    <row r="79" spans="1:5" ht="27.75" customHeight="1" x14ac:dyDescent="0.2">
      <c r="A79" s="324" t="s">
        <v>782</v>
      </c>
      <c r="B79" s="28" t="s">
        <v>840</v>
      </c>
      <c r="C79" s="313" t="s">
        <v>845</v>
      </c>
      <c r="D79" s="330">
        <v>0</v>
      </c>
      <c r="E79" s="330">
        <v>0</v>
      </c>
    </row>
    <row r="80" spans="1:5" ht="27.75" customHeight="1" x14ac:dyDescent="0.2">
      <c r="A80" s="324" t="s">
        <v>789</v>
      </c>
      <c r="B80" s="28" t="s">
        <v>1812</v>
      </c>
      <c r="C80" s="313" t="s">
        <v>846</v>
      </c>
      <c r="D80" s="331" t="s">
        <v>840</v>
      </c>
      <c r="E80" s="330">
        <v>0</v>
      </c>
    </row>
    <row r="81" spans="1:5" ht="27.75" customHeight="1" x14ac:dyDescent="0.2">
      <c r="A81" s="324" t="s">
        <v>796</v>
      </c>
      <c r="B81" s="28" t="s">
        <v>1813</v>
      </c>
      <c r="C81" s="313" t="s">
        <v>846</v>
      </c>
      <c r="D81" s="331" t="s">
        <v>840</v>
      </c>
      <c r="E81" s="330">
        <v>0</v>
      </c>
    </row>
    <row r="82" spans="1:5" ht="27.75" customHeight="1" x14ac:dyDescent="0.2">
      <c r="A82" s="324" t="s">
        <v>803</v>
      </c>
      <c r="B82" s="28" t="s">
        <v>1814</v>
      </c>
      <c r="C82" s="313" t="s">
        <v>846</v>
      </c>
      <c r="D82" s="331" t="s">
        <v>840</v>
      </c>
      <c r="E82" s="330">
        <v>0</v>
      </c>
    </row>
    <row r="83" spans="1:5" ht="27.75" customHeight="1" x14ac:dyDescent="0.2">
      <c r="A83" s="324" t="s">
        <v>810</v>
      </c>
      <c r="B83" s="28" t="s">
        <v>1815</v>
      </c>
      <c r="C83" s="313" t="s">
        <v>846</v>
      </c>
      <c r="D83" s="331" t="s">
        <v>840</v>
      </c>
      <c r="E83" s="330">
        <v>0</v>
      </c>
    </row>
    <row r="84" spans="1:5" ht="27.75" customHeight="1" x14ac:dyDescent="0.2">
      <c r="A84" s="324" t="s">
        <v>817</v>
      </c>
      <c r="B84" s="28" t="s">
        <v>1816</v>
      </c>
      <c r="C84" s="313" t="s">
        <v>846</v>
      </c>
      <c r="D84" s="331" t="s">
        <v>840</v>
      </c>
      <c r="E84" s="330">
        <v>0</v>
      </c>
    </row>
    <row r="85" spans="1:5" ht="27.75" customHeight="1" x14ac:dyDescent="0.2">
      <c r="A85" s="324" t="s">
        <v>681</v>
      </c>
      <c r="B85" s="28" t="s">
        <v>840</v>
      </c>
      <c r="C85" s="313">
        <v>0</v>
      </c>
      <c r="D85" s="331" t="s">
        <v>840</v>
      </c>
      <c r="E85" s="330">
        <v>0</v>
      </c>
    </row>
    <row r="86" spans="1:5" ht="27.75" customHeight="1" x14ac:dyDescent="0.2">
      <c r="A86" s="324" t="s">
        <v>682</v>
      </c>
      <c r="B86" s="28" t="s">
        <v>1817</v>
      </c>
      <c r="C86" s="313">
        <v>0</v>
      </c>
      <c r="D86" s="331" t="s">
        <v>840</v>
      </c>
      <c r="E86" s="330">
        <v>0</v>
      </c>
    </row>
    <row r="87" spans="1:5" ht="27.75" customHeight="1" x14ac:dyDescent="0.2">
      <c r="A87" s="324" t="s">
        <v>683</v>
      </c>
      <c r="B87" s="28" t="s">
        <v>1818</v>
      </c>
      <c r="C87" s="313">
        <v>0</v>
      </c>
      <c r="D87" s="331" t="s">
        <v>840</v>
      </c>
      <c r="E87" s="330">
        <v>0</v>
      </c>
    </row>
    <row r="88" spans="1:5" ht="27.75" customHeight="1" x14ac:dyDescent="0.2">
      <c r="A88" s="324" t="s">
        <v>684</v>
      </c>
      <c r="B88" s="28" t="s">
        <v>1819</v>
      </c>
      <c r="C88" s="313">
        <v>0</v>
      </c>
      <c r="D88" s="331" t="s">
        <v>840</v>
      </c>
      <c r="E88" s="330">
        <v>0</v>
      </c>
    </row>
    <row r="89" spans="1:5" ht="27.75" customHeight="1" x14ac:dyDescent="0.2">
      <c r="A89" s="324" t="s">
        <v>685</v>
      </c>
      <c r="B89" s="28" t="s">
        <v>1820</v>
      </c>
      <c r="C89" s="313">
        <v>0</v>
      </c>
      <c r="D89" s="331" t="s">
        <v>840</v>
      </c>
      <c r="E89" s="330">
        <v>0</v>
      </c>
    </row>
    <row r="90" spans="1:5" ht="27.75" customHeight="1" x14ac:dyDescent="0.2">
      <c r="A90" s="324" t="s">
        <v>686</v>
      </c>
      <c r="B90" s="28" t="s">
        <v>840</v>
      </c>
      <c r="C90" s="313">
        <v>0</v>
      </c>
      <c r="D90" s="331" t="s">
        <v>840</v>
      </c>
      <c r="E90" s="330">
        <v>0</v>
      </c>
    </row>
    <row r="91" spans="1:5" ht="27.75" customHeight="1" x14ac:dyDescent="0.2">
      <c r="A91" s="324" t="s">
        <v>687</v>
      </c>
      <c r="B91" s="28" t="s">
        <v>1821</v>
      </c>
      <c r="C91" s="313">
        <v>0</v>
      </c>
      <c r="D91" s="331" t="s">
        <v>840</v>
      </c>
      <c r="E91" s="330">
        <v>0</v>
      </c>
    </row>
    <row r="92" spans="1:5" ht="27.75" customHeight="1" x14ac:dyDescent="0.2">
      <c r="A92" s="324" t="s">
        <v>688</v>
      </c>
      <c r="B92" s="28" t="s">
        <v>1822</v>
      </c>
      <c r="C92" s="313">
        <v>0</v>
      </c>
      <c r="D92" s="331" t="s">
        <v>840</v>
      </c>
      <c r="E92" s="330">
        <v>0</v>
      </c>
    </row>
    <row r="93" spans="1:5" ht="27.75" customHeight="1" x14ac:dyDescent="0.2">
      <c r="A93" s="324" t="s">
        <v>689</v>
      </c>
      <c r="B93" s="28" t="s">
        <v>1823</v>
      </c>
      <c r="C93" s="313">
        <v>0</v>
      </c>
      <c r="D93" s="331" t="s">
        <v>840</v>
      </c>
      <c r="E93" s="330">
        <v>0</v>
      </c>
    </row>
    <row r="94" spans="1:5" ht="27.75" customHeight="1" x14ac:dyDescent="0.2">
      <c r="A94" s="324" t="s">
        <v>690</v>
      </c>
      <c r="B94" s="28" t="s">
        <v>1824</v>
      </c>
      <c r="C94" s="313">
        <v>0</v>
      </c>
      <c r="D94" s="331" t="s">
        <v>840</v>
      </c>
      <c r="E94" s="330">
        <v>0</v>
      </c>
    </row>
    <row r="95" spans="1:5" ht="27.75" customHeight="1" x14ac:dyDescent="0.2">
      <c r="A95" s="324" t="s">
        <v>691</v>
      </c>
      <c r="B95" s="28" t="s">
        <v>840</v>
      </c>
      <c r="C95" s="313">
        <v>0</v>
      </c>
      <c r="D95" s="331" t="s">
        <v>840</v>
      </c>
      <c r="E95" s="330">
        <v>0</v>
      </c>
    </row>
    <row r="96" spans="1:5" ht="27.75" customHeight="1" x14ac:dyDescent="0.2">
      <c r="A96" s="324" t="s">
        <v>692</v>
      </c>
      <c r="B96" s="28" t="s">
        <v>1825</v>
      </c>
      <c r="C96" s="313">
        <v>0</v>
      </c>
      <c r="D96" s="331" t="s">
        <v>840</v>
      </c>
      <c r="E96" s="330">
        <v>0</v>
      </c>
    </row>
    <row r="97" spans="1:5" ht="27.75" customHeight="1" x14ac:dyDescent="0.2">
      <c r="A97" s="324" t="s">
        <v>693</v>
      </c>
      <c r="B97" s="28" t="s">
        <v>1826</v>
      </c>
      <c r="C97" s="313">
        <v>0</v>
      </c>
      <c r="D97" s="331" t="s">
        <v>840</v>
      </c>
      <c r="E97" s="330">
        <v>0</v>
      </c>
    </row>
    <row r="98" spans="1:5" ht="27.75" customHeight="1" x14ac:dyDescent="0.2">
      <c r="A98" s="324" t="s">
        <v>694</v>
      </c>
      <c r="B98" s="28" t="s">
        <v>1827</v>
      </c>
      <c r="C98" s="313">
        <v>0</v>
      </c>
      <c r="D98" s="331" t="s">
        <v>840</v>
      </c>
      <c r="E98" s="330">
        <v>0</v>
      </c>
    </row>
    <row r="99" spans="1:5" ht="27.75" customHeight="1" x14ac:dyDescent="0.2">
      <c r="A99" s="324" t="s">
        <v>695</v>
      </c>
      <c r="B99" s="28"/>
      <c r="C99" s="313">
        <v>0</v>
      </c>
      <c r="D99" s="331" t="s">
        <v>840</v>
      </c>
      <c r="E99" s="330">
        <v>0</v>
      </c>
    </row>
    <row r="100" spans="1:5" ht="27.75" customHeight="1" x14ac:dyDescent="0.2">
      <c r="A100" s="324" t="s">
        <v>783</v>
      </c>
      <c r="B100" s="28"/>
      <c r="C100" s="313" t="s">
        <v>845</v>
      </c>
      <c r="D100" s="330">
        <v>0</v>
      </c>
      <c r="E100" s="330">
        <v>0</v>
      </c>
    </row>
    <row r="101" spans="1:5" ht="27.75" customHeight="1" x14ac:dyDescent="0.2">
      <c r="A101" s="324" t="s">
        <v>790</v>
      </c>
      <c r="B101" s="28"/>
      <c r="C101" s="313" t="s">
        <v>846</v>
      </c>
      <c r="D101" s="331" t="s">
        <v>840</v>
      </c>
      <c r="E101" s="330">
        <v>0</v>
      </c>
    </row>
    <row r="102" spans="1:5" ht="27.75" customHeight="1" x14ac:dyDescent="0.2">
      <c r="A102" s="324" t="s">
        <v>797</v>
      </c>
      <c r="B102" s="28"/>
      <c r="C102" s="313" t="s">
        <v>846</v>
      </c>
      <c r="D102" s="331" t="s">
        <v>840</v>
      </c>
      <c r="E102" s="330">
        <v>0</v>
      </c>
    </row>
    <row r="103" spans="1:5" ht="27.75" customHeight="1" x14ac:dyDescent="0.2">
      <c r="A103" s="324" t="s">
        <v>804</v>
      </c>
      <c r="B103" s="28"/>
      <c r="C103" s="313" t="s">
        <v>846</v>
      </c>
      <c r="D103" s="331" t="s">
        <v>840</v>
      </c>
      <c r="E103" s="330">
        <v>0</v>
      </c>
    </row>
    <row r="104" spans="1:5" ht="27.75" customHeight="1" x14ac:dyDescent="0.2">
      <c r="A104" s="324" t="s">
        <v>811</v>
      </c>
      <c r="B104" s="28"/>
      <c r="C104" s="313" t="s">
        <v>846</v>
      </c>
      <c r="D104" s="331" t="s">
        <v>840</v>
      </c>
      <c r="E104" s="330">
        <v>0</v>
      </c>
    </row>
    <row r="105" spans="1:5" ht="27.75" customHeight="1" x14ac:dyDescent="0.2">
      <c r="A105" s="324" t="s">
        <v>818</v>
      </c>
      <c r="B105" s="28"/>
      <c r="C105" s="313" t="s">
        <v>846</v>
      </c>
      <c r="D105" s="331" t="s">
        <v>840</v>
      </c>
      <c r="E105" s="330">
        <v>0</v>
      </c>
    </row>
    <row r="106" spans="1:5" ht="27.75" customHeight="1" x14ac:dyDescent="0.2">
      <c r="A106" s="324" t="s">
        <v>697</v>
      </c>
      <c r="B106" s="28"/>
      <c r="C106" s="313">
        <v>0</v>
      </c>
      <c r="D106" s="331" t="s">
        <v>840</v>
      </c>
      <c r="E106" s="330">
        <v>0</v>
      </c>
    </row>
    <row r="107" spans="1:5" ht="27.75" customHeight="1" x14ac:dyDescent="0.2">
      <c r="A107" s="324" t="s">
        <v>698</v>
      </c>
      <c r="B107" s="28"/>
      <c r="C107" s="313">
        <v>0</v>
      </c>
      <c r="D107" s="331" t="s">
        <v>840</v>
      </c>
      <c r="E107" s="330">
        <v>0</v>
      </c>
    </row>
    <row r="108" spans="1:5" ht="27.75" customHeight="1" x14ac:dyDescent="0.2">
      <c r="A108" s="324" t="s">
        <v>699</v>
      </c>
      <c r="B108" s="28"/>
      <c r="C108" s="313">
        <v>0</v>
      </c>
      <c r="D108" s="331" t="s">
        <v>840</v>
      </c>
      <c r="E108" s="330">
        <v>0</v>
      </c>
    </row>
    <row r="109" spans="1:5" ht="27.75" customHeight="1" x14ac:dyDescent="0.2">
      <c r="A109" s="324" t="s">
        <v>700</v>
      </c>
      <c r="B109" s="28"/>
      <c r="C109" s="313">
        <v>0</v>
      </c>
      <c r="D109" s="331" t="s">
        <v>840</v>
      </c>
      <c r="E109" s="330">
        <v>0</v>
      </c>
    </row>
    <row r="110" spans="1:5" ht="27.75" customHeight="1" x14ac:dyDescent="0.2">
      <c r="A110" s="324" t="s">
        <v>701</v>
      </c>
      <c r="B110" s="28"/>
      <c r="C110" s="313">
        <v>0</v>
      </c>
      <c r="D110" s="331" t="s">
        <v>840</v>
      </c>
      <c r="E110" s="330">
        <v>0</v>
      </c>
    </row>
    <row r="111" spans="1:5" ht="27.75" customHeight="1" x14ac:dyDescent="0.2">
      <c r="A111" s="324" t="s">
        <v>702</v>
      </c>
      <c r="B111" s="28"/>
      <c r="C111" s="313">
        <v>0</v>
      </c>
      <c r="D111" s="331" t="s">
        <v>840</v>
      </c>
      <c r="E111" s="330">
        <v>0</v>
      </c>
    </row>
    <row r="112" spans="1:5" ht="27.75" customHeight="1" x14ac:dyDescent="0.2">
      <c r="A112" s="324" t="s">
        <v>703</v>
      </c>
      <c r="B112" s="28"/>
      <c r="C112" s="313">
        <v>0</v>
      </c>
      <c r="D112" s="331" t="s">
        <v>840</v>
      </c>
      <c r="E112" s="330">
        <v>0</v>
      </c>
    </row>
    <row r="113" spans="1:5" ht="27.75" customHeight="1" x14ac:dyDescent="0.2">
      <c r="A113" s="324" t="s">
        <v>704</v>
      </c>
      <c r="B113" s="28"/>
      <c r="C113" s="313">
        <v>0</v>
      </c>
      <c r="D113" s="331" t="s">
        <v>840</v>
      </c>
      <c r="E113" s="330">
        <v>0</v>
      </c>
    </row>
    <row r="114" spans="1:5" ht="27.75" customHeight="1" x14ac:dyDescent="0.2">
      <c r="A114" s="324" t="s">
        <v>705</v>
      </c>
      <c r="B114" s="28"/>
      <c r="C114" s="313">
        <v>0</v>
      </c>
      <c r="D114" s="331" t="s">
        <v>840</v>
      </c>
      <c r="E114" s="330">
        <v>0</v>
      </c>
    </row>
    <row r="115" spans="1:5" ht="27.75" customHeight="1" x14ac:dyDescent="0.2">
      <c r="A115" s="324" t="s">
        <v>706</v>
      </c>
      <c r="B115" s="28"/>
      <c r="C115" s="313">
        <v>0</v>
      </c>
      <c r="D115" s="331" t="s">
        <v>840</v>
      </c>
      <c r="E115" s="330">
        <v>0</v>
      </c>
    </row>
    <row r="116" spans="1:5" ht="27.75" customHeight="1" x14ac:dyDescent="0.2">
      <c r="A116" s="324" t="s">
        <v>707</v>
      </c>
      <c r="B116" s="28"/>
      <c r="C116" s="313">
        <v>0</v>
      </c>
      <c r="D116" s="331" t="s">
        <v>840</v>
      </c>
      <c r="E116" s="330">
        <v>0</v>
      </c>
    </row>
    <row r="117" spans="1:5" ht="27.75" customHeight="1" x14ac:dyDescent="0.2">
      <c r="A117" s="324" t="s">
        <v>708</v>
      </c>
      <c r="B117" s="28"/>
      <c r="C117" s="313">
        <v>0</v>
      </c>
      <c r="D117" s="331" t="s">
        <v>840</v>
      </c>
      <c r="E117" s="330">
        <v>0</v>
      </c>
    </row>
    <row r="118" spans="1:5" ht="27.75" customHeight="1" x14ac:dyDescent="0.2">
      <c r="A118" s="324" t="s">
        <v>709</v>
      </c>
      <c r="B118" s="28"/>
      <c r="C118" s="313">
        <v>0</v>
      </c>
      <c r="D118" s="331" t="s">
        <v>840</v>
      </c>
      <c r="E118" s="330">
        <v>0</v>
      </c>
    </row>
    <row r="119" spans="1:5" ht="27.75" customHeight="1" x14ac:dyDescent="0.2">
      <c r="A119" s="324" t="s">
        <v>710</v>
      </c>
      <c r="B119" s="28"/>
      <c r="C119" s="313">
        <v>0</v>
      </c>
      <c r="D119" s="331" t="s">
        <v>840</v>
      </c>
      <c r="E119" s="330">
        <v>0</v>
      </c>
    </row>
    <row r="120" spans="1:5" ht="27.75" customHeight="1" x14ac:dyDescent="0.2">
      <c r="A120" s="324" t="s">
        <v>711</v>
      </c>
      <c r="B120" s="28"/>
      <c r="C120" s="313">
        <v>0</v>
      </c>
      <c r="D120" s="331" t="s">
        <v>840</v>
      </c>
      <c r="E120" s="330">
        <v>0</v>
      </c>
    </row>
    <row r="121" spans="1:5" ht="27.75" customHeight="1" x14ac:dyDescent="0.2">
      <c r="A121" s="324" t="s">
        <v>784</v>
      </c>
      <c r="B121" s="28"/>
      <c r="C121" s="313" t="s">
        <v>845</v>
      </c>
      <c r="D121" s="330">
        <v>0</v>
      </c>
      <c r="E121" s="330">
        <v>0</v>
      </c>
    </row>
    <row r="122" spans="1:5" ht="27.75" customHeight="1" x14ac:dyDescent="0.2">
      <c r="A122" s="324" t="s">
        <v>791</v>
      </c>
      <c r="B122" s="28"/>
      <c r="C122" s="313" t="s">
        <v>846</v>
      </c>
      <c r="D122" s="331" t="s">
        <v>840</v>
      </c>
      <c r="E122" s="330">
        <v>0</v>
      </c>
    </row>
    <row r="123" spans="1:5" ht="27.75" customHeight="1" x14ac:dyDescent="0.2">
      <c r="A123" s="324" t="s">
        <v>798</v>
      </c>
      <c r="B123" s="28"/>
      <c r="C123" s="313" t="s">
        <v>846</v>
      </c>
      <c r="D123" s="331" t="s">
        <v>840</v>
      </c>
      <c r="E123" s="330">
        <v>0</v>
      </c>
    </row>
    <row r="124" spans="1:5" ht="27.75" customHeight="1" x14ac:dyDescent="0.2">
      <c r="A124" s="324" t="s">
        <v>805</v>
      </c>
      <c r="B124" s="28"/>
      <c r="C124" s="313" t="s">
        <v>846</v>
      </c>
      <c r="D124" s="331" t="s">
        <v>840</v>
      </c>
      <c r="E124" s="330">
        <v>0</v>
      </c>
    </row>
    <row r="125" spans="1:5" ht="27.75" customHeight="1" x14ac:dyDescent="0.2">
      <c r="A125" s="324" t="s">
        <v>812</v>
      </c>
      <c r="B125" s="28"/>
      <c r="C125" s="313" t="s">
        <v>846</v>
      </c>
      <c r="D125" s="331" t="s">
        <v>840</v>
      </c>
      <c r="E125" s="330">
        <v>0</v>
      </c>
    </row>
    <row r="126" spans="1:5" ht="27.75" customHeight="1" x14ac:dyDescent="0.2">
      <c r="A126" s="324" t="s">
        <v>819</v>
      </c>
      <c r="B126" s="28"/>
      <c r="C126" s="313" t="s">
        <v>846</v>
      </c>
      <c r="D126" s="331" t="s">
        <v>840</v>
      </c>
      <c r="E126" s="330">
        <v>0</v>
      </c>
    </row>
    <row r="127" spans="1:5" ht="27.75" customHeight="1" x14ac:dyDescent="0.2">
      <c r="A127" s="324" t="s">
        <v>713</v>
      </c>
      <c r="B127" s="28"/>
      <c r="C127" s="313">
        <v>0</v>
      </c>
      <c r="D127" s="331" t="s">
        <v>840</v>
      </c>
      <c r="E127" s="330">
        <v>0</v>
      </c>
    </row>
    <row r="128" spans="1:5" ht="27.75" customHeight="1" x14ac:dyDescent="0.2">
      <c r="A128" s="324" t="s">
        <v>714</v>
      </c>
      <c r="B128" s="28"/>
      <c r="C128" s="313">
        <v>0</v>
      </c>
      <c r="D128" s="331" t="s">
        <v>840</v>
      </c>
      <c r="E128" s="330">
        <v>0</v>
      </c>
    </row>
    <row r="129" spans="1:5" ht="27.75" customHeight="1" x14ac:dyDescent="0.2">
      <c r="A129" s="324" t="s">
        <v>715</v>
      </c>
      <c r="B129" s="28"/>
      <c r="C129" s="313">
        <v>0</v>
      </c>
      <c r="D129" s="331" t="s">
        <v>840</v>
      </c>
      <c r="E129" s="330">
        <v>0</v>
      </c>
    </row>
    <row r="130" spans="1:5" ht="27.75" customHeight="1" x14ac:dyDescent="0.2">
      <c r="A130" s="324" t="s">
        <v>716</v>
      </c>
      <c r="B130" s="28"/>
      <c r="C130" s="313">
        <v>0</v>
      </c>
      <c r="D130" s="331" t="s">
        <v>840</v>
      </c>
      <c r="E130" s="330">
        <v>0</v>
      </c>
    </row>
    <row r="131" spans="1:5" ht="27.75" customHeight="1" x14ac:dyDescent="0.2">
      <c r="A131" s="324" t="s">
        <v>717</v>
      </c>
      <c r="B131" s="28"/>
      <c r="C131" s="313">
        <v>0</v>
      </c>
      <c r="D131" s="331" t="s">
        <v>840</v>
      </c>
      <c r="E131" s="330">
        <v>0</v>
      </c>
    </row>
    <row r="132" spans="1:5" ht="27.75" customHeight="1" x14ac:dyDescent="0.2">
      <c r="A132" s="324" t="s">
        <v>718</v>
      </c>
      <c r="B132" s="28"/>
      <c r="C132" s="313">
        <v>0</v>
      </c>
      <c r="D132" s="331" t="s">
        <v>840</v>
      </c>
      <c r="E132" s="330">
        <v>0</v>
      </c>
    </row>
    <row r="133" spans="1:5" ht="27.75" customHeight="1" x14ac:dyDescent="0.2">
      <c r="A133" s="324" t="s">
        <v>719</v>
      </c>
      <c r="B133" s="28"/>
      <c r="C133" s="313">
        <v>0</v>
      </c>
      <c r="D133" s="331" t="s">
        <v>840</v>
      </c>
      <c r="E133" s="330">
        <v>0</v>
      </c>
    </row>
    <row r="134" spans="1:5" ht="27.75" customHeight="1" x14ac:dyDescent="0.2">
      <c r="A134" s="324" t="s">
        <v>720</v>
      </c>
      <c r="B134" s="28"/>
      <c r="C134" s="313">
        <v>0</v>
      </c>
      <c r="D134" s="331" t="s">
        <v>840</v>
      </c>
      <c r="E134" s="330">
        <v>0</v>
      </c>
    </row>
    <row r="135" spans="1:5" ht="27.75" customHeight="1" x14ac:dyDescent="0.2">
      <c r="A135" s="324" t="s">
        <v>721</v>
      </c>
      <c r="B135" s="28"/>
      <c r="C135" s="313">
        <v>0</v>
      </c>
      <c r="D135" s="331" t="s">
        <v>840</v>
      </c>
      <c r="E135" s="330">
        <v>0</v>
      </c>
    </row>
    <row r="136" spans="1:5" ht="27.75" customHeight="1" x14ac:dyDescent="0.2">
      <c r="A136" s="324" t="s">
        <v>722</v>
      </c>
      <c r="B136" s="28"/>
      <c r="C136" s="313">
        <v>0</v>
      </c>
      <c r="D136" s="331" t="s">
        <v>840</v>
      </c>
      <c r="E136" s="330">
        <v>0</v>
      </c>
    </row>
    <row r="137" spans="1:5" ht="27.75" customHeight="1" x14ac:dyDescent="0.2">
      <c r="A137" s="324" t="s">
        <v>723</v>
      </c>
      <c r="B137" s="28"/>
      <c r="C137" s="313">
        <v>0</v>
      </c>
      <c r="D137" s="331" t="s">
        <v>840</v>
      </c>
      <c r="E137" s="330">
        <v>0</v>
      </c>
    </row>
    <row r="138" spans="1:5" ht="27.75" customHeight="1" x14ac:dyDescent="0.2">
      <c r="A138" s="324" t="s">
        <v>724</v>
      </c>
      <c r="B138" s="28"/>
      <c r="C138" s="313">
        <v>0</v>
      </c>
      <c r="D138" s="331" t="s">
        <v>840</v>
      </c>
      <c r="E138" s="330">
        <v>0</v>
      </c>
    </row>
    <row r="139" spans="1:5" ht="27.75" customHeight="1" x14ac:dyDescent="0.2">
      <c r="A139" s="324" t="s">
        <v>725</v>
      </c>
      <c r="B139" s="28"/>
      <c r="C139" s="313">
        <v>0</v>
      </c>
      <c r="D139" s="331" t="s">
        <v>840</v>
      </c>
      <c r="E139" s="330">
        <v>0</v>
      </c>
    </row>
    <row r="140" spans="1:5" ht="27.75" customHeight="1" x14ac:dyDescent="0.2">
      <c r="A140" s="324" t="s">
        <v>726</v>
      </c>
      <c r="B140" s="28"/>
      <c r="C140" s="313">
        <v>0</v>
      </c>
      <c r="D140" s="331" t="s">
        <v>840</v>
      </c>
      <c r="E140" s="330">
        <v>0</v>
      </c>
    </row>
    <row r="141" spans="1:5" ht="27.75" customHeight="1" x14ac:dyDescent="0.2">
      <c r="A141" s="324" t="s">
        <v>727</v>
      </c>
      <c r="B141" s="28"/>
      <c r="C141" s="313">
        <v>0</v>
      </c>
      <c r="D141" s="331" t="s">
        <v>840</v>
      </c>
      <c r="E141" s="330">
        <v>0</v>
      </c>
    </row>
    <row r="142" spans="1:5" ht="27.75" customHeight="1" x14ac:dyDescent="0.2">
      <c r="A142" s="324" t="s">
        <v>785</v>
      </c>
      <c r="B142" s="28"/>
      <c r="C142" s="313" t="s">
        <v>845</v>
      </c>
      <c r="D142" s="330">
        <v>0</v>
      </c>
      <c r="E142" s="330">
        <v>0</v>
      </c>
    </row>
    <row r="143" spans="1:5" ht="27.75" customHeight="1" x14ac:dyDescent="0.2">
      <c r="A143" s="324" t="s">
        <v>792</v>
      </c>
      <c r="B143" s="28"/>
      <c r="C143" s="313" t="s">
        <v>846</v>
      </c>
      <c r="D143" s="331" t="s">
        <v>840</v>
      </c>
      <c r="E143" s="330">
        <v>0</v>
      </c>
    </row>
    <row r="144" spans="1:5" ht="27.75" customHeight="1" x14ac:dyDescent="0.2">
      <c r="A144" s="324" t="s">
        <v>799</v>
      </c>
      <c r="B144" s="28"/>
      <c r="C144" s="313" t="s">
        <v>846</v>
      </c>
      <c r="D144" s="331" t="s">
        <v>840</v>
      </c>
      <c r="E144" s="330">
        <v>0</v>
      </c>
    </row>
    <row r="145" spans="1:5" ht="27.75" customHeight="1" x14ac:dyDescent="0.2">
      <c r="A145" s="324" t="s">
        <v>806</v>
      </c>
      <c r="B145" s="28"/>
      <c r="C145" s="313" t="s">
        <v>846</v>
      </c>
      <c r="D145" s="331" t="s">
        <v>840</v>
      </c>
      <c r="E145" s="330">
        <v>0</v>
      </c>
    </row>
    <row r="146" spans="1:5" ht="27.75" customHeight="1" x14ac:dyDescent="0.2">
      <c r="A146" s="324" t="s">
        <v>813</v>
      </c>
      <c r="B146" s="28"/>
      <c r="C146" s="313" t="s">
        <v>846</v>
      </c>
      <c r="D146" s="331" t="s">
        <v>840</v>
      </c>
      <c r="E146" s="330">
        <v>0</v>
      </c>
    </row>
    <row r="147" spans="1:5" ht="27.75" customHeight="1" x14ac:dyDescent="0.2">
      <c r="A147" s="324" t="s">
        <v>820</v>
      </c>
      <c r="B147" s="28"/>
      <c r="C147" s="313" t="s">
        <v>846</v>
      </c>
      <c r="D147" s="331" t="s">
        <v>840</v>
      </c>
      <c r="E147" s="330">
        <v>0</v>
      </c>
    </row>
    <row r="148" spans="1:5" ht="27.75" customHeight="1" x14ac:dyDescent="0.2">
      <c r="A148" s="324" t="s">
        <v>729</v>
      </c>
      <c r="B148" s="28"/>
      <c r="C148" s="313">
        <v>0</v>
      </c>
      <c r="D148" s="331" t="s">
        <v>840</v>
      </c>
      <c r="E148" s="330">
        <v>0</v>
      </c>
    </row>
    <row r="149" spans="1:5" ht="27.75" customHeight="1" x14ac:dyDescent="0.2">
      <c r="A149" s="324" t="s">
        <v>730</v>
      </c>
      <c r="B149" s="28"/>
      <c r="C149" s="313">
        <v>0</v>
      </c>
      <c r="D149" s="331" t="s">
        <v>840</v>
      </c>
      <c r="E149" s="330">
        <v>0</v>
      </c>
    </row>
    <row r="150" spans="1:5" ht="27.75" customHeight="1" x14ac:dyDescent="0.2">
      <c r="A150" s="324" t="s">
        <v>731</v>
      </c>
      <c r="B150" s="28"/>
      <c r="C150" s="313">
        <v>0</v>
      </c>
      <c r="D150" s="331" t="s">
        <v>840</v>
      </c>
      <c r="E150" s="330">
        <v>0</v>
      </c>
    </row>
    <row r="151" spans="1:5" ht="27.75" customHeight="1" x14ac:dyDescent="0.2">
      <c r="A151" s="324" t="s">
        <v>732</v>
      </c>
      <c r="B151" s="28"/>
      <c r="C151" s="313">
        <v>0</v>
      </c>
      <c r="D151" s="331" t="s">
        <v>840</v>
      </c>
      <c r="E151" s="330">
        <v>0</v>
      </c>
    </row>
    <row r="152" spans="1:5" ht="27.75" customHeight="1" x14ac:dyDescent="0.2">
      <c r="A152" s="324" t="s">
        <v>733</v>
      </c>
      <c r="B152" s="28"/>
      <c r="C152" s="313">
        <v>0</v>
      </c>
      <c r="D152" s="331" t="s">
        <v>840</v>
      </c>
      <c r="E152" s="330">
        <v>0</v>
      </c>
    </row>
    <row r="153" spans="1:5" ht="27.75" customHeight="1" x14ac:dyDescent="0.2">
      <c r="A153" s="324" t="s">
        <v>734</v>
      </c>
      <c r="B153" s="28"/>
      <c r="C153" s="313">
        <v>0</v>
      </c>
      <c r="D153" s="331" t="s">
        <v>840</v>
      </c>
      <c r="E153" s="330">
        <v>0</v>
      </c>
    </row>
    <row r="154" spans="1:5" ht="27.75" customHeight="1" x14ac:dyDescent="0.2">
      <c r="A154" s="324" t="s">
        <v>735</v>
      </c>
      <c r="B154" s="28"/>
      <c r="C154" s="313">
        <v>0</v>
      </c>
      <c r="D154" s="331" t="s">
        <v>840</v>
      </c>
      <c r="E154" s="330">
        <v>0</v>
      </c>
    </row>
    <row r="155" spans="1:5" ht="27.75" customHeight="1" x14ac:dyDescent="0.2">
      <c r="A155" s="324" t="s">
        <v>736</v>
      </c>
      <c r="B155" s="28"/>
      <c r="C155" s="313">
        <v>0</v>
      </c>
      <c r="D155" s="331" t="s">
        <v>840</v>
      </c>
      <c r="E155" s="330">
        <v>0</v>
      </c>
    </row>
    <row r="156" spans="1:5" ht="27.75" customHeight="1" x14ac:dyDescent="0.2">
      <c r="A156" s="324" t="s">
        <v>737</v>
      </c>
      <c r="B156" s="28"/>
      <c r="C156" s="313">
        <v>0</v>
      </c>
      <c r="D156" s="331" t="s">
        <v>840</v>
      </c>
      <c r="E156" s="330">
        <v>0</v>
      </c>
    </row>
    <row r="157" spans="1:5" ht="27.75" customHeight="1" x14ac:dyDescent="0.2">
      <c r="A157" s="324" t="s">
        <v>738</v>
      </c>
      <c r="B157" s="28"/>
      <c r="C157" s="313">
        <v>0</v>
      </c>
      <c r="D157" s="331" t="s">
        <v>840</v>
      </c>
      <c r="E157" s="330">
        <v>0</v>
      </c>
    </row>
    <row r="158" spans="1:5" ht="27.75" customHeight="1" x14ac:dyDescent="0.2">
      <c r="A158" s="324" t="s">
        <v>739</v>
      </c>
      <c r="B158" s="28"/>
      <c r="C158" s="313">
        <v>0</v>
      </c>
      <c r="D158" s="331" t="s">
        <v>840</v>
      </c>
      <c r="E158" s="330">
        <v>0</v>
      </c>
    </row>
    <row r="159" spans="1:5" ht="27.75" customHeight="1" x14ac:dyDescent="0.2">
      <c r="A159" s="324" t="s">
        <v>740</v>
      </c>
      <c r="B159" s="28"/>
      <c r="C159" s="313">
        <v>0</v>
      </c>
      <c r="D159" s="331" t="s">
        <v>840</v>
      </c>
      <c r="E159" s="330">
        <v>0</v>
      </c>
    </row>
    <row r="160" spans="1:5" ht="27.75" customHeight="1" x14ac:dyDescent="0.2">
      <c r="A160" s="324" t="s">
        <v>741</v>
      </c>
      <c r="B160" s="28"/>
      <c r="C160" s="313">
        <v>0</v>
      </c>
      <c r="D160" s="331" t="s">
        <v>840</v>
      </c>
      <c r="E160" s="330">
        <v>0</v>
      </c>
    </row>
    <row r="161" spans="1:5" ht="27.75" customHeight="1" x14ac:dyDescent="0.2">
      <c r="A161" s="324" t="s">
        <v>742</v>
      </c>
      <c r="B161" s="28"/>
      <c r="C161" s="313">
        <v>0</v>
      </c>
      <c r="D161" s="331" t="s">
        <v>840</v>
      </c>
      <c r="E161" s="330">
        <v>0</v>
      </c>
    </row>
    <row r="162" spans="1:5" ht="27.75" customHeight="1" x14ac:dyDescent="0.2">
      <c r="A162" s="324" t="s">
        <v>743</v>
      </c>
      <c r="B162" s="28" t="s">
        <v>840</v>
      </c>
      <c r="C162" s="345">
        <v>0</v>
      </c>
      <c r="D162" s="331" t="s">
        <v>840</v>
      </c>
      <c r="E162" s="330">
        <v>0</v>
      </c>
    </row>
    <row r="163" spans="1:5" ht="27.75" customHeight="1" x14ac:dyDescent="0.2">
      <c r="A163" s="1" t="s">
        <v>821</v>
      </c>
      <c r="B163" s="1"/>
      <c r="C163" s="2"/>
    </row>
    <row r="164" spans="1:5" x14ac:dyDescent="0.2">
      <c r="A164" s="1" t="s">
        <v>822</v>
      </c>
      <c r="B164" s="1"/>
      <c r="C164" s="2"/>
    </row>
  </sheetData>
  <mergeCells count="2">
    <mergeCell ref="B1:C1"/>
    <mergeCell ref="A2:E2"/>
  </mergeCells>
  <hyperlinks>
    <hyperlink ref="A1" location="Overview!A1" display="Back to Overview" xr:uid="{F17AABEB-30C4-41F8-B060-4FA832562A56}"/>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2942-A5F0-4311-A164-5A3C7B274EC2}">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x14ac:dyDescent="0.2">
      <c r="A1" s="32" t="s">
        <v>19</v>
      </c>
      <c r="B1" s="524"/>
      <c r="C1" s="524"/>
      <c r="D1" s="329"/>
      <c r="E1" s="329"/>
    </row>
    <row r="2" spans="1:6" ht="35.1" customHeight="1" x14ac:dyDescent="0.2">
      <c r="A2" s="520" t="str">
        <f>Overview!B4&amp; " - Effective from "&amp;TEXT(Overview!D4,"d mmmm yyyy")&amp;" - "&amp;Overview!E4&amp;" Supplier of Last Resort and Eligible Bad Debt Pass-Through Costs"&amp;" in WPD South West Area (GSP Group_L)"</f>
        <v>Leep Electricity Networks Limited - Effective from 1 April 2026 - Final Supplier of Last Resort and Eligible Bad Debt Pass-Through Costs in WPD South West Area (GSP Group_L)</v>
      </c>
      <c r="B2" s="523"/>
      <c r="C2" s="523"/>
      <c r="D2" s="523"/>
      <c r="E2" s="523"/>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0" customHeight="1" x14ac:dyDescent="0.2">
      <c r="A5" s="10" t="s">
        <v>773</v>
      </c>
      <c r="B5" s="337"/>
      <c r="C5" s="338" t="s">
        <v>845</v>
      </c>
      <c r="D5" s="330">
        <v>0</v>
      </c>
      <c r="E5" s="339">
        <v>0</v>
      </c>
    </row>
    <row r="6" spans="1:6" ht="30" customHeight="1" x14ac:dyDescent="0.2">
      <c r="A6" s="10" t="s">
        <v>774</v>
      </c>
      <c r="B6" s="337"/>
      <c r="C6" s="338" t="s">
        <v>846</v>
      </c>
      <c r="D6" s="331">
        <v>0</v>
      </c>
      <c r="E6" s="340">
        <v>0</v>
      </c>
    </row>
    <row r="7" spans="1:6" ht="30" customHeight="1" x14ac:dyDescent="0.2">
      <c r="A7" s="10" t="s">
        <v>775</v>
      </c>
      <c r="B7" s="337"/>
      <c r="C7" s="338" t="s">
        <v>846</v>
      </c>
      <c r="D7" s="331" t="s">
        <v>840</v>
      </c>
      <c r="E7" s="340">
        <v>0</v>
      </c>
    </row>
    <row r="8" spans="1:6" ht="30" customHeight="1" x14ac:dyDescent="0.2">
      <c r="A8" s="10" t="s">
        <v>776</v>
      </c>
      <c r="B8" s="337"/>
      <c r="C8" s="338" t="s">
        <v>846</v>
      </c>
      <c r="D8" s="331" t="s">
        <v>840</v>
      </c>
      <c r="E8" s="340">
        <v>0</v>
      </c>
    </row>
    <row r="9" spans="1:6" ht="30" customHeight="1" x14ac:dyDescent="0.2">
      <c r="A9" s="10" t="s">
        <v>777</v>
      </c>
      <c r="B9" s="337"/>
      <c r="C9" s="338" t="s">
        <v>846</v>
      </c>
      <c r="D9" s="331" t="s">
        <v>840</v>
      </c>
      <c r="E9" s="340">
        <v>0</v>
      </c>
    </row>
    <row r="10" spans="1:6" ht="30" customHeight="1" x14ac:dyDescent="0.2">
      <c r="A10" s="10" t="s">
        <v>778</v>
      </c>
      <c r="B10" s="337"/>
      <c r="C10" s="338" t="s">
        <v>846</v>
      </c>
      <c r="D10" s="331" t="s">
        <v>840</v>
      </c>
      <c r="E10" s="340">
        <v>0</v>
      </c>
    </row>
    <row r="11" spans="1:6" ht="30" customHeight="1" x14ac:dyDescent="0.2">
      <c r="A11" s="10" t="s">
        <v>595</v>
      </c>
      <c r="B11" s="337"/>
      <c r="C11" s="338">
        <v>0</v>
      </c>
      <c r="D11" s="331" t="s">
        <v>840</v>
      </c>
      <c r="E11" s="340">
        <v>0</v>
      </c>
    </row>
    <row r="12" spans="1:6" ht="30" customHeight="1" x14ac:dyDescent="0.2">
      <c r="A12" s="10" t="s">
        <v>596</v>
      </c>
      <c r="B12" s="337"/>
      <c r="C12" s="338">
        <v>0</v>
      </c>
      <c r="D12" s="331" t="s">
        <v>840</v>
      </c>
      <c r="E12" s="340">
        <v>0</v>
      </c>
    </row>
    <row r="13" spans="1:6" ht="30" customHeight="1" x14ac:dyDescent="0.2">
      <c r="A13" s="324" t="s">
        <v>597</v>
      </c>
      <c r="B13" s="337"/>
      <c r="C13" s="338">
        <v>0</v>
      </c>
      <c r="D13" s="331" t="s">
        <v>840</v>
      </c>
      <c r="E13" s="340">
        <v>0</v>
      </c>
    </row>
    <row r="14" spans="1:6" ht="30" customHeight="1" x14ac:dyDescent="0.2">
      <c r="A14" s="324" t="s">
        <v>598</v>
      </c>
      <c r="B14" s="337"/>
      <c r="C14" s="338">
        <v>0</v>
      </c>
      <c r="D14" s="331" t="s">
        <v>840</v>
      </c>
      <c r="E14" s="340">
        <v>0</v>
      </c>
    </row>
    <row r="15" spans="1:6" ht="30" customHeight="1" x14ac:dyDescent="0.2">
      <c r="A15" s="324" t="s">
        <v>599</v>
      </c>
      <c r="B15" s="337"/>
      <c r="C15" s="338">
        <v>0</v>
      </c>
      <c r="D15" s="331" t="s">
        <v>840</v>
      </c>
      <c r="E15" s="340">
        <v>0</v>
      </c>
    </row>
    <row r="16" spans="1:6" ht="30" customHeight="1" x14ac:dyDescent="0.2">
      <c r="A16" s="324" t="s">
        <v>600</v>
      </c>
      <c r="B16" s="337"/>
      <c r="C16" s="338">
        <v>0</v>
      </c>
      <c r="D16" s="331" t="s">
        <v>840</v>
      </c>
      <c r="E16" s="340">
        <v>0</v>
      </c>
    </row>
    <row r="17" spans="1:5" ht="30" customHeight="1" x14ac:dyDescent="0.2">
      <c r="A17" s="325" t="s">
        <v>601</v>
      </c>
      <c r="B17" s="337"/>
      <c r="C17" s="338">
        <v>0</v>
      </c>
      <c r="D17" s="331" t="s">
        <v>840</v>
      </c>
      <c r="E17" s="340">
        <v>0</v>
      </c>
    </row>
    <row r="18" spans="1:5" ht="30" customHeight="1" x14ac:dyDescent="0.2">
      <c r="A18" s="325" t="s">
        <v>602</v>
      </c>
      <c r="B18" s="337"/>
      <c r="C18" s="338">
        <v>0</v>
      </c>
      <c r="D18" s="331" t="s">
        <v>840</v>
      </c>
      <c r="E18" s="340">
        <v>0</v>
      </c>
    </row>
    <row r="19" spans="1:5" ht="30" customHeight="1" x14ac:dyDescent="0.2">
      <c r="A19" s="325" t="s">
        <v>603</v>
      </c>
      <c r="B19" s="337"/>
      <c r="C19" s="338">
        <v>0</v>
      </c>
      <c r="D19" s="331" t="s">
        <v>840</v>
      </c>
      <c r="E19" s="340">
        <v>0</v>
      </c>
    </row>
    <row r="20" spans="1:5" ht="30" customHeight="1" x14ac:dyDescent="0.2">
      <c r="A20" s="325" t="s">
        <v>604</v>
      </c>
      <c r="B20" s="337"/>
      <c r="C20" s="338">
        <v>0</v>
      </c>
      <c r="D20" s="331" t="s">
        <v>840</v>
      </c>
      <c r="E20" s="340">
        <v>0</v>
      </c>
    </row>
    <row r="21" spans="1:5" ht="30" customHeight="1" x14ac:dyDescent="0.2">
      <c r="A21" s="325" t="s">
        <v>605</v>
      </c>
      <c r="B21" s="337"/>
      <c r="C21" s="338">
        <v>0</v>
      </c>
      <c r="D21" s="331" t="s">
        <v>840</v>
      </c>
      <c r="E21" s="340">
        <v>0</v>
      </c>
    </row>
    <row r="22" spans="1:5" ht="30" customHeight="1" x14ac:dyDescent="0.2">
      <c r="A22" s="325" t="s">
        <v>606</v>
      </c>
      <c r="B22" s="337"/>
      <c r="C22" s="338">
        <v>0</v>
      </c>
      <c r="D22" s="331" t="s">
        <v>840</v>
      </c>
      <c r="E22" s="340">
        <v>0</v>
      </c>
    </row>
    <row r="23" spans="1:5" ht="30" customHeight="1" x14ac:dyDescent="0.2">
      <c r="A23" s="325" t="s">
        <v>607</v>
      </c>
      <c r="B23" s="337"/>
      <c r="C23" s="338">
        <v>0</v>
      </c>
      <c r="D23" s="331" t="s">
        <v>840</v>
      </c>
      <c r="E23" s="340">
        <v>0</v>
      </c>
    </row>
    <row r="24" spans="1:5" ht="30" customHeight="1" x14ac:dyDescent="0.2">
      <c r="A24" s="325" t="s">
        <v>608</v>
      </c>
      <c r="B24" s="337"/>
      <c r="C24" s="338">
        <v>0</v>
      </c>
      <c r="D24" s="331" t="s">
        <v>840</v>
      </c>
      <c r="E24" s="340">
        <v>0</v>
      </c>
    </row>
    <row r="25" spans="1:5" ht="30" customHeight="1" x14ac:dyDescent="0.2">
      <c r="A25" s="324" t="s">
        <v>609</v>
      </c>
      <c r="B25" s="337"/>
      <c r="C25" s="338">
        <v>0</v>
      </c>
      <c r="D25" s="331" t="s">
        <v>840</v>
      </c>
      <c r="E25" s="340">
        <v>0</v>
      </c>
    </row>
    <row r="26" spans="1:5" ht="30" customHeight="1" x14ac:dyDescent="0.2">
      <c r="A26" s="324" t="s">
        <v>779</v>
      </c>
      <c r="B26" s="337" t="s">
        <v>1828</v>
      </c>
      <c r="C26" s="338" t="s">
        <v>845</v>
      </c>
      <c r="D26" s="330">
        <v>0</v>
      </c>
      <c r="E26" s="340">
        <v>0</v>
      </c>
    </row>
    <row r="27" spans="1:5" ht="30" customHeight="1" x14ac:dyDescent="0.2">
      <c r="A27" s="324" t="s">
        <v>786</v>
      </c>
      <c r="B27" s="337" t="s">
        <v>1829</v>
      </c>
      <c r="C27" s="338" t="s">
        <v>846</v>
      </c>
      <c r="D27" s="331" t="s">
        <v>840</v>
      </c>
      <c r="E27" s="340">
        <v>0</v>
      </c>
    </row>
    <row r="28" spans="1:5" ht="30" customHeight="1" x14ac:dyDescent="0.2">
      <c r="A28" s="324" t="s">
        <v>793</v>
      </c>
      <c r="B28" s="337" t="s">
        <v>1830</v>
      </c>
      <c r="C28" s="338" t="s">
        <v>846</v>
      </c>
      <c r="D28" s="331" t="s">
        <v>840</v>
      </c>
      <c r="E28" s="340">
        <v>0</v>
      </c>
    </row>
    <row r="29" spans="1:5" ht="30" customHeight="1" x14ac:dyDescent="0.2">
      <c r="A29" s="324" t="s">
        <v>800</v>
      </c>
      <c r="B29" s="337" t="s">
        <v>1831</v>
      </c>
      <c r="C29" s="338" t="s">
        <v>846</v>
      </c>
      <c r="D29" s="331" t="s">
        <v>840</v>
      </c>
      <c r="E29" s="340">
        <v>0</v>
      </c>
    </row>
    <row r="30" spans="1:5" ht="30" customHeight="1" x14ac:dyDescent="0.2">
      <c r="A30" s="324" t="s">
        <v>807</v>
      </c>
      <c r="B30" s="337" t="s">
        <v>1832</v>
      </c>
      <c r="C30" s="338" t="s">
        <v>846</v>
      </c>
      <c r="D30" s="331" t="s">
        <v>840</v>
      </c>
      <c r="E30" s="340">
        <v>0</v>
      </c>
    </row>
    <row r="31" spans="1:5" ht="30" customHeight="1" x14ac:dyDescent="0.2">
      <c r="A31" s="324" t="s">
        <v>814</v>
      </c>
      <c r="B31" s="337" t="s">
        <v>1833</v>
      </c>
      <c r="C31" s="338" t="s">
        <v>846</v>
      </c>
      <c r="D31" s="331" t="s">
        <v>840</v>
      </c>
      <c r="E31" s="340">
        <v>0</v>
      </c>
    </row>
    <row r="32" spans="1:5" ht="30" customHeight="1" x14ac:dyDescent="0.2">
      <c r="A32" s="324" t="s">
        <v>643</v>
      </c>
      <c r="B32" s="337" t="s">
        <v>840</v>
      </c>
      <c r="C32" s="338">
        <v>0</v>
      </c>
      <c r="D32" s="331" t="s">
        <v>840</v>
      </c>
      <c r="E32" s="340">
        <v>0</v>
      </c>
    </row>
    <row r="33" spans="1:5" ht="30" customHeight="1" x14ac:dyDescent="0.2">
      <c r="A33" s="324" t="s">
        <v>644</v>
      </c>
      <c r="B33" s="337" t="s">
        <v>1834</v>
      </c>
      <c r="C33" s="338">
        <v>0</v>
      </c>
      <c r="D33" s="331" t="s">
        <v>840</v>
      </c>
      <c r="E33" s="340">
        <v>0</v>
      </c>
    </row>
    <row r="34" spans="1:5" ht="30" customHeight="1" x14ac:dyDescent="0.2">
      <c r="A34" s="324" t="s">
        <v>645</v>
      </c>
      <c r="B34" s="337" t="s">
        <v>1835</v>
      </c>
      <c r="C34" s="338">
        <v>0</v>
      </c>
      <c r="D34" s="331" t="s">
        <v>840</v>
      </c>
      <c r="E34" s="340">
        <v>0</v>
      </c>
    </row>
    <row r="35" spans="1:5" ht="30" customHeight="1" x14ac:dyDescent="0.2">
      <c r="A35" s="324" t="s">
        <v>646</v>
      </c>
      <c r="B35" s="337" t="s">
        <v>1836</v>
      </c>
      <c r="C35" s="338">
        <v>0</v>
      </c>
      <c r="D35" s="331" t="s">
        <v>840</v>
      </c>
      <c r="E35" s="340">
        <v>0</v>
      </c>
    </row>
    <row r="36" spans="1:5" ht="30" customHeight="1" x14ac:dyDescent="0.2">
      <c r="A36" s="324" t="s">
        <v>647</v>
      </c>
      <c r="B36" s="337" t="s">
        <v>1837</v>
      </c>
      <c r="C36" s="338">
        <v>0</v>
      </c>
      <c r="D36" s="331" t="s">
        <v>840</v>
      </c>
      <c r="E36" s="340">
        <v>0</v>
      </c>
    </row>
    <row r="37" spans="1:5" ht="30" customHeight="1" x14ac:dyDescent="0.2">
      <c r="A37" s="324" t="s">
        <v>780</v>
      </c>
      <c r="B37" s="337" t="s">
        <v>840</v>
      </c>
      <c r="C37" s="338" t="s">
        <v>845</v>
      </c>
      <c r="D37" s="330">
        <v>0</v>
      </c>
      <c r="E37" s="340">
        <v>0</v>
      </c>
    </row>
    <row r="38" spans="1:5" ht="30" customHeight="1" x14ac:dyDescent="0.2">
      <c r="A38" s="324" t="s">
        <v>787</v>
      </c>
      <c r="B38" s="337" t="s">
        <v>1838</v>
      </c>
      <c r="C38" s="338" t="s">
        <v>846</v>
      </c>
      <c r="D38" s="331">
        <v>0</v>
      </c>
      <c r="E38" s="340">
        <v>0</v>
      </c>
    </row>
    <row r="39" spans="1:5" ht="30" customHeight="1" x14ac:dyDescent="0.2">
      <c r="A39" s="324" t="s">
        <v>794</v>
      </c>
      <c r="B39" s="337" t="s">
        <v>1839</v>
      </c>
      <c r="C39" s="338" t="s">
        <v>846</v>
      </c>
      <c r="D39" s="331" t="s">
        <v>840</v>
      </c>
      <c r="E39" s="340">
        <v>0</v>
      </c>
    </row>
    <row r="40" spans="1:5" ht="30" customHeight="1" x14ac:dyDescent="0.2">
      <c r="A40" s="324" t="s">
        <v>801</v>
      </c>
      <c r="B40" s="337" t="s">
        <v>1840</v>
      </c>
      <c r="C40" s="338" t="s">
        <v>846</v>
      </c>
      <c r="D40" s="331" t="s">
        <v>840</v>
      </c>
      <c r="E40" s="340">
        <v>0</v>
      </c>
    </row>
    <row r="41" spans="1:5" ht="30" customHeight="1" x14ac:dyDescent="0.2">
      <c r="A41" s="324" t="s">
        <v>808</v>
      </c>
      <c r="B41" s="337" t="s">
        <v>1841</v>
      </c>
      <c r="C41" s="338" t="s">
        <v>846</v>
      </c>
      <c r="D41" s="331" t="s">
        <v>840</v>
      </c>
      <c r="E41" s="340">
        <v>0</v>
      </c>
    </row>
    <row r="42" spans="1:5" ht="30" customHeight="1" x14ac:dyDescent="0.2">
      <c r="A42" s="324" t="s">
        <v>815</v>
      </c>
      <c r="B42" s="337" t="s">
        <v>1842</v>
      </c>
      <c r="C42" s="338" t="s">
        <v>846</v>
      </c>
      <c r="D42" s="331" t="s">
        <v>840</v>
      </c>
      <c r="E42" s="340">
        <v>0</v>
      </c>
    </row>
    <row r="43" spans="1:5" ht="30" customHeight="1" x14ac:dyDescent="0.2">
      <c r="A43" s="324" t="s">
        <v>649</v>
      </c>
      <c r="B43" s="337" t="s">
        <v>840</v>
      </c>
      <c r="C43" s="338">
        <v>0</v>
      </c>
      <c r="D43" s="331" t="s">
        <v>840</v>
      </c>
      <c r="E43" s="340">
        <v>0</v>
      </c>
    </row>
    <row r="44" spans="1:5" ht="30" customHeight="1" x14ac:dyDescent="0.2">
      <c r="A44" s="324" t="s">
        <v>650</v>
      </c>
      <c r="B44" s="337" t="s">
        <v>1843</v>
      </c>
      <c r="C44" s="338">
        <v>0</v>
      </c>
      <c r="D44" s="331" t="s">
        <v>840</v>
      </c>
      <c r="E44" s="340">
        <v>0</v>
      </c>
    </row>
    <row r="45" spans="1:5" ht="30" customHeight="1" x14ac:dyDescent="0.2">
      <c r="A45" s="324" t="s">
        <v>651</v>
      </c>
      <c r="B45" s="337" t="s">
        <v>1844</v>
      </c>
      <c r="C45" s="338">
        <v>0</v>
      </c>
      <c r="D45" s="331" t="s">
        <v>840</v>
      </c>
      <c r="E45" s="340">
        <v>0</v>
      </c>
    </row>
    <row r="46" spans="1:5" ht="30" customHeight="1" x14ac:dyDescent="0.2">
      <c r="A46" s="324" t="s">
        <v>652</v>
      </c>
      <c r="B46" s="337" t="s">
        <v>1845</v>
      </c>
      <c r="C46" s="338">
        <v>0</v>
      </c>
      <c r="D46" s="331" t="s">
        <v>840</v>
      </c>
      <c r="E46" s="340">
        <v>0</v>
      </c>
    </row>
    <row r="47" spans="1:5" ht="30" customHeight="1" x14ac:dyDescent="0.2">
      <c r="A47" s="324" t="s">
        <v>653</v>
      </c>
      <c r="B47" s="337" t="s">
        <v>1846</v>
      </c>
      <c r="C47" s="338">
        <v>0</v>
      </c>
      <c r="D47" s="331" t="s">
        <v>840</v>
      </c>
      <c r="E47" s="340">
        <v>0</v>
      </c>
    </row>
    <row r="48" spans="1:5" ht="30" customHeight="1" x14ac:dyDescent="0.2">
      <c r="A48" s="324" t="s">
        <v>654</v>
      </c>
      <c r="B48" s="337" t="s">
        <v>840</v>
      </c>
      <c r="C48" s="338">
        <v>0</v>
      </c>
      <c r="D48" s="331" t="s">
        <v>840</v>
      </c>
      <c r="E48" s="340">
        <v>0</v>
      </c>
    </row>
    <row r="49" spans="1:5" ht="30" customHeight="1" x14ac:dyDescent="0.2">
      <c r="A49" s="324" t="s">
        <v>655</v>
      </c>
      <c r="B49" s="337" t="s">
        <v>1847</v>
      </c>
      <c r="C49" s="338">
        <v>0</v>
      </c>
      <c r="D49" s="331" t="s">
        <v>840</v>
      </c>
      <c r="E49" s="340">
        <v>0</v>
      </c>
    </row>
    <row r="50" spans="1:5" ht="30" customHeight="1" x14ac:dyDescent="0.2">
      <c r="A50" s="324" t="s">
        <v>656</v>
      </c>
      <c r="B50" s="337" t="s">
        <v>1848</v>
      </c>
      <c r="C50" s="338">
        <v>0</v>
      </c>
      <c r="D50" s="331" t="s">
        <v>840</v>
      </c>
      <c r="E50" s="340">
        <v>0</v>
      </c>
    </row>
    <row r="51" spans="1:5" ht="30" customHeight="1" x14ac:dyDescent="0.2">
      <c r="A51" s="324" t="s">
        <v>657</v>
      </c>
      <c r="B51" s="337" t="s">
        <v>1849</v>
      </c>
      <c r="C51" s="338">
        <v>0</v>
      </c>
      <c r="D51" s="331" t="s">
        <v>840</v>
      </c>
      <c r="E51" s="340">
        <v>0</v>
      </c>
    </row>
    <row r="52" spans="1:5" ht="30" customHeight="1" x14ac:dyDescent="0.2">
      <c r="A52" s="324" t="s">
        <v>658</v>
      </c>
      <c r="B52" s="337" t="s">
        <v>1850</v>
      </c>
      <c r="C52" s="338">
        <v>0</v>
      </c>
      <c r="D52" s="331" t="s">
        <v>840</v>
      </c>
      <c r="E52" s="340">
        <v>0</v>
      </c>
    </row>
    <row r="53" spans="1:5" ht="30" customHeight="1" x14ac:dyDescent="0.2">
      <c r="A53" s="324" t="s">
        <v>659</v>
      </c>
      <c r="B53" s="337" t="s">
        <v>840</v>
      </c>
      <c r="C53" s="338">
        <v>0</v>
      </c>
      <c r="D53" s="331">
        <v>0</v>
      </c>
      <c r="E53" s="340">
        <v>0</v>
      </c>
    </row>
    <row r="54" spans="1:5" ht="30" customHeight="1" x14ac:dyDescent="0.2">
      <c r="A54" s="324" t="s">
        <v>660</v>
      </c>
      <c r="B54" s="337" t="s">
        <v>1851</v>
      </c>
      <c r="C54" s="338">
        <v>0</v>
      </c>
      <c r="D54" s="331">
        <v>0</v>
      </c>
      <c r="E54" s="340">
        <v>0</v>
      </c>
    </row>
    <row r="55" spans="1:5" ht="30" customHeight="1" x14ac:dyDescent="0.2">
      <c r="A55" s="324" t="s">
        <v>661</v>
      </c>
      <c r="B55" s="337" t="s">
        <v>1852</v>
      </c>
      <c r="C55" s="338">
        <v>0</v>
      </c>
      <c r="D55" s="331" t="s">
        <v>840</v>
      </c>
      <c r="E55" s="340">
        <v>0</v>
      </c>
    </row>
    <row r="56" spans="1:5" ht="30" customHeight="1" x14ac:dyDescent="0.2">
      <c r="A56" s="324" t="s">
        <v>662</v>
      </c>
      <c r="B56" s="337" t="s">
        <v>1853</v>
      </c>
      <c r="C56" s="338">
        <v>0</v>
      </c>
      <c r="D56" s="331" t="s">
        <v>840</v>
      </c>
      <c r="E56" s="340">
        <v>0</v>
      </c>
    </row>
    <row r="57" spans="1:5" ht="30" customHeight="1" x14ac:dyDescent="0.2">
      <c r="A57" s="324" t="s">
        <v>663</v>
      </c>
      <c r="B57" s="337" t="s">
        <v>1854</v>
      </c>
      <c r="C57" s="338">
        <v>0</v>
      </c>
      <c r="D57" s="331" t="s">
        <v>840</v>
      </c>
      <c r="E57" s="340">
        <v>0</v>
      </c>
    </row>
    <row r="58" spans="1:5" ht="30" customHeight="1" x14ac:dyDescent="0.2">
      <c r="A58" s="324" t="s">
        <v>781</v>
      </c>
      <c r="B58" s="337" t="s">
        <v>840</v>
      </c>
      <c r="C58" s="338" t="s">
        <v>845</v>
      </c>
      <c r="D58" s="330">
        <v>0</v>
      </c>
      <c r="E58" s="340">
        <v>0</v>
      </c>
    </row>
    <row r="59" spans="1:5" ht="30" customHeight="1" x14ac:dyDescent="0.2">
      <c r="A59" s="324" t="s">
        <v>788</v>
      </c>
      <c r="B59" s="337" t="s">
        <v>1855</v>
      </c>
      <c r="C59" s="338" t="s">
        <v>846</v>
      </c>
      <c r="D59" s="331" t="s">
        <v>840</v>
      </c>
      <c r="E59" s="340">
        <v>0</v>
      </c>
    </row>
    <row r="60" spans="1:5" ht="30" customHeight="1" x14ac:dyDescent="0.2">
      <c r="A60" s="324" t="s">
        <v>795</v>
      </c>
      <c r="B60" s="337" t="s">
        <v>1856</v>
      </c>
      <c r="C60" s="338" t="s">
        <v>846</v>
      </c>
      <c r="D60" s="331" t="s">
        <v>840</v>
      </c>
      <c r="E60" s="340">
        <v>0</v>
      </c>
    </row>
    <row r="61" spans="1:5" ht="30" customHeight="1" x14ac:dyDescent="0.2">
      <c r="A61" s="324" t="s">
        <v>802</v>
      </c>
      <c r="B61" s="337" t="s">
        <v>1857</v>
      </c>
      <c r="C61" s="338" t="s">
        <v>846</v>
      </c>
      <c r="D61" s="331" t="s">
        <v>840</v>
      </c>
      <c r="E61" s="340">
        <v>0</v>
      </c>
    </row>
    <row r="62" spans="1:5" ht="30" customHeight="1" x14ac:dyDescent="0.2">
      <c r="A62" s="324" t="s">
        <v>809</v>
      </c>
      <c r="B62" s="337" t="s">
        <v>1858</v>
      </c>
      <c r="C62" s="338" t="s">
        <v>846</v>
      </c>
      <c r="D62" s="331" t="s">
        <v>840</v>
      </c>
      <c r="E62" s="340">
        <v>0</v>
      </c>
    </row>
    <row r="63" spans="1:5" ht="30" customHeight="1" x14ac:dyDescent="0.2">
      <c r="A63" s="324" t="s">
        <v>816</v>
      </c>
      <c r="B63" s="337" t="s">
        <v>1859</v>
      </c>
      <c r="C63" s="338" t="s">
        <v>846</v>
      </c>
      <c r="D63" s="331" t="s">
        <v>840</v>
      </c>
      <c r="E63" s="340">
        <v>0</v>
      </c>
    </row>
    <row r="64" spans="1:5" ht="30" customHeight="1" x14ac:dyDescent="0.2">
      <c r="A64" s="324" t="s">
        <v>665</v>
      </c>
      <c r="B64" s="337" t="s">
        <v>840</v>
      </c>
      <c r="C64" s="338">
        <v>0</v>
      </c>
      <c r="D64" s="331" t="s">
        <v>840</v>
      </c>
      <c r="E64" s="340">
        <v>0</v>
      </c>
    </row>
    <row r="65" spans="1:5" ht="30" customHeight="1" x14ac:dyDescent="0.2">
      <c r="A65" s="324" t="s">
        <v>666</v>
      </c>
      <c r="B65" s="337" t="s">
        <v>1860</v>
      </c>
      <c r="C65" s="338">
        <v>0</v>
      </c>
      <c r="D65" s="331" t="s">
        <v>840</v>
      </c>
      <c r="E65" s="340">
        <v>0</v>
      </c>
    </row>
    <row r="66" spans="1:5" ht="30" customHeight="1" x14ac:dyDescent="0.2">
      <c r="A66" s="324" t="s">
        <v>667</v>
      </c>
      <c r="B66" s="337" t="s">
        <v>1861</v>
      </c>
      <c r="C66" s="338">
        <v>0</v>
      </c>
      <c r="D66" s="331" t="s">
        <v>840</v>
      </c>
      <c r="E66" s="340">
        <v>0</v>
      </c>
    </row>
    <row r="67" spans="1:5" ht="30" customHeight="1" x14ac:dyDescent="0.2">
      <c r="A67" s="324" t="s">
        <v>668</v>
      </c>
      <c r="B67" s="337" t="s">
        <v>1862</v>
      </c>
      <c r="C67" s="338">
        <v>0</v>
      </c>
      <c r="D67" s="331" t="s">
        <v>840</v>
      </c>
      <c r="E67" s="340">
        <v>0</v>
      </c>
    </row>
    <row r="68" spans="1:5" ht="30" customHeight="1" x14ac:dyDescent="0.2">
      <c r="A68" s="324" t="s">
        <v>669</v>
      </c>
      <c r="B68" s="337" t="s">
        <v>1863</v>
      </c>
      <c r="C68" s="338">
        <v>0</v>
      </c>
      <c r="D68" s="331" t="s">
        <v>840</v>
      </c>
      <c r="E68" s="340">
        <v>0</v>
      </c>
    </row>
    <row r="69" spans="1:5" ht="30" customHeight="1" x14ac:dyDescent="0.2">
      <c r="A69" s="324" t="s">
        <v>670</v>
      </c>
      <c r="B69" s="337" t="s">
        <v>840</v>
      </c>
      <c r="C69" s="338">
        <v>0</v>
      </c>
      <c r="D69" s="331" t="s">
        <v>840</v>
      </c>
      <c r="E69" s="340">
        <v>0</v>
      </c>
    </row>
    <row r="70" spans="1:5" ht="30" customHeight="1" x14ac:dyDescent="0.2">
      <c r="A70" s="324" t="s">
        <v>671</v>
      </c>
      <c r="B70" s="337" t="s">
        <v>1864</v>
      </c>
      <c r="C70" s="338">
        <v>0</v>
      </c>
      <c r="D70" s="331" t="s">
        <v>840</v>
      </c>
      <c r="E70" s="340">
        <v>0</v>
      </c>
    </row>
    <row r="71" spans="1:5" ht="30" customHeight="1" x14ac:dyDescent="0.2">
      <c r="A71" s="324" t="s">
        <v>672</v>
      </c>
      <c r="B71" s="337" t="s">
        <v>1865</v>
      </c>
      <c r="C71" s="338">
        <v>0</v>
      </c>
      <c r="D71" s="331" t="s">
        <v>840</v>
      </c>
      <c r="E71" s="340">
        <v>0</v>
      </c>
    </row>
    <row r="72" spans="1:5" ht="30" customHeight="1" x14ac:dyDescent="0.2">
      <c r="A72" s="324" t="s">
        <v>673</v>
      </c>
      <c r="B72" s="337" t="s">
        <v>1866</v>
      </c>
      <c r="C72" s="338">
        <v>0</v>
      </c>
      <c r="D72" s="331" t="s">
        <v>840</v>
      </c>
      <c r="E72" s="340">
        <v>0</v>
      </c>
    </row>
    <row r="73" spans="1:5" ht="30" customHeight="1" x14ac:dyDescent="0.2">
      <c r="A73" s="324" t="s">
        <v>674</v>
      </c>
      <c r="B73" s="337" t="s">
        <v>1867</v>
      </c>
      <c r="C73" s="338">
        <v>0</v>
      </c>
      <c r="D73" s="331" t="s">
        <v>840</v>
      </c>
      <c r="E73" s="340">
        <v>0</v>
      </c>
    </row>
    <row r="74" spans="1:5" ht="30" customHeight="1" x14ac:dyDescent="0.2">
      <c r="A74" s="324" t="s">
        <v>675</v>
      </c>
      <c r="B74" s="337" t="s">
        <v>840</v>
      </c>
      <c r="C74" s="338">
        <v>0</v>
      </c>
      <c r="D74" s="331" t="s">
        <v>840</v>
      </c>
      <c r="E74" s="340">
        <v>0</v>
      </c>
    </row>
    <row r="75" spans="1:5" ht="30" customHeight="1" x14ac:dyDescent="0.2">
      <c r="A75" s="324" t="s">
        <v>676</v>
      </c>
      <c r="B75" s="337" t="s">
        <v>1868</v>
      </c>
      <c r="C75" s="338">
        <v>0</v>
      </c>
      <c r="D75" s="331" t="s">
        <v>840</v>
      </c>
      <c r="E75" s="340">
        <v>0</v>
      </c>
    </row>
    <row r="76" spans="1:5" ht="30" customHeight="1" x14ac:dyDescent="0.2">
      <c r="A76" s="324" t="s">
        <v>677</v>
      </c>
      <c r="B76" s="337" t="s">
        <v>1869</v>
      </c>
      <c r="C76" s="338">
        <v>0</v>
      </c>
      <c r="D76" s="331" t="s">
        <v>840</v>
      </c>
      <c r="E76" s="340">
        <v>0</v>
      </c>
    </row>
    <row r="77" spans="1:5" ht="30" customHeight="1" x14ac:dyDescent="0.2">
      <c r="A77" s="324" t="s">
        <v>678</v>
      </c>
      <c r="B77" s="337" t="s">
        <v>1870</v>
      </c>
      <c r="C77" s="338">
        <v>0</v>
      </c>
      <c r="D77" s="331" t="s">
        <v>840</v>
      </c>
      <c r="E77" s="340">
        <v>0</v>
      </c>
    </row>
    <row r="78" spans="1:5" ht="30" customHeight="1" x14ac:dyDescent="0.2">
      <c r="A78" s="324" t="s">
        <v>679</v>
      </c>
      <c r="B78" s="337" t="s">
        <v>1871</v>
      </c>
      <c r="C78" s="338">
        <v>0</v>
      </c>
      <c r="D78" s="331" t="s">
        <v>840</v>
      </c>
      <c r="E78" s="340">
        <v>0</v>
      </c>
    </row>
    <row r="79" spans="1:5" ht="30" customHeight="1" x14ac:dyDescent="0.2">
      <c r="A79" s="324" t="s">
        <v>782</v>
      </c>
      <c r="B79" s="337" t="s">
        <v>840</v>
      </c>
      <c r="C79" s="338" t="s">
        <v>845</v>
      </c>
      <c r="D79" s="330">
        <v>0</v>
      </c>
      <c r="E79" s="340">
        <v>0</v>
      </c>
    </row>
    <row r="80" spans="1:5" ht="30" customHeight="1" x14ac:dyDescent="0.2">
      <c r="A80" s="324" t="s">
        <v>789</v>
      </c>
      <c r="B80" s="337" t="s">
        <v>1872</v>
      </c>
      <c r="C80" s="338" t="s">
        <v>846</v>
      </c>
      <c r="D80" s="331" t="s">
        <v>840</v>
      </c>
      <c r="E80" s="340">
        <v>0</v>
      </c>
    </row>
    <row r="81" spans="1:5" ht="30" customHeight="1" x14ac:dyDescent="0.2">
      <c r="A81" s="324" t="s">
        <v>796</v>
      </c>
      <c r="B81" s="337" t="s">
        <v>1873</v>
      </c>
      <c r="C81" s="338" t="s">
        <v>846</v>
      </c>
      <c r="D81" s="331" t="s">
        <v>840</v>
      </c>
      <c r="E81" s="340">
        <v>0</v>
      </c>
    </row>
    <row r="82" spans="1:5" ht="30" customHeight="1" x14ac:dyDescent="0.2">
      <c r="A82" s="324" t="s">
        <v>803</v>
      </c>
      <c r="B82" s="337" t="s">
        <v>1874</v>
      </c>
      <c r="C82" s="338" t="s">
        <v>846</v>
      </c>
      <c r="D82" s="331">
        <v>0</v>
      </c>
      <c r="E82" s="340">
        <v>0</v>
      </c>
    </row>
    <row r="83" spans="1:5" ht="30" customHeight="1" x14ac:dyDescent="0.2">
      <c r="A83" s="324" t="s">
        <v>810</v>
      </c>
      <c r="B83" s="337" t="s">
        <v>1875</v>
      </c>
      <c r="C83" s="338" t="s">
        <v>846</v>
      </c>
      <c r="D83" s="331">
        <v>0</v>
      </c>
      <c r="E83" s="340">
        <v>0</v>
      </c>
    </row>
    <row r="84" spans="1:5" ht="30" customHeight="1" x14ac:dyDescent="0.2">
      <c r="A84" s="324" t="s">
        <v>817</v>
      </c>
      <c r="B84" s="337" t="s">
        <v>1876</v>
      </c>
      <c r="C84" s="338" t="s">
        <v>846</v>
      </c>
      <c r="D84" s="331" t="s">
        <v>840</v>
      </c>
      <c r="E84" s="340">
        <v>0</v>
      </c>
    </row>
    <row r="85" spans="1:5" ht="30" customHeight="1" x14ac:dyDescent="0.2">
      <c r="A85" s="324" t="s">
        <v>681</v>
      </c>
      <c r="B85" s="337" t="s">
        <v>840</v>
      </c>
      <c r="C85" s="338">
        <v>0</v>
      </c>
      <c r="D85" s="331" t="s">
        <v>840</v>
      </c>
      <c r="E85" s="340">
        <v>0</v>
      </c>
    </row>
    <row r="86" spans="1:5" ht="30" customHeight="1" x14ac:dyDescent="0.2">
      <c r="A86" s="324" t="s">
        <v>682</v>
      </c>
      <c r="B86" s="337" t="s">
        <v>1877</v>
      </c>
      <c r="C86" s="338">
        <v>0</v>
      </c>
      <c r="D86" s="331" t="s">
        <v>840</v>
      </c>
      <c r="E86" s="340">
        <v>0</v>
      </c>
    </row>
    <row r="87" spans="1:5" ht="30" customHeight="1" x14ac:dyDescent="0.2">
      <c r="A87" s="324" t="s">
        <v>683</v>
      </c>
      <c r="B87" s="337" t="s">
        <v>1878</v>
      </c>
      <c r="C87" s="338">
        <v>0</v>
      </c>
      <c r="D87" s="331" t="s">
        <v>840</v>
      </c>
      <c r="E87" s="340">
        <v>0</v>
      </c>
    </row>
    <row r="88" spans="1:5" ht="30" customHeight="1" x14ac:dyDescent="0.2">
      <c r="A88" s="324" t="s">
        <v>684</v>
      </c>
      <c r="B88" s="337" t="s">
        <v>1879</v>
      </c>
      <c r="C88" s="338">
        <v>0</v>
      </c>
      <c r="D88" s="331" t="s">
        <v>840</v>
      </c>
      <c r="E88" s="340">
        <v>0</v>
      </c>
    </row>
    <row r="89" spans="1:5" ht="30" customHeight="1" x14ac:dyDescent="0.2">
      <c r="A89" s="324" t="s">
        <v>685</v>
      </c>
      <c r="B89" s="337" t="s">
        <v>1880</v>
      </c>
      <c r="C89" s="338">
        <v>0</v>
      </c>
      <c r="D89" s="331" t="s">
        <v>840</v>
      </c>
      <c r="E89" s="340">
        <v>0</v>
      </c>
    </row>
    <row r="90" spans="1:5" ht="30" customHeight="1" x14ac:dyDescent="0.2">
      <c r="A90" s="324" t="s">
        <v>686</v>
      </c>
      <c r="B90" s="337" t="s">
        <v>840</v>
      </c>
      <c r="C90" s="338">
        <v>0</v>
      </c>
      <c r="D90" s="331" t="s">
        <v>840</v>
      </c>
      <c r="E90" s="340">
        <v>0</v>
      </c>
    </row>
    <row r="91" spans="1:5" ht="30" customHeight="1" x14ac:dyDescent="0.2">
      <c r="A91" s="324" t="s">
        <v>687</v>
      </c>
      <c r="B91" s="337" t="s">
        <v>1881</v>
      </c>
      <c r="C91" s="338">
        <v>0</v>
      </c>
      <c r="D91" s="331" t="s">
        <v>840</v>
      </c>
      <c r="E91" s="340">
        <v>0</v>
      </c>
    </row>
    <row r="92" spans="1:5" ht="30" customHeight="1" x14ac:dyDescent="0.2">
      <c r="A92" s="324" t="s">
        <v>688</v>
      </c>
      <c r="B92" s="337" t="s">
        <v>1882</v>
      </c>
      <c r="C92" s="338">
        <v>0</v>
      </c>
      <c r="D92" s="331" t="s">
        <v>840</v>
      </c>
      <c r="E92" s="340">
        <v>0</v>
      </c>
    </row>
    <row r="93" spans="1:5" ht="30" customHeight="1" x14ac:dyDescent="0.2">
      <c r="A93" s="324" t="s">
        <v>689</v>
      </c>
      <c r="B93" s="337" t="s">
        <v>1883</v>
      </c>
      <c r="C93" s="338">
        <v>0</v>
      </c>
      <c r="D93" s="331" t="s">
        <v>840</v>
      </c>
      <c r="E93" s="340">
        <v>0</v>
      </c>
    </row>
    <row r="94" spans="1:5" ht="30" customHeight="1" x14ac:dyDescent="0.2">
      <c r="A94" s="324" t="s">
        <v>690</v>
      </c>
      <c r="B94" s="337" t="s">
        <v>1884</v>
      </c>
      <c r="C94" s="338">
        <v>0</v>
      </c>
      <c r="D94" s="331" t="s">
        <v>840</v>
      </c>
      <c r="E94" s="340">
        <v>0</v>
      </c>
    </row>
    <row r="95" spans="1:5" ht="30" customHeight="1" x14ac:dyDescent="0.2">
      <c r="A95" s="324" t="s">
        <v>691</v>
      </c>
      <c r="B95" s="337" t="s">
        <v>840</v>
      </c>
      <c r="C95" s="338">
        <v>0</v>
      </c>
      <c r="D95" s="331" t="s">
        <v>840</v>
      </c>
      <c r="E95" s="340">
        <v>0</v>
      </c>
    </row>
    <row r="96" spans="1:5" ht="30" customHeight="1" x14ac:dyDescent="0.2">
      <c r="A96" s="324" t="s">
        <v>692</v>
      </c>
      <c r="B96" s="337" t="s">
        <v>1885</v>
      </c>
      <c r="C96" s="338">
        <v>0</v>
      </c>
      <c r="D96" s="331" t="s">
        <v>840</v>
      </c>
      <c r="E96" s="340">
        <v>0</v>
      </c>
    </row>
    <row r="97" spans="1:5" ht="30" customHeight="1" x14ac:dyDescent="0.2">
      <c r="A97" s="324" t="s">
        <v>693</v>
      </c>
      <c r="B97" s="337" t="s">
        <v>1886</v>
      </c>
      <c r="C97" s="338">
        <v>0</v>
      </c>
      <c r="D97" s="331" t="s">
        <v>840</v>
      </c>
      <c r="E97" s="340">
        <v>0</v>
      </c>
    </row>
    <row r="98" spans="1:5" ht="30" customHeight="1" x14ac:dyDescent="0.2">
      <c r="A98" s="324" t="s">
        <v>694</v>
      </c>
      <c r="B98" s="337" t="s">
        <v>1887</v>
      </c>
      <c r="C98" s="338">
        <v>0</v>
      </c>
      <c r="D98" s="331" t="s">
        <v>840</v>
      </c>
      <c r="E98" s="340">
        <v>0</v>
      </c>
    </row>
    <row r="99" spans="1:5" ht="30" customHeight="1" x14ac:dyDescent="0.2">
      <c r="A99" s="324" t="s">
        <v>695</v>
      </c>
      <c r="B99" s="337"/>
      <c r="C99" s="338">
        <v>0</v>
      </c>
      <c r="D99" s="331" t="s">
        <v>840</v>
      </c>
      <c r="E99" s="340">
        <v>0</v>
      </c>
    </row>
    <row r="100" spans="1:5" ht="30" customHeight="1" x14ac:dyDescent="0.2">
      <c r="A100" s="324" t="s">
        <v>783</v>
      </c>
      <c r="B100" s="337"/>
      <c r="C100" s="338" t="s">
        <v>845</v>
      </c>
      <c r="D100" s="330">
        <v>0</v>
      </c>
      <c r="E100" s="340">
        <v>0</v>
      </c>
    </row>
    <row r="101" spans="1:5" ht="30" customHeight="1" x14ac:dyDescent="0.2">
      <c r="A101" s="324" t="s">
        <v>790</v>
      </c>
      <c r="B101" s="337"/>
      <c r="C101" s="338" t="s">
        <v>846</v>
      </c>
      <c r="D101" s="331" t="s">
        <v>840</v>
      </c>
      <c r="E101" s="340">
        <v>0</v>
      </c>
    </row>
    <row r="102" spans="1:5" ht="30" customHeight="1" x14ac:dyDescent="0.2">
      <c r="A102" s="324" t="s">
        <v>797</v>
      </c>
      <c r="B102" s="337"/>
      <c r="C102" s="338" t="s">
        <v>846</v>
      </c>
      <c r="D102" s="331" t="s">
        <v>840</v>
      </c>
      <c r="E102" s="340">
        <v>0</v>
      </c>
    </row>
    <row r="103" spans="1:5" ht="30" customHeight="1" x14ac:dyDescent="0.2">
      <c r="A103" s="324" t="s">
        <v>804</v>
      </c>
      <c r="B103" s="337"/>
      <c r="C103" s="338" t="s">
        <v>846</v>
      </c>
      <c r="D103" s="331" t="s">
        <v>840</v>
      </c>
      <c r="E103" s="340">
        <v>0</v>
      </c>
    </row>
    <row r="104" spans="1:5" ht="30" customHeight="1" x14ac:dyDescent="0.2">
      <c r="A104" s="324" t="s">
        <v>811</v>
      </c>
      <c r="B104" s="337"/>
      <c r="C104" s="338" t="s">
        <v>846</v>
      </c>
      <c r="D104" s="331" t="s">
        <v>840</v>
      </c>
      <c r="E104" s="340">
        <v>0</v>
      </c>
    </row>
    <row r="105" spans="1:5" ht="30" customHeight="1" x14ac:dyDescent="0.2">
      <c r="A105" s="324" t="s">
        <v>818</v>
      </c>
      <c r="B105" s="337"/>
      <c r="C105" s="338" t="s">
        <v>846</v>
      </c>
      <c r="D105" s="331" t="s">
        <v>840</v>
      </c>
      <c r="E105" s="340">
        <v>0</v>
      </c>
    </row>
    <row r="106" spans="1:5" ht="30" customHeight="1" x14ac:dyDescent="0.2">
      <c r="A106" s="324" t="s">
        <v>697</v>
      </c>
      <c r="B106" s="337"/>
      <c r="C106" s="338">
        <v>0</v>
      </c>
      <c r="D106" s="331" t="s">
        <v>840</v>
      </c>
      <c r="E106" s="340">
        <v>0</v>
      </c>
    </row>
    <row r="107" spans="1:5" ht="30" customHeight="1" x14ac:dyDescent="0.2">
      <c r="A107" s="324" t="s">
        <v>698</v>
      </c>
      <c r="B107" s="337"/>
      <c r="C107" s="338">
        <v>0</v>
      </c>
      <c r="D107" s="331" t="s">
        <v>840</v>
      </c>
      <c r="E107" s="340">
        <v>0</v>
      </c>
    </row>
    <row r="108" spans="1:5" ht="30" customHeight="1" x14ac:dyDescent="0.2">
      <c r="A108" s="324" t="s">
        <v>699</v>
      </c>
      <c r="B108" s="337"/>
      <c r="C108" s="338">
        <v>0</v>
      </c>
      <c r="D108" s="331" t="s">
        <v>840</v>
      </c>
      <c r="E108" s="340">
        <v>0</v>
      </c>
    </row>
    <row r="109" spans="1:5" ht="30" customHeight="1" x14ac:dyDescent="0.2">
      <c r="A109" s="324" t="s">
        <v>700</v>
      </c>
      <c r="B109" s="337"/>
      <c r="C109" s="338">
        <v>0</v>
      </c>
      <c r="D109" s="331" t="s">
        <v>840</v>
      </c>
      <c r="E109" s="340">
        <v>0</v>
      </c>
    </row>
    <row r="110" spans="1:5" ht="30" customHeight="1" x14ac:dyDescent="0.2">
      <c r="A110" s="324" t="s">
        <v>701</v>
      </c>
      <c r="B110" s="337"/>
      <c r="C110" s="338">
        <v>0</v>
      </c>
      <c r="D110" s="331" t="s">
        <v>840</v>
      </c>
      <c r="E110" s="340">
        <v>0</v>
      </c>
    </row>
    <row r="111" spans="1:5" ht="30" customHeight="1" x14ac:dyDescent="0.2">
      <c r="A111" s="324" t="s">
        <v>702</v>
      </c>
      <c r="B111" s="337"/>
      <c r="C111" s="338">
        <v>0</v>
      </c>
      <c r="D111" s="331">
        <v>0</v>
      </c>
      <c r="E111" s="340">
        <v>0</v>
      </c>
    </row>
    <row r="112" spans="1:5" ht="30" customHeight="1" x14ac:dyDescent="0.2">
      <c r="A112" s="324" t="s">
        <v>703</v>
      </c>
      <c r="B112" s="337"/>
      <c r="C112" s="338">
        <v>0</v>
      </c>
      <c r="D112" s="331">
        <v>0</v>
      </c>
      <c r="E112" s="340">
        <v>0</v>
      </c>
    </row>
    <row r="113" spans="1:5" ht="30" customHeight="1" x14ac:dyDescent="0.2">
      <c r="A113" s="324" t="s">
        <v>704</v>
      </c>
      <c r="B113" s="337"/>
      <c r="C113" s="338">
        <v>0</v>
      </c>
      <c r="D113" s="331" t="s">
        <v>840</v>
      </c>
      <c r="E113" s="340">
        <v>0</v>
      </c>
    </row>
    <row r="114" spans="1:5" ht="30" customHeight="1" x14ac:dyDescent="0.2">
      <c r="A114" s="324" t="s">
        <v>705</v>
      </c>
      <c r="B114" s="337"/>
      <c r="C114" s="338">
        <v>0</v>
      </c>
      <c r="D114" s="331" t="s">
        <v>840</v>
      </c>
      <c r="E114" s="340">
        <v>0</v>
      </c>
    </row>
    <row r="115" spans="1:5" ht="30" customHeight="1" x14ac:dyDescent="0.2">
      <c r="A115" s="324" t="s">
        <v>706</v>
      </c>
      <c r="B115" s="337"/>
      <c r="C115" s="338">
        <v>0</v>
      </c>
      <c r="D115" s="331" t="s">
        <v>840</v>
      </c>
      <c r="E115" s="340">
        <v>0</v>
      </c>
    </row>
    <row r="116" spans="1:5" ht="30" customHeight="1" x14ac:dyDescent="0.2">
      <c r="A116" s="324" t="s">
        <v>707</v>
      </c>
      <c r="B116" s="337"/>
      <c r="C116" s="338">
        <v>0</v>
      </c>
      <c r="D116" s="331" t="s">
        <v>840</v>
      </c>
      <c r="E116" s="340">
        <v>0</v>
      </c>
    </row>
    <row r="117" spans="1:5" ht="30" customHeight="1" x14ac:dyDescent="0.2">
      <c r="A117" s="324" t="s">
        <v>708</v>
      </c>
      <c r="B117" s="337"/>
      <c r="C117" s="338">
        <v>0</v>
      </c>
      <c r="D117" s="331" t="s">
        <v>840</v>
      </c>
      <c r="E117" s="340">
        <v>0</v>
      </c>
    </row>
    <row r="118" spans="1:5" ht="30" customHeight="1" x14ac:dyDescent="0.2">
      <c r="A118" s="324" t="s">
        <v>709</v>
      </c>
      <c r="B118" s="337"/>
      <c r="C118" s="338">
        <v>0</v>
      </c>
      <c r="D118" s="331" t="s">
        <v>840</v>
      </c>
      <c r="E118" s="340">
        <v>0</v>
      </c>
    </row>
    <row r="119" spans="1:5" ht="30" customHeight="1" x14ac:dyDescent="0.2">
      <c r="A119" s="324" t="s">
        <v>710</v>
      </c>
      <c r="B119" s="337"/>
      <c r="C119" s="338">
        <v>0</v>
      </c>
      <c r="D119" s="331" t="s">
        <v>840</v>
      </c>
      <c r="E119" s="340">
        <v>0</v>
      </c>
    </row>
    <row r="120" spans="1:5" ht="30" customHeight="1" x14ac:dyDescent="0.2">
      <c r="A120" s="324" t="s">
        <v>711</v>
      </c>
      <c r="B120" s="337"/>
      <c r="C120" s="338">
        <v>0</v>
      </c>
      <c r="D120" s="331" t="s">
        <v>840</v>
      </c>
      <c r="E120" s="340">
        <v>0</v>
      </c>
    </row>
    <row r="121" spans="1:5" ht="30" customHeight="1" x14ac:dyDescent="0.2">
      <c r="A121" s="324" t="s">
        <v>784</v>
      </c>
      <c r="B121" s="337"/>
      <c r="C121" s="338" t="s">
        <v>845</v>
      </c>
      <c r="D121" s="330">
        <v>0</v>
      </c>
      <c r="E121" s="340">
        <v>0</v>
      </c>
    </row>
    <row r="122" spans="1:5" ht="30" customHeight="1" x14ac:dyDescent="0.2">
      <c r="A122" s="324" t="s">
        <v>791</v>
      </c>
      <c r="B122" s="337"/>
      <c r="C122" s="338" t="s">
        <v>846</v>
      </c>
      <c r="D122" s="331" t="s">
        <v>840</v>
      </c>
      <c r="E122" s="340">
        <v>0</v>
      </c>
    </row>
    <row r="123" spans="1:5" ht="30" customHeight="1" x14ac:dyDescent="0.2">
      <c r="A123" s="324" t="s">
        <v>798</v>
      </c>
      <c r="B123" s="337"/>
      <c r="C123" s="338" t="s">
        <v>846</v>
      </c>
      <c r="D123" s="331" t="s">
        <v>840</v>
      </c>
      <c r="E123" s="340">
        <v>0</v>
      </c>
    </row>
    <row r="124" spans="1:5" ht="30" customHeight="1" x14ac:dyDescent="0.2">
      <c r="A124" s="324" t="s">
        <v>805</v>
      </c>
      <c r="B124" s="337"/>
      <c r="C124" s="338" t="s">
        <v>846</v>
      </c>
      <c r="D124" s="331" t="s">
        <v>840</v>
      </c>
      <c r="E124" s="340">
        <v>0</v>
      </c>
    </row>
    <row r="125" spans="1:5" ht="30" customHeight="1" x14ac:dyDescent="0.2">
      <c r="A125" s="324" t="s">
        <v>812</v>
      </c>
      <c r="B125" s="337"/>
      <c r="C125" s="338" t="s">
        <v>846</v>
      </c>
      <c r="D125" s="331" t="s">
        <v>840</v>
      </c>
      <c r="E125" s="340">
        <v>0</v>
      </c>
    </row>
    <row r="126" spans="1:5" ht="30" customHeight="1" x14ac:dyDescent="0.2">
      <c r="A126" s="324" t="s">
        <v>819</v>
      </c>
      <c r="B126" s="337"/>
      <c r="C126" s="338" t="s">
        <v>846</v>
      </c>
      <c r="D126" s="331" t="s">
        <v>840</v>
      </c>
      <c r="E126" s="340">
        <v>0</v>
      </c>
    </row>
    <row r="127" spans="1:5" ht="30" customHeight="1" x14ac:dyDescent="0.2">
      <c r="A127" s="324" t="s">
        <v>713</v>
      </c>
      <c r="B127" s="337"/>
      <c r="C127" s="338">
        <v>0</v>
      </c>
      <c r="D127" s="331" t="s">
        <v>840</v>
      </c>
      <c r="E127" s="340">
        <v>0</v>
      </c>
    </row>
    <row r="128" spans="1:5" ht="30" customHeight="1" x14ac:dyDescent="0.2">
      <c r="A128" s="324" t="s">
        <v>714</v>
      </c>
      <c r="B128" s="337"/>
      <c r="C128" s="338">
        <v>0</v>
      </c>
      <c r="D128" s="331" t="s">
        <v>840</v>
      </c>
      <c r="E128" s="340">
        <v>0</v>
      </c>
    </row>
    <row r="129" spans="1:5" ht="30" customHeight="1" x14ac:dyDescent="0.2">
      <c r="A129" s="324" t="s">
        <v>715</v>
      </c>
      <c r="B129" s="337"/>
      <c r="C129" s="338">
        <v>0</v>
      </c>
      <c r="D129" s="331" t="s">
        <v>840</v>
      </c>
      <c r="E129" s="340">
        <v>0</v>
      </c>
    </row>
    <row r="130" spans="1:5" ht="30" customHeight="1" x14ac:dyDescent="0.2">
      <c r="A130" s="324" t="s">
        <v>716</v>
      </c>
      <c r="B130" s="337"/>
      <c r="C130" s="338">
        <v>0</v>
      </c>
      <c r="D130" s="331" t="s">
        <v>840</v>
      </c>
      <c r="E130" s="340">
        <v>0</v>
      </c>
    </row>
    <row r="131" spans="1:5" ht="30" customHeight="1" x14ac:dyDescent="0.2">
      <c r="A131" s="324" t="s">
        <v>717</v>
      </c>
      <c r="B131" s="337"/>
      <c r="C131" s="338">
        <v>0</v>
      </c>
      <c r="D131" s="331" t="s">
        <v>840</v>
      </c>
      <c r="E131" s="340">
        <v>0</v>
      </c>
    </row>
    <row r="132" spans="1:5" ht="30" customHeight="1" x14ac:dyDescent="0.2">
      <c r="A132" s="324" t="s">
        <v>718</v>
      </c>
      <c r="B132" s="337"/>
      <c r="C132" s="338">
        <v>0</v>
      </c>
      <c r="D132" s="331" t="s">
        <v>840</v>
      </c>
      <c r="E132" s="340">
        <v>0</v>
      </c>
    </row>
    <row r="133" spans="1:5" ht="30" customHeight="1" x14ac:dyDescent="0.2">
      <c r="A133" s="324" t="s">
        <v>719</v>
      </c>
      <c r="B133" s="337"/>
      <c r="C133" s="338">
        <v>0</v>
      </c>
      <c r="D133" s="331" t="s">
        <v>840</v>
      </c>
      <c r="E133" s="340">
        <v>0</v>
      </c>
    </row>
    <row r="134" spans="1:5" ht="30" customHeight="1" x14ac:dyDescent="0.2">
      <c r="A134" s="324" t="s">
        <v>720</v>
      </c>
      <c r="B134" s="337"/>
      <c r="C134" s="338">
        <v>0</v>
      </c>
      <c r="D134" s="331" t="s">
        <v>840</v>
      </c>
      <c r="E134" s="340">
        <v>0</v>
      </c>
    </row>
    <row r="135" spans="1:5" ht="30" customHeight="1" x14ac:dyDescent="0.2">
      <c r="A135" s="324" t="s">
        <v>721</v>
      </c>
      <c r="B135" s="337"/>
      <c r="C135" s="338">
        <v>0</v>
      </c>
      <c r="D135" s="331" t="s">
        <v>840</v>
      </c>
      <c r="E135" s="340">
        <v>0</v>
      </c>
    </row>
    <row r="136" spans="1:5" ht="30" customHeight="1" x14ac:dyDescent="0.2">
      <c r="A136" s="324" t="s">
        <v>722</v>
      </c>
      <c r="B136" s="337"/>
      <c r="C136" s="338">
        <v>0</v>
      </c>
      <c r="D136" s="331" t="s">
        <v>840</v>
      </c>
      <c r="E136" s="340">
        <v>0</v>
      </c>
    </row>
    <row r="137" spans="1:5" ht="30" customHeight="1" x14ac:dyDescent="0.2">
      <c r="A137" s="324" t="s">
        <v>723</v>
      </c>
      <c r="B137" s="337"/>
      <c r="C137" s="338">
        <v>0</v>
      </c>
      <c r="D137" s="331" t="s">
        <v>840</v>
      </c>
      <c r="E137" s="340">
        <v>0</v>
      </c>
    </row>
    <row r="138" spans="1:5" ht="30" customHeight="1" x14ac:dyDescent="0.2">
      <c r="A138" s="324" t="s">
        <v>724</v>
      </c>
      <c r="B138" s="337"/>
      <c r="C138" s="338">
        <v>0</v>
      </c>
      <c r="D138" s="331" t="s">
        <v>840</v>
      </c>
      <c r="E138" s="340">
        <v>0</v>
      </c>
    </row>
    <row r="139" spans="1:5" ht="30" customHeight="1" x14ac:dyDescent="0.2">
      <c r="A139" s="324" t="s">
        <v>725</v>
      </c>
      <c r="B139" s="337"/>
      <c r="C139" s="338">
        <v>0</v>
      </c>
      <c r="D139" s="331" t="s">
        <v>840</v>
      </c>
      <c r="E139" s="340">
        <v>0</v>
      </c>
    </row>
    <row r="140" spans="1:5" ht="30" customHeight="1" x14ac:dyDescent="0.2">
      <c r="A140" s="324" t="s">
        <v>726</v>
      </c>
      <c r="B140" s="337"/>
      <c r="C140" s="338">
        <v>0</v>
      </c>
      <c r="D140" s="331">
        <v>0</v>
      </c>
      <c r="E140" s="340">
        <v>0</v>
      </c>
    </row>
    <row r="141" spans="1:5" ht="30" customHeight="1" x14ac:dyDescent="0.2">
      <c r="A141" s="324" t="s">
        <v>727</v>
      </c>
      <c r="B141" s="337"/>
      <c r="C141" s="338">
        <v>0</v>
      </c>
      <c r="D141" s="331">
        <v>0</v>
      </c>
      <c r="E141" s="340">
        <v>0</v>
      </c>
    </row>
    <row r="142" spans="1:5" ht="30" customHeight="1" x14ac:dyDescent="0.2">
      <c r="A142" s="324" t="s">
        <v>785</v>
      </c>
      <c r="B142" s="337"/>
      <c r="C142" s="338" t="s">
        <v>845</v>
      </c>
      <c r="D142" s="330">
        <v>0</v>
      </c>
      <c r="E142" s="340">
        <v>0</v>
      </c>
    </row>
    <row r="143" spans="1:5" ht="30" customHeight="1" x14ac:dyDescent="0.2">
      <c r="A143" s="324" t="s">
        <v>792</v>
      </c>
      <c r="B143" s="337"/>
      <c r="C143" s="338" t="s">
        <v>846</v>
      </c>
      <c r="D143" s="331" t="s">
        <v>840</v>
      </c>
      <c r="E143" s="340">
        <v>0</v>
      </c>
    </row>
    <row r="144" spans="1:5" ht="30" customHeight="1" x14ac:dyDescent="0.2">
      <c r="A144" s="324" t="s">
        <v>799</v>
      </c>
      <c r="B144" s="337"/>
      <c r="C144" s="338" t="s">
        <v>846</v>
      </c>
      <c r="D144" s="331" t="s">
        <v>840</v>
      </c>
      <c r="E144" s="340">
        <v>0</v>
      </c>
    </row>
    <row r="145" spans="1:5" ht="30" customHeight="1" x14ac:dyDescent="0.2">
      <c r="A145" s="324" t="s">
        <v>806</v>
      </c>
      <c r="B145" s="337"/>
      <c r="C145" s="338" t="s">
        <v>846</v>
      </c>
      <c r="D145" s="331" t="s">
        <v>840</v>
      </c>
      <c r="E145" s="340">
        <v>0</v>
      </c>
    </row>
    <row r="146" spans="1:5" ht="30" customHeight="1" x14ac:dyDescent="0.2">
      <c r="A146" s="324" t="s">
        <v>813</v>
      </c>
      <c r="B146" s="337"/>
      <c r="C146" s="338" t="s">
        <v>846</v>
      </c>
      <c r="D146" s="331" t="s">
        <v>840</v>
      </c>
      <c r="E146" s="340">
        <v>0</v>
      </c>
    </row>
    <row r="147" spans="1:5" ht="30" customHeight="1" x14ac:dyDescent="0.2">
      <c r="A147" s="324" t="s">
        <v>820</v>
      </c>
      <c r="B147" s="337"/>
      <c r="C147" s="338" t="s">
        <v>846</v>
      </c>
      <c r="D147" s="331" t="s">
        <v>840</v>
      </c>
      <c r="E147" s="340">
        <v>0</v>
      </c>
    </row>
    <row r="148" spans="1:5" ht="30" customHeight="1" x14ac:dyDescent="0.2">
      <c r="A148" s="324" t="s">
        <v>729</v>
      </c>
      <c r="B148" s="337"/>
      <c r="C148" s="338">
        <v>0</v>
      </c>
      <c r="D148" s="331" t="s">
        <v>840</v>
      </c>
      <c r="E148" s="340">
        <v>0</v>
      </c>
    </row>
    <row r="149" spans="1:5" ht="30" customHeight="1" x14ac:dyDescent="0.2">
      <c r="A149" s="324" t="s">
        <v>730</v>
      </c>
      <c r="B149" s="337"/>
      <c r="C149" s="338">
        <v>0</v>
      </c>
      <c r="D149" s="331" t="s">
        <v>840</v>
      </c>
      <c r="E149" s="340">
        <v>0</v>
      </c>
    </row>
    <row r="150" spans="1:5" ht="30" customHeight="1" x14ac:dyDescent="0.2">
      <c r="A150" s="324" t="s">
        <v>731</v>
      </c>
      <c r="B150" s="337"/>
      <c r="C150" s="338">
        <v>0</v>
      </c>
      <c r="D150" s="331" t="s">
        <v>840</v>
      </c>
      <c r="E150" s="340">
        <v>0</v>
      </c>
    </row>
    <row r="151" spans="1:5" ht="30" customHeight="1" x14ac:dyDescent="0.2">
      <c r="A151" s="324" t="s">
        <v>732</v>
      </c>
      <c r="B151" s="337"/>
      <c r="C151" s="338">
        <v>0</v>
      </c>
      <c r="D151" s="331" t="s">
        <v>840</v>
      </c>
      <c r="E151" s="340">
        <v>0</v>
      </c>
    </row>
    <row r="152" spans="1:5" ht="30" customHeight="1" x14ac:dyDescent="0.2">
      <c r="A152" s="324" t="s">
        <v>733</v>
      </c>
      <c r="B152" s="337"/>
      <c r="C152" s="338">
        <v>0</v>
      </c>
      <c r="D152" s="331" t="s">
        <v>840</v>
      </c>
      <c r="E152" s="340">
        <v>0</v>
      </c>
    </row>
    <row r="153" spans="1:5" ht="30" customHeight="1" x14ac:dyDescent="0.2">
      <c r="A153" s="324" t="s">
        <v>734</v>
      </c>
      <c r="B153" s="337"/>
      <c r="C153" s="338">
        <v>0</v>
      </c>
      <c r="D153" s="331" t="s">
        <v>840</v>
      </c>
      <c r="E153" s="340">
        <v>0</v>
      </c>
    </row>
    <row r="154" spans="1:5" ht="30" customHeight="1" x14ac:dyDescent="0.2">
      <c r="A154" s="324" t="s">
        <v>735</v>
      </c>
      <c r="B154" s="337"/>
      <c r="C154" s="338">
        <v>0</v>
      </c>
      <c r="D154" s="331" t="s">
        <v>840</v>
      </c>
      <c r="E154" s="340">
        <v>0</v>
      </c>
    </row>
    <row r="155" spans="1:5" ht="30" customHeight="1" x14ac:dyDescent="0.2">
      <c r="A155" s="324" t="s">
        <v>736</v>
      </c>
      <c r="B155" s="337"/>
      <c r="C155" s="338">
        <v>0</v>
      </c>
      <c r="D155" s="331" t="s">
        <v>840</v>
      </c>
      <c r="E155" s="340">
        <v>0</v>
      </c>
    </row>
    <row r="156" spans="1:5" ht="30" customHeight="1" x14ac:dyDescent="0.2">
      <c r="A156" s="324" t="s">
        <v>737</v>
      </c>
      <c r="B156" s="337"/>
      <c r="C156" s="338">
        <v>0</v>
      </c>
      <c r="D156" s="331" t="s">
        <v>840</v>
      </c>
      <c r="E156" s="340">
        <v>0</v>
      </c>
    </row>
    <row r="157" spans="1:5" ht="30" customHeight="1" x14ac:dyDescent="0.2">
      <c r="A157" s="324" t="s">
        <v>738</v>
      </c>
      <c r="B157" s="337"/>
      <c r="C157" s="338">
        <v>0</v>
      </c>
      <c r="D157" s="331" t="s">
        <v>840</v>
      </c>
      <c r="E157" s="340">
        <v>0</v>
      </c>
    </row>
    <row r="158" spans="1:5" ht="30" customHeight="1" x14ac:dyDescent="0.2">
      <c r="A158" s="324" t="s">
        <v>739</v>
      </c>
      <c r="B158" s="337"/>
      <c r="C158" s="338">
        <v>0</v>
      </c>
      <c r="D158" s="331" t="s">
        <v>840</v>
      </c>
      <c r="E158" s="340">
        <v>0</v>
      </c>
    </row>
    <row r="159" spans="1:5" ht="30" customHeight="1" x14ac:dyDescent="0.2">
      <c r="A159" s="324" t="s">
        <v>740</v>
      </c>
      <c r="B159" s="337"/>
      <c r="C159" s="338">
        <v>0</v>
      </c>
      <c r="D159" s="331" t="s">
        <v>840</v>
      </c>
      <c r="E159" s="340">
        <v>0</v>
      </c>
    </row>
    <row r="160" spans="1:5" ht="30" customHeight="1" x14ac:dyDescent="0.2">
      <c r="A160" s="324" t="s">
        <v>741</v>
      </c>
      <c r="B160" s="337"/>
      <c r="C160" s="338">
        <v>0</v>
      </c>
      <c r="D160" s="331" t="s">
        <v>840</v>
      </c>
      <c r="E160" s="340">
        <v>0</v>
      </c>
    </row>
    <row r="161" spans="1:5" ht="30" customHeight="1" x14ac:dyDescent="0.2">
      <c r="A161" s="324" t="s">
        <v>742</v>
      </c>
      <c r="B161" s="337"/>
      <c r="C161" s="338">
        <v>0</v>
      </c>
      <c r="D161" s="331" t="s">
        <v>840</v>
      </c>
      <c r="E161" s="340">
        <v>0</v>
      </c>
    </row>
    <row r="162" spans="1:5" ht="30" customHeight="1" x14ac:dyDescent="0.2">
      <c r="A162" s="324" t="s">
        <v>743</v>
      </c>
      <c r="B162" s="337" t="s">
        <v>840</v>
      </c>
      <c r="C162" s="338">
        <v>0</v>
      </c>
      <c r="D162" s="331" t="s">
        <v>840</v>
      </c>
      <c r="E162" s="340">
        <v>0</v>
      </c>
    </row>
    <row r="163" spans="1:5" ht="30" customHeight="1" x14ac:dyDescent="0.2">
      <c r="A163" s="1" t="s">
        <v>821</v>
      </c>
    </row>
    <row r="164" spans="1:5" ht="30" customHeight="1" x14ac:dyDescent="0.2">
      <c r="A164" s="1" t="s">
        <v>822</v>
      </c>
    </row>
  </sheetData>
  <mergeCells count="2">
    <mergeCell ref="B1:C1"/>
    <mergeCell ref="A2:E2"/>
  </mergeCells>
  <hyperlinks>
    <hyperlink ref="A1" location="Overview!A1" display="Back to Overview" xr:uid="{E5EFF542-0BCD-4B54-9011-3E5B8CA30F8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0D12-1277-4A0C-8EBD-D735EF3F4664}">
  <dimension ref="A1:F165"/>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NPG Yorkshire Area (GSP Group_M)"</f>
        <v>Leep Electricity Networks Limited - Effective from 1 April 2026 - Final Supplier of Last Resort and Eligible Bad Debt Pass-Through Costs in NPG Yorkshire Area (GSP Group_M)</v>
      </c>
      <c r="B2" s="521"/>
      <c r="C2" s="521"/>
      <c r="D2" s="521"/>
      <c r="E2" s="522"/>
    </row>
    <row r="3" spans="1:6" s="41" customFormat="1" ht="21" customHeight="1" x14ac:dyDescent="0.2">
      <c r="A3" s="46"/>
      <c r="B3" s="46"/>
      <c r="C3" s="46"/>
      <c r="D3" s="46"/>
      <c r="E3" s="46"/>
      <c r="F3" s="1"/>
    </row>
    <row r="4" spans="1:6" ht="78.75" customHeight="1" x14ac:dyDescent="0.2">
      <c r="A4" s="19" t="s">
        <v>458</v>
      </c>
      <c r="B4" s="16" t="s">
        <v>744</v>
      </c>
      <c r="C4" s="16" t="s">
        <v>24</v>
      </c>
      <c r="D4" s="16" t="s">
        <v>745</v>
      </c>
      <c r="E4" s="16" t="s">
        <v>746</v>
      </c>
    </row>
    <row r="5" spans="1:6" ht="32.25" customHeight="1" x14ac:dyDescent="0.2">
      <c r="A5" s="10" t="s">
        <v>773</v>
      </c>
      <c r="B5" s="28"/>
      <c r="C5" s="313" t="s">
        <v>845</v>
      </c>
      <c r="D5" s="330">
        <v>0</v>
      </c>
      <c r="E5" s="347" t="s">
        <v>840</v>
      </c>
    </row>
    <row r="6" spans="1:6" ht="27" customHeight="1" x14ac:dyDescent="0.2">
      <c r="A6" s="10" t="s">
        <v>774</v>
      </c>
      <c r="B6" s="28"/>
      <c r="C6" s="313" t="s">
        <v>846</v>
      </c>
      <c r="D6" s="331">
        <v>0</v>
      </c>
      <c r="E6" s="347" t="s">
        <v>840</v>
      </c>
    </row>
    <row r="7" spans="1:6" ht="27" customHeight="1" x14ac:dyDescent="0.2">
      <c r="A7" s="10" t="s">
        <v>775</v>
      </c>
      <c r="B7" s="28"/>
      <c r="C7" s="313" t="s">
        <v>846</v>
      </c>
      <c r="D7" s="331">
        <v>0</v>
      </c>
      <c r="E7" s="347" t="s">
        <v>840</v>
      </c>
    </row>
    <row r="8" spans="1:6" ht="27" customHeight="1" x14ac:dyDescent="0.2">
      <c r="A8" s="10" t="s">
        <v>776</v>
      </c>
      <c r="B8" s="28"/>
      <c r="C8" s="313" t="s">
        <v>846</v>
      </c>
      <c r="D8" s="331">
        <v>0</v>
      </c>
      <c r="E8" s="347" t="s">
        <v>840</v>
      </c>
    </row>
    <row r="9" spans="1:6" ht="27" customHeight="1" x14ac:dyDescent="0.2">
      <c r="A9" s="10" t="s">
        <v>777</v>
      </c>
      <c r="B9" s="28"/>
      <c r="C9" s="313" t="s">
        <v>846</v>
      </c>
      <c r="D9" s="331">
        <v>0</v>
      </c>
      <c r="E9" s="347" t="s">
        <v>840</v>
      </c>
    </row>
    <row r="10" spans="1:6" ht="27" customHeight="1" x14ac:dyDescent="0.2">
      <c r="A10" s="10" t="s">
        <v>778</v>
      </c>
      <c r="B10" s="28"/>
      <c r="C10" s="313" t="s">
        <v>846</v>
      </c>
      <c r="D10" s="331">
        <v>0</v>
      </c>
      <c r="E10" s="347" t="s">
        <v>840</v>
      </c>
    </row>
    <row r="11" spans="1:6" ht="27" customHeight="1" x14ac:dyDescent="0.2">
      <c r="A11" s="10" t="s">
        <v>595</v>
      </c>
      <c r="B11" s="28"/>
      <c r="C11" s="313">
        <v>0</v>
      </c>
      <c r="D11" s="331">
        <v>0</v>
      </c>
      <c r="E11" s="347" t="s">
        <v>840</v>
      </c>
    </row>
    <row r="12" spans="1:6" ht="27" customHeight="1" x14ac:dyDescent="0.2">
      <c r="A12" s="324" t="s">
        <v>596</v>
      </c>
      <c r="B12" s="28"/>
      <c r="C12" s="313">
        <v>0</v>
      </c>
      <c r="D12" s="331">
        <v>0</v>
      </c>
      <c r="E12" s="347" t="s">
        <v>840</v>
      </c>
    </row>
    <row r="13" spans="1:6" ht="27" customHeight="1" x14ac:dyDescent="0.2">
      <c r="A13" s="324" t="s">
        <v>597</v>
      </c>
      <c r="B13" s="28"/>
      <c r="C13" s="313">
        <v>0</v>
      </c>
      <c r="D13" s="331">
        <v>0</v>
      </c>
      <c r="E13" s="347" t="s">
        <v>840</v>
      </c>
    </row>
    <row r="14" spans="1:6" ht="27.75" customHeight="1" x14ac:dyDescent="0.2">
      <c r="A14" s="324" t="s">
        <v>598</v>
      </c>
      <c r="B14" s="28"/>
      <c r="C14" s="313">
        <v>0</v>
      </c>
      <c r="D14" s="331">
        <v>0</v>
      </c>
      <c r="E14" s="347" t="s">
        <v>840</v>
      </c>
    </row>
    <row r="15" spans="1:6" ht="27.75" customHeight="1" x14ac:dyDescent="0.2">
      <c r="A15" s="325" t="s">
        <v>599</v>
      </c>
      <c r="B15" s="28"/>
      <c r="C15" s="313">
        <v>0</v>
      </c>
      <c r="D15" s="331">
        <v>0</v>
      </c>
      <c r="E15" s="347" t="s">
        <v>840</v>
      </c>
    </row>
    <row r="16" spans="1:6" ht="27.75" customHeight="1" x14ac:dyDescent="0.2">
      <c r="A16" s="325" t="s">
        <v>600</v>
      </c>
      <c r="B16" s="28"/>
      <c r="C16" s="313">
        <v>0</v>
      </c>
      <c r="D16" s="331">
        <v>0</v>
      </c>
      <c r="E16" s="347" t="s">
        <v>840</v>
      </c>
    </row>
    <row r="17" spans="1:5" ht="27.75" customHeight="1" x14ac:dyDescent="0.2">
      <c r="A17" s="325" t="s">
        <v>601</v>
      </c>
      <c r="B17" s="28"/>
      <c r="C17" s="313">
        <v>0</v>
      </c>
      <c r="D17" s="331">
        <v>0</v>
      </c>
      <c r="E17" s="347" t="s">
        <v>840</v>
      </c>
    </row>
    <row r="18" spans="1:5" ht="27.75" customHeight="1" x14ac:dyDescent="0.2">
      <c r="A18" s="325" t="s">
        <v>602</v>
      </c>
      <c r="B18" s="28"/>
      <c r="C18" s="313">
        <v>0</v>
      </c>
      <c r="D18" s="331">
        <v>0</v>
      </c>
      <c r="E18" s="347" t="s">
        <v>840</v>
      </c>
    </row>
    <row r="19" spans="1:5" ht="27.75" customHeight="1" x14ac:dyDescent="0.2">
      <c r="A19" s="325" t="s">
        <v>603</v>
      </c>
      <c r="B19" s="28"/>
      <c r="C19" s="313">
        <v>0</v>
      </c>
      <c r="D19" s="331">
        <v>0</v>
      </c>
      <c r="E19" s="347" t="s">
        <v>840</v>
      </c>
    </row>
    <row r="20" spans="1:5" ht="27.75" customHeight="1" x14ac:dyDescent="0.2">
      <c r="A20" s="325" t="s">
        <v>604</v>
      </c>
      <c r="B20" s="28"/>
      <c r="C20" s="313">
        <v>0</v>
      </c>
      <c r="D20" s="331">
        <v>0</v>
      </c>
      <c r="E20" s="347" t="s">
        <v>840</v>
      </c>
    </row>
    <row r="21" spans="1:5" ht="27.75" customHeight="1" x14ac:dyDescent="0.2">
      <c r="A21" s="325" t="s">
        <v>605</v>
      </c>
      <c r="B21" s="28"/>
      <c r="C21" s="313">
        <v>0</v>
      </c>
      <c r="D21" s="331">
        <v>0</v>
      </c>
      <c r="E21" s="347" t="s">
        <v>840</v>
      </c>
    </row>
    <row r="22" spans="1:5" ht="27.75" customHeight="1" x14ac:dyDescent="0.2">
      <c r="A22" s="325" t="s">
        <v>606</v>
      </c>
      <c r="B22" s="28"/>
      <c r="C22" s="313">
        <v>0</v>
      </c>
      <c r="D22" s="331">
        <v>0</v>
      </c>
      <c r="E22" s="347" t="s">
        <v>840</v>
      </c>
    </row>
    <row r="23" spans="1:5" ht="27.75" customHeight="1" x14ac:dyDescent="0.2">
      <c r="A23" s="324" t="s">
        <v>607</v>
      </c>
      <c r="B23" s="28"/>
      <c r="C23" s="313">
        <v>0</v>
      </c>
      <c r="D23" s="331">
        <v>0</v>
      </c>
      <c r="E23" s="347" t="s">
        <v>840</v>
      </c>
    </row>
    <row r="24" spans="1:5" ht="27.75" customHeight="1" x14ac:dyDescent="0.2">
      <c r="A24" s="324" t="s">
        <v>608</v>
      </c>
      <c r="B24" s="28"/>
      <c r="C24" s="313">
        <v>0</v>
      </c>
      <c r="D24" s="331">
        <v>0</v>
      </c>
      <c r="E24" s="347" t="s">
        <v>840</v>
      </c>
    </row>
    <row r="25" spans="1:5" ht="27.75" customHeight="1" x14ac:dyDescent="0.2">
      <c r="A25" s="324" t="s">
        <v>609</v>
      </c>
      <c r="B25" s="28"/>
      <c r="C25" s="313">
        <v>0</v>
      </c>
      <c r="D25" s="331">
        <v>0</v>
      </c>
      <c r="E25" s="347" t="s">
        <v>840</v>
      </c>
    </row>
    <row r="26" spans="1:5" ht="27.75" customHeight="1" x14ac:dyDescent="0.2">
      <c r="A26" s="324" t="s">
        <v>779</v>
      </c>
      <c r="B26" s="28" t="s">
        <v>1888</v>
      </c>
      <c r="C26" s="313" t="s">
        <v>845</v>
      </c>
      <c r="D26" s="330">
        <v>0</v>
      </c>
      <c r="E26" s="347" t="s">
        <v>840</v>
      </c>
    </row>
    <row r="27" spans="1:5" ht="27.75" customHeight="1" x14ac:dyDescent="0.2">
      <c r="A27" s="324" t="s">
        <v>786</v>
      </c>
      <c r="B27" s="28" t="s">
        <v>1889</v>
      </c>
      <c r="C27" s="313" t="s">
        <v>846</v>
      </c>
      <c r="D27" s="331">
        <v>0</v>
      </c>
      <c r="E27" s="347" t="s">
        <v>840</v>
      </c>
    </row>
    <row r="28" spans="1:5" ht="27.75" customHeight="1" x14ac:dyDescent="0.2">
      <c r="A28" s="324" t="s">
        <v>793</v>
      </c>
      <c r="B28" s="28" t="s">
        <v>1890</v>
      </c>
      <c r="C28" s="313" t="s">
        <v>846</v>
      </c>
      <c r="D28" s="331">
        <v>0</v>
      </c>
      <c r="E28" s="347" t="s">
        <v>840</v>
      </c>
    </row>
    <row r="29" spans="1:5" ht="27.75" customHeight="1" x14ac:dyDescent="0.2">
      <c r="A29" s="324" t="s">
        <v>800</v>
      </c>
      <c r="B29" s="28" t="s">
        <v>1891</v>
      </c>
      <c r="C29" s="313" t="s">
        <v>846</v>
      </c>
      <c r="D29" s="331">
        <v>0</v>
      </c>
      <c r="E29" s="347" t="s">
        <v>840</v>
      </c>
    </row>
    <row r="30" spans="1:5" ht="27.75" customHeight="1" x14ac:dyDescent="0.2">
      <c r="A30" s="324" t="s">
        <v>807</v>
      </c>
      <c r="B30" s="28" t="s">
        <v>1892</v>
      </c>
      <c r="C30" s="313" t="s">
        <v>846</v>
      </c>
      <c r="D30" s="331">
        <v>0</v>
      </c>
      <c r="E30" s="347" t="s">
        <v>840</v>
      </c>
    </row>
    <row r="31" spans="1:5" ht="27.75" customHeight="1" x14ac:dyDescent="0.2">
      <c r="A31" s="324" t="s">
        <v>814</v>
      </c>
      <c r="B31" s="28" t="s">
        <v>1893</v>
      </c>
      <c r="C31" s="313" t="s">
        <v>846</v>
      </c>
      <c r="D31" s="331">
        <v>0</v>
      </c>
      <c r="E31" s="347" t="s">
        <v>840</v>
      </c>
    </row>
    <row r="32" spans="1:5" ht="27.75" customHeight="1" x14ac:dyDescent="0.2">
      <c r="A32" s="324" t="s">
        <v>643</v>
      </c>
      <c r="B32" s="28" t="s">
        <v>840</v>
      </c>
      <c r="C32" s="313">
        <v>0</v>
      </c>
      <c r="D32" s="331">
        <v>0</v>
      </c>
      <c r="E32" s="347" t="s">
        <v>840</v>
      </c>
    </row>
    <row r="33" spans="1:5" ht="27.75" customHeight="1" x14ac:dyDescent="0.2">
      <c r="A33" s="324" t="s">
        <v>644</v>
      </c>
      <c r="B33" s="28" t="s">
        <v>1894</v>
      </c>
      <c r="C33" s="313">
        <v>0</v>
      </c>
      <c r="D33" s="331">
        <v>0</v>
      </c>
      <c r="E33" s="347" t="s">
        <v>840</v>
      </c>
    </row>
    <row r="34" spans="1:5" ht="27.75" customHeight="1" x14ac:dyDescent="0.2">
      <c r="A34" s="324" t="s">
        <v>645</v>
      </c>
      <c r="B34" s="28" t="s">
        <v>1895</v>
      </c>
      <c r="C34" s="313">
        <v>0</v>
      </c>
      <c r="D34" s="331">
        <v>0</v>
      </c>
      <c r="E34" s="347" t="s">
        <v>840</v>
      </c>
    </row>
    <row r="35" spans="1:5" ht="27.75" customHeight="1" x14ac:dyDescent="0.2">
      <c r="A35" s="324" t="s">
        <v>646</v>
      </c>
      <c r="B35" s="28" t="s">
        <v>1896</v>
      </c>
      <c r="C35" s="313">
        <v>0</v>
      </c>
      <c r="D35" s="331">
        <v>0</v>
      </c>
      <c r="E35" s="347" t="s">
        <v>840</v>
      </c>
    </row>
    <row r="36" spans="1:5" ht="27.75" customHeight="1" x14ac:dyDescent="0.2">
      <c r="A36" s="324" t="s">
        <v>647</v>
      </c>
      <c r="B36" s="28" t="s">
        <v>1897</v>
      </c>
      <c r="C36" s="313">
        <v>0</v>
      </c>
      <c r="D36" s="331">
        <v>0</v>
      </c>
      <c r="E36" s="347" t="s">
        <v>840</v>
      </c>
    </row>
    <row r="37" spans="1:5" ht="27.75" customHeight="1" x14ac:dyDescent="0.2">
      <c r="A37" s="325" t="s">
        <v>780</v>
      </c>
      <c r="B37" s="28" t="e">
        <v>#N/A</v>
      </c>
      <c r="C37" s="313" t="s">
        <v>845</v>
      </c>
      <c r="D37" s="330">
        <v>0</v>
      </c>
      <c r="E37" s="347" t="s">
        <v>840</v>
      </c>
    </row>
    <row r="38" spans="1:5" ht="27.75" customHeight="1" x14ac:dyDescent="0.2">
      <c r="A38" s="324" t="s">
        <v>787</v>
      </c>
      <c r="B38" s="28" t="s">
        <v>1898</v>
      </c>
      <c r="C38" s="313" t="s">
        <v>846</v>
      </c>
      <c r="D38" s="331">
        <v>0</v>
      </c>
      <c r="E38" s="347" t="s">
        <v>840</v>
      </c>
    </row>
    <row r="39" spans="1:5" ht="27.75" customHeight="1" x14ac:dyDescent="0.2">
      <c r="A39" s="324" t="s">
        <v>794</v>
      </c>
      <c r="B39" s="28" t="s">
        <v>1899</v>
      </c>
      <c r="C39" s="313" t="s">
        <v>846</v>
      </c>
      <c r="D39" s="331">
        <v>0</v>
      </c>
      <c r="E39" s="347" t="s">
        <v>840</v>
      </c>
    </row>
    <row r="40" spans="1:5" ht="27.75" customHeight="1" x14ac:dyDescent="0.2">
      <c r="A40" s="324" t="s">
        <v>801</v>
      </c>
      <c r="B40" s="28" t="s">
        <v>1900</v>
      </c>
      <c r="C40" s="313" t="s">
        <v>846</v>
      </c>
      <c r="D40" s="331">
        <v>0</v>
      </c>
      <c r="E40" s="347" t="s">
        <v>840</v>
      </c>
    </row>
    <row r="41" spans="1:5" ht="27.75" customHeight="1" x14ac:dyDescent="0.2">
      <c r="A41" s="324" t="s">
        <v>808</v>
      </c>
      <c r="B41" s="28" t="s">
        <v>1901</v>
      </c>
      <c r="C41" s="313" t="s">
        <v>846</v>
      </c>
      <c r="D41" s="331">
        <v>0</v>
      </c>
      <c r="E41" s="347" t="s">
        <v>840</v>
      </c>
    </row>
    <row r="42" spans="1:5" ht="27.75" customHeight="1" x14ac:dyDescent="0.2">
      <c r="A42" s="324" t="s">
        <v>815</v>
      </c>
      <c r="B42" s="28" t="s">
        <v>1902</v>
      </c>
      <c r="C42" s="313" t="s">
        <v>846</v>
      </c>
      <c r="D42" s="331">
        <v>0</v>
      </c>
      <c r="E42" s="347" t="s">
        <v>840</v>
      </c>
    </row>
    <row r="43" spans="1:5" ht="27.75" customHeight="1" x14ac:dyDescent="0.2">
      <c r="A43" s="324" t="s">
        <v>649</v>
      </c>
      <c r="B43" s="28" t="s">
        <v>840</v>
      </c>
      <c r="C43" s="313">
        <v>0</v>
      </c>
      <c r="D43" s="331">
        <v>0</v>
      </c>
      <c r="E43" s="347" t="s">
        <v>840</v>
      </c>
    </row>
    <row r="44" spans="1:5" ht="27.75" customHeight="1" x14ac:dyDescent="0.2">
      <c r="A44" s="324" t="s">
        <v>650</v>
      </c>
      <c r="B44" s="28" t="s">
        <v>1903</v>
      </c>
      <c r="C44" s="313">
        <v>0</v>
      </c>
      <c r="D44" s="331">
        <v>0</v>
      </c>
      <c r="E44" s="347" t="s">
        <v>840</v>
      </c>
    </row>
    <row r="45" spans="1:5" ht="27.75" customHeight="1" x14ac:dyDescent="0.2">
      <c r="A45" s="324" t="s">
        <v>651</v>
      </c>
      <c r="B45" s="28" t="s">
        <v>1904</v>
      </c>
      <c r="C45" s="313">
        <v>0</v>
      </c>
      <c r="D45" s="331">
        <v>0</v>
      </c>
      <c r="E45" s="347" t="s">
        <v>840</v>
      </c>
    </row>
    <row r="46" spans="1:5" ht="27.75" customHeight="1" x14ac:dyDescent="0.2">
      <c r="A46" s="324" t="s">
        <v>652</v>
      </c>
      <c r="B46" s="28" t="s">
        <v>1905</v>
      </c>
      <c r="C46" s="313">
        <v>0</v>
      </c>
      <c r="D46" s="331">
        <v>0</v>
      </c>
      <c r="E46" s="347" t="s">
        <v>840</v>
      </c>
    </row>
    <row r="47" spans="1:5" ht="27.75" customHeight="1" x14ac:dyDescent="0.2">
      <c r="A47" s="324" t="s">
        <v>653</v>
      </c>
      <c r="B47" s="28" t="s">
        <v>1906</v>
      </c>
      <c r="C47" s="313">
        <v>0</v>
      </c>
      <c r="D47" s="331">
        <v>0</v>
      </c>
      <c r="E47" s="347" t="s">
        <v>840</v>
      </c>
    </row>
    <row r="48" spans="1:5" ht="27.75" customHeight="1" x14ac:dyDescent="0.2">
      <c r="A48" s="324" t="s">
        <v>654</v>
      </c>
      <c r="B48" s="28" t="s">
        <v>840</v>
      </c>
      <c r="C48" s="313">
        <v>0</v>
      </c>
      <c r="D48" s="331">
        <v>0</v>
      </c>
      <c r="E48" s="347" t="s">
        <v>840</v>
      </c>
    </row>
    <row r="49" spans="1:5" ht="27.75" customHeight="1" x14ac:dyDescent="0.2">
      <c r="A49" s="324" t="s">
        <v>655</v>
      </c>
      <c r="B49" s="28" t="s">
        <v>1907</v>
      </c>
      <c r="C49" s="313">
        <v>0</v>
      </c>
      <c r="D49" s="331">
        <v>0</v>
      </c>
      <c r="E49" s="347" t="s">
        <v>840</v>
      </c>
    </row>
    <row r="50" spans="1:5" ht="27.75" customHeight="1" x14ac:dyDescent="0.2">
      <c r="A50" s="324" t="s">
        <v>656</v>
      </c>
      <c r="B50" s="28" t="s">
        <v>1908</v>
      </c>
      <c r="C50" s="313">
        <v>0</v>
      </c>
      <c r="D50" s="331">
        <v>0</v>
      </c>
      <c r="E50" s="347" t="s">
        <v>840</v>
      </c>
    </row>
    <row r="51" spans="1:5" ht="27.75" customHeight="1" x14ac:dyDescent="0.2">
      <c r="A51" s="324" t="s">
        <v>657</v>
      </c>
      <c r="B51" s="28" t="s">
        <v>1909</v>
      </c>
      <c r="C51" s="313">
        <v>0</v>
      </c>
      <c r="D51" s="331">
        <v>0</v>
      </c>
      <c r="E51" s="347" t="s">
        <v>840</v>
      </c>
    </row>
    <row r="52" spans="1:5" ht="27.75" customHeight="1" x14ac:dyDescent="0.2">
      <c r="A52" s="324" t="s">
        <v>658</v>
      </c>
      <c r="B52" s="28" t="s">
        <v>1910</v>
      </c>
      <c r="C52" s="313">
        <v>0</v>
      </c>
      <c r="D52" s="331">
        <v>0</v>
      </c>
      <c r="E52" s="347" t="s">
        <v>840</v>
      </c>
    </row>
    <row r="53" spans="1:5" ht="27.75" customHeight="1" x14ac:dyDescent="0.2">
      <c r="A53" s="324" t="s">
        <v>659</v>
      </c>
      <c r="B53" s="28" t="s">
        <v>840</v>
      </c>
      <c r="C53" s="313">
        <v>0</v>
      </c>
      <c r="D53" s="331">
        <v>0</v>
      </c>
      <c r="E53" s="347" t="s">
        <v>840</v>
      </c>
    </row>
    <row r="54" spans="1:5" ht="27.75" customHeight="1" x14ac:dyDescent="0.2">
      <c r="A54" s="324" t="s">
        <v>660</v>
      </c>
      <c r="B54" s="28" t="s">
        <v>1911</v>
      </c>
      <c r="C54" s="313">
        <v>0</v>
      </c>
      <c r="D54" s="331">
        <v>0</v>
      </c>
      <c r="E54" s="347" t="s">
        <v>840</v>
      </c>
    </row>
    <row r="55" spans="1:5" ht="27.75" customHeight="1" x14ac:dyDescent="0.2">
      <c r="A55" s="324" t="s">
        <v>661</v>
      </c>
      <c r="B55" s="28" t="s">
        <v>1912</v>
      </c>
      <c r="C55" s="313">
        <v>0</v>
      </c>
      <c r="D55" s="331">
        <v>0</v>
      </c>
      <c r="E55" s="347" t="s">
        <v>840</v>
      </c>
    </row>
    <row r="56" spans="1:5" ht="27.75" customHeight="1" x14ac:dyDescent="0.2">
      <c r="A56" s="324" t="s">
        <v>662</v>
      </c>
      <c r="B56" s="28" t="s">
        <v>1913</v>
      </c>
      <c r="C56" s="313">
        <v>0</v>
      </c>
      <c r="D56" s="331">
        <v>0</v>
      </c>
      <c r="E56" s="347" t="s">
        <v>840</v>
      </c>
    </row>
    <row r="57" spans="1:5" ht="27.75" customHeight="1" x14ac:dyDescent="0.2">
      <c r="A57" s="324" t="s">
        <v>663</v>
      </c>
      <c r="B57" s="28" t="s">
        <v>1914</v>
      </c>
      <c r="C57" s="313">
        <v>0</v>
      </c>
      <c r="D57" s="331">
        <v>0</v>
      </c>
      <c r="E57" s="347" t="s">
        <v>840</v>
      </c>
    </row>
    <row r="58" spans="1:5" ht="27.75" customHeight="1" x14ac:dyDescent="0.2">
      <c r="A58" s="324" t="s">
        <v>781</v>
      </c>
      <c r="B58" s="28" t="e">
        <v>#N/A</v>
      </c>
      <c r="C58" s="313" t="s">
        <v>845</v>
      </c>
      <c r="D58" s="330">
        <v>0</v>
      </c>
      <c r="E58" s="347" t="s">
        <v>840</v>
      </c>
    </row>
    <row r="59" spans="1:5" ht="27.75" customHeight="1" x14ac:dyDescent="0.2">
      <c r="A59" s="324" t="s">
        <v>788</v>
      </c>
      <c r="B59" s="28" t="s">
        <v>1915</v>
      </c>
      <c r="C59" s="313" t="s">
        <v>846</v>
      </c>
      <c r="D59" s="331">
        <v>0</v>
      </c>
      <c r="E59" s="347" t="s">
        <v>840</v>
      </c>
    </row>
    <row r="60" spans="1:5" ht="27.75" customHeight="1" x14ac:dyDescent="0.2">
      <c r="A60" s="324" t="s">
        <v>795</v>
      </c>
      <c r="B60" s="28" t="s">
        <v>1916</v>
      </c>
      <c r="C60" s="313" t="s">
        <v>846</v>
      </c>
      <c r="D60" s="331">
        <v>0</v>
      </c>
      <c r="E60" s="347" t="s">
        <v>840</v>
      </c>
    </row>
    <row r="61" spans="1:5" ht="27.75" customHeight="1" x14ac:dyDescent="0.2">
      <c r="A61" s="324" t="s">
        <v>802</v>
      </c>
      <c r="B61" s="28" t="s">
        <v>1917</v>
      </c>
      <c r="C61" s="313" t="s">
        <v>846</v>
      </c>
      <c r="D61" s="331">
        <v>0</v>
      </c>
      <c r="E61" s="347" t="s">
        <v>840</v>
      </c>
    </row>
    <row r="62" spans="1:5" ht="27.75" customHeight="1" x14ac:dyDescent="0.2">
      <c r="A62" s="324" t="s">
        <v>809</v>
      </c>
      <c r="B62" s="28" t="s">
        <v>1918</v>
      </c>
      <c r="C62" s="313" t="s">
        <v>846</v>
      </c>
      <c r="D62" s="331">
        <v>0</v>
      </c>
      <c r="E62" s="347" t="s">
        <v>840</v>
      </c>
    </row>
    <row r="63" spans="1:5" ht="27.75" customHeight="1" x14ac:dyDescent="0.2">
      <c r="A63" s="324" t="s">
        <v>816</v>
      </c>
      <c r="B63" s="28" t="s">
        <v>1919</v>
      </c>
      <c r="C63" s="313" t="s">
        <v>846</v>
      </c>
      <c r="D63" s="331">
        <v>0</v>
      </c>
      <c r="E63" s="347" t="s">
        <v>840</v>
      </c>
    </row>
    <row r="64" spans="1:5" ht="27.75" customHeight="1" x14ac:dyDescent="0.2">
      <c r="A64" s="324" t="s">
        <v>665</v>
      </c>
      <c r="B64" s="28" t="s">
        <v>840</v>
      </c>
      <c r="C64" s="313">
        <v>0</v>
      </c>
      <c r="D64" s="331">
        <v>0</v>
      </c>
      <c r="E64" s="347" t="s">
        <v>840</v>
      </c>
    </row>
    <row r="65" spans="1:5" ht="27.75" customHeight="1" x14ac:dyDescent="0.2">
      <c r="A65" s="324" t="s">
        <v>666</v>
      </c>
      <c r="B65" s="28" t="s">
        <v>1920</v>
      </c>
      <c r="C65" s="313">
        <v>0</v>
      </c>
      <c r="D65" s="331">
        <v>0</v>
      </c>
      <c r="E65" s="347" t="s">
        <v>840</v>
      </c>
    </row>
    <row r="66" spans="1:5" ht="27.75" customHeight="1" x14ac:dyDescent="0.2">
      <c r="A66" s="324" t="s">
        <v>667</v>
      </c>
      <c r="B66" s="28" t="s">
        <v>1921</v>
      </c>
      <c r="C66" s="313">
        <v>0</v>
      </c>
      <c r="D66" s="331">
        <v>0</v>
      </c>
      <c r="E66" s="347" t="s">
        <v>840</v>
      </c>
    </row>
    <row r="67" spans="1:5" ht="27.75" customHeight="1" x14ac:dyDescent="0.2">
      <c r="A67" s="324" t="s">
        <v>668</v>
      </c>
      <c r="B67" s="28" t="s">
        <v>1922</v>
      </c>
      <c r="C67" s="313">
        <v>0</v>
      </c>
      <c r="D67" s="331">
        <v>0</v>
      </c>
      <c r="E67" s="347" t="s">
        <v>840</v>
      </c>
    </row>
    <row r="68" spans="1:5" ht="27.75" customHeight="1" x14ac:dyDescent="0.2">
      <c r="A68" s="324" t="s">
        <v>669</v>
      </c>
      <c r="B68" s="28" t="s">
        <v>1923</v>
      </c>
      <c r="C68" s="313">
        <v>0</v>
      </c>
      <c r="D68" s="331">
        <v>0</v>
      </c>
      <c r="E68" s="347" t="s">
        <v>840</v>
      </c>
    </row>
    <row r="69" spans="1:5" ht="27.75" customHeight="1" x14ac:dyDescent="0.2">
      <c r="A69" s="324" t="s">
        <v>670</v>
      </c>
      <c r="B69" s="28" t="s">
        <v>840</v>
      </c>
      <c r="C69" s="313">
        <v>0</v>
      </c>
      <c r="D69" s="331">
        <v>0</v>
      </c>
      <c r="E69" s="347" t="s">
        <v>840</v>
      </c>
    </row>
    <row r="70" spans="1:5" ht="27.75" customHeight="1" x14ac:dyDescent="0.2">
      <c r="A70" s="324" t="s">
        <v>671</v>
      </c>
      <c r="B70" s="28" t="s">
        <v>1924</v>
      </c>
      <c r="C70" s="313">
        <v>0</v>
      </c>
      <c r="D70" s="331">
        <v>0</v>
      </c>
      <c r="E70" s="347" t="s">
        <v>840</v>
      </c>
    </row>
    <row r="71" spans="1:5" ht="27.75" customHeight="1" x14ac:dyDescent="0.2">
      <c r="A71" s="324" t="s">
        <v>672</v>
      </c>
      <c r="B71" s="28" t="s">
        <v>1925</v>
      </c>
      <c r="C71" s="313">
        <v>0</v>
      </c>
      <c r="D71" s="331">
        <v>0</v>
      </c>
      <c r="E71" s="347" t="s">
        <v>840</v>
      </c>
    </row>
    <row r="72" spans="1:5" ht="27.75" customHeight="1" x14ac:dyDescent="0.2">
      <c r="A72" s="324" t="s">
        <v>673</v>
      </c>
      <c r="B72" s="28" t="s">
        <v>1926</v>
      </c>
      <c r="C72" s="313">
        <v>0</v>
      </c>
      <c r="D72" s="331">
        <v>0</v>
      </c>
      <c r="E72" s="347" t="s">
        <v>840</v>
      </c>
    </row>
    <row r="73" spans="1:5" ht="27.75" customHeight="1" x14ac:dyDescent="0.2">
      <c r="A73" s="324" t="s">
        <v>674</v>
      </c>
      <c r="B73" s="28" t="s">
        <v>1927</v>
      </c>
      <c r="C73" s="313">
        <v>0</v>
      </c>
      <c r="D73" s="331">
        <v>0</v>
      </c>
      <c r="E73" s="347" t="s">
        <v>840</v>
      </c>
    </row>
    <row r="74" spans="1:5" ht="27.75" customHeight="1" x14ac:dyDescent="0.2">
      <c r="A74" s="324" t="s">
        <v>675</v>
      </c>
      <c r="B74" s="28" t="s">
        <v>840</v>
      </c>
      <c r="C74" s="313">
        <v>0</v>
      </c>
      <c r="D74" s="331">
        <v>0</v>
      </c>
      <c r="E74" s="347" t="s">
        <v>840</v>
      </c>
    </row>
    <row r="75" spans="1:5" ht="27.75" customHeight="1" x14ac:dyDescent="0.2">
      <c r="A75" s="324" t="s">
        <v>676</v>
      </c>
      <c r="B75" s="28" t="s">
        <v>1928</v>
      </c>
      <c r="C75" s="313">
        <v>0</v>
      </c>
      <c r="D75" s="331">
        <v>0</v>
      </c>
      <c r="E75" s="347" t="s">
        <v>840</v>
      </c>
    </row>
    <row r="76" spans="1:5" ht="27.75" customHeight="1" x14ac:dyDescent="0.2">
      <c r="A76" s="324" t="s">
        <v>677</v>
      </c>
      <c r="B76" s="28" t="s">
        <v>1929</v>
      </c>
      <c r="C76" s="313">
        <v>0</v>
      </c>
      <c r="D76" s="331">
        <v>0</v>
      </c>
      <c r="E76" s="347" t="s">
        <v>840</v>
      </c>
    </row>
    <row r="77" spans="1:5" ht="27.75" customHeight="1" x14ac:dyDescent="0.2">
      <c r="A77" s="324" t="s">
        <v>678</v>
      </c>
      <c r="B77" s="28" t="s">
        <v>1930</v>
      </c>
      <c r="C77" s="313">
        <v>0</v>
      </c>
      <c r="D77" s="331">
        <v>0</v>
      </c>
      <c r="E77" s="347" t="s">
        <v>840</v>
      </c>
    </row>
    <row r="78" spans="1:5" ht="27.75" customHeight="1" x14ac:dyDescent="0.2">
      <c r="A78" s="324" t="s">
        <v>679</v>
      </c>
      <c r="B78" s="28" t="s">
        <v>1931</v>
      </c>
      <c r="C78" s="313">
        <v>0</v>
      </c>
      <c r="D78" s="331">
        <v>0</v>
      </c>
      <c r="E78" s="347" t="s">
        <v>840</v>
      </c>
    </row>
    <row r="79" spans="1:5" ht="27.75" customHeight="1" x14ac:dyDescent="0.2">
      <c r="A79" s="324" t="s">
        <v>782</v>
      </c>
      <c r="B79" s="28" t="e">
        <v>#N/A</v>
      </c>
      <c r="C79" s="313" t="s">
        <v>845</v>
      </c>
      <c r="D79" s="330">
        <v>0</v>
      </c>
      <c r="E79" s="347" t="s">
        <v>840</v>
      </c>
    </row>
    <row r="80" spans="1:5" ht="27.75" customHeight="1" x14ac:dyDescent="0.2">
      <c r="A80" s="324" t="s">
        <v>789</v>
      </c>
      <c r="B80" s="28" t="s">
        <v>1932</v>
      </c>
      <c r="C80" s="313" t="s">
        <v>846</v>
      </c>
      <c r="D80" s="331">
        <v>0</v>
      </c>
      <c r="E80" s="347" t="s">
        <v>840</v>
      </c>
    </row>
    <row r="81" spans="1:5" ht="27.75" customHeight="1" x14ac:dyDescent="0.2">
      <c r="A81" s="324" t="s">
        <v>796</v>
      </c>
      <c r="B81" s="28" t="s">
        <v>1933</v>
      </c>
      <c r="C81" s="313" t="s">
        <v>846</v>
      </c>
      <c r="D81" s="331">
        <v>0</v>
      </c>
      <c r="E81" s="347" t="s">
        <v>840</v>
      </c>
    </row>
    <row r="82" spans="1:5" ht="27.75" customHeight="1" x14ac:dyDescent="0.2">
      <c r="A82" s="324" t="s">
        <v>803</v>
      </c>
      <c r="B82" s="28" t="s">
        <v>1934</v>
      </c>
      <c r="C82" s="313" t="s">
        <v>846</v>
      </c>
      <c r="D82" s="331">
        <v>0</v>
      </c>
      <c r="E82" s="347" t="s">
        <v>840</v>
      </c>
    </row>
    <row r="83" spans="1:5" ht="27.75" customHeight="1" x14ac:dyDescent="0.2">
      <c r="A83" s="324" t="s">
        <v>810</v>
      </c>
      <c r="B83" s="28" t="s">
        <v>1935</v>
      </c>
      <c r="C83" s="313" t="s">
        <v>846</v>
      </c>
      <c r="D83" s="331">
        <v>0</v>
      </c>
      <c r="E83" s="347" t="s">
        <v>840</v>
      </c>
    </row>
    <row r="84" spans="1:5" ht="27.75" customHeight="1" x14ac:dyDescent="0.2">
      <c r="A84" s="324" t="s">
        <v>817</v>
      </c>
      <c r="B84" s="28" t="s">
        <v>1936</v>
      </c>
      <c r="C84" s="313" t="s">
        <v>846</v>
      </c>
      <c r="D84" s="331">
        <v>0</v>
      </c>
      <c r="E84" s="347" t="s">
        <v>840</v>
      </c>
    </row>
    <row r="85" spans="1:5" ht="27.75" customHeight="1" x14ac:dyDescent="0.2">
      <c r="A85" s="324" t="s">
        <v>681</v>
      </c>
      <c r="B85" s="28" t="s">
        <v>840</v>
      </c>
      <c r="C85" s="313">
        <v>0</v>
      </c>
      <c r="D85" s="331">
        <v>0</v>
      </c>
      <c r="E85" s="347" t="s">
        <v>840</v>
      </c>
    </row>
    <row r="86" spans="1:5" ht="27.75" customHeight="1" x14ac:dyDescent="0.2">
      <c r="A86" s="324" t="s">
        <v>682</v>
      </c>
      <c r="B86" s="28" t="s">
        <v>1937</v>
      </c>
      <c r="C86" s="313">
        <v>0</v>
      </c>
      <c r="D86" s="331">
        <v>0</v>
      </c>
      <c r="E86" s="347" t="s">
        <v>840</v>
      </c>
    </row>
    <row r="87" spans="1:5" ht="27.75" customHeight="1" x14ac:dyDescent="0.2">
      <c r="A87" s="324" t="s">
        <v>683</v>
      </c>
      <c r="B87" s="28" t="s">
        <v>1938</v>
      </c>
      <c r="C87" s="313">
        <v>0</v>
      </c>
      <c r="D87" s="331">
        <v>0</v>
      </c>
      <c r="E87" s="347" t="s">
        <v>840</v>
      </c>
    </row>
    <row r="88" spans="1:5" ht="27.75" customHeight="1" x14ac:dyDescent="0.2">
      <c r="A88" s="324" t="s">
        <v>684</v>
      </c>
      <c r="B88" s="28" t="s">
        <v>1939</v>
      </c>
      <c r="C88" s="313">
        <v>0</v>
      </c>
      <c r="D88" s="331">
        <v>0</v>
      </c>
      <c r="E88" s="347" t="s">
        <v>840</v>
      </c>
    </row>
    <row r="89" spans="1:5" ht="27.75" customHeight="1" x14ac:dyDescent="0.2">
      <c r="A89" s="324" t="s">
        <v>685</v>
      </c>
      <c r="B89" s="28" t="s">
        <v>1940</v>
      </c>
      <c r="C89" s="313">
        <v>0</v>
      </c>
      <c r="D89" s="331">
        <v>0</v>
      </c>
      <c r="E89" s="347" t="s">
        <v>840</v>
      </c>
    </row>
    <row r="90" spans="1:5" ht="27.75" customHeight="1" x14ac:dyDescent="0.2">
      <c r="A90" s="324" t="s">
        <v>686</v>
      </c>
      <c r="B90" s="28" t="s">
        <v>840</v>
      </c>
      <c r="C90" s="313">
        <v>0</v>
      </c>
      <c r="D90" s="331">
        <v>0</v>
      </c>
      <c r="E90" s="347" t="s">
        <v>840</v>
      </c>
    </row>
    <row r="91" spans="1:5" ht="27.75" customHeight="1" x14ac:dyDescent="0.2">
      <c r="A91" s="324" t="s">
        <v>687</v>
      </c>
      <c r="B91" s="28" t="s">
        <v>1941</v>
      </c>
      <c r="C91" s="313">
        <v>0</v>
      </c>
      <c r="D91" s="331">
        <v>0</v>
      </c>
      <c r="E91" s="347" t="s">
        <v>840</v>
      </c>
    </row>
    <row r="92" spans="1:5" ht="27.75" customHeight="1" x14ac:dyDescent="0.2">
      <c r="A92" s="324" t="s">
        <v>688</v>
      </c>
      <c r="B92" s="28" t="s">
        <v>1942</v>
      </c>
      <c r="C92" s="313">
        <v>0</v>
      </c>
      <c r="D92" s="331">
        <v>0</v>
      </c>
      <c r="E92" s="347" t="s">
        <v>840</v>
      </c>
    </row>
    <row r="93" spans="1:5" ht="27.75" customHeight="1" x14ac:dyDescent="0.2">
      <c r="A93" s="324" t="s">
        <v>689</v>
      </c>
      <c r="B93" s="28" t="s">
        <v>1943</v>
      </c>
      <c r="C93" s="313">
        <v>0</v>
      </c>
      <c r="D93" s="331">
        <v>0</v>
      </c>
      <c r="E93" s="347" t="s">
        <v>840</v>
      </c>
    </row>
    <row r="94" spans="1:5" ht="27.75" customHeight="1" x14ac:dyDescent="0.2">
      <c r="A94" s="324" t="s">
        <v>690</v>
      </c>
      <c r="B94" s="28" t="s">
        <v>1944</v>
      </c>
      <c r="C94" s="313">
        <v>0</v>
      </c>
      <c r="D94" s="331">
        <v>0</v>
      </c>
      <c r="E94" s="347" t="s">
        <v>840</v>
      </c>
    </row>
    <row r="95" spans="1:5" ht="27.75" customHeight="1" x14ac:dyDescent="0.2">
      <c r="A95" s="324" t="s">
        <v>691</v>
      </c>
      <c r="B95" s="28" t="s">
        <v>840</v>
      </c>
      <c r="C95" s="313">
        <v>0</v>
      </c>
      <c r="D95" s="331">
        <v>0</v>
      </c>
      <c r="E95" s="347" t="s">
        <v>840</v>
      </c>
    </row>
    <row r="96" spans="1:5" ht="27.75" customHeight="1" x14ac:dyDescent="0.2">
      <c r="A96" s="324" t="s">
        <v>692</v>
      </c>
      <c r="B96" s="28" t="s">
        <v>1945</v>
      </c>
      <c r="C96" s="313">
        <v>0</v>
      </c>
      <c r="D96" s="331">
        <v>0</v>
      </c>
      <c r="E96" s="347" t="s">
        <v>840</v>
      </c>
    </row>
    <row r="97" spans="1:5" ht="27.75" customHeight="1" x14ac:dyDescent="0.2">
      <c r="A97" s="324" t="s">
        <v>693</v>
      </c>
      <c r="B97" s="28" t="s">
        <v>1946</v>
      </c>
      <c r="C97" s="313">
        <v>0</v>
      </c>
      <c r="D97" s="331">
        <v>0</v>
      </c>
      <c r="E97" s="347" t="s">
        <v>840</v>
      </c>
    </row>
    <row r="98" spans="1:5" ht="27.75" customHeight="1" x14ac:dyDescent="0.2">
      <c r="A98" s="324" t="s">
        <v>694</v>
      </c>
      <c r="B98" s="28" t="s">
        <v>1947</v>
      </c>
      <c r="C98" s="313">
        <v>0</v>
      </c>
      <c r="D98" s="331">
        <v>0</v>
      </c>
      <c r="E98" s="347" t="s">
        <v>840</v>
      </c>
    </row>
    <row r="99" spans="1:5" ht="27.75" customHeight="1" x14ac:dyDescent="0.2">
      <c r="A99" s="324" t="s">
        <v>695</v>
      </c>
      <c r="B99" s="28"/>
      <c r="C99" s="313">
        <v>0</v>
      </c>
      <c r="D99" s="331">
        <v>0</v>
      </c>
      <c r="E99" s="347" t="s">
        <v>840</v>
      </c>
    </row>
    <row r="100" spans="1:5" ht="27.75" customHeight="1" x14ac:dyDescent="0.2">
      <c r="A100" s="324" t="s">
        <v>783</v>
      </c>
      <c r="B100" s="28"/>
      <c r="C100" s="313" t="s">
        <v>845</v>
      </c>
      <c r="D100" s="330">
        <v>0</v>
      </c>
      <c r="E100" s="347" t="s">
        <v>840</v>
      </c>
    </row>
    <row r="101" spans="1:5" ht="27.75" customHeight="1" x14ac:dyDescent="0.2">
      <c r="A101" s="324" t="s">
        <v>790</v>
      </c>
      <c r="B101" s="28"/>
      <c r="C101" s="313" t="s">
        <v>846</v>
      </c>
      <c r="D101" s="331">
        <v>0</v>
      </c>
      <c r="E101" s="347" t="s">
        <v>840</v>
      </c>
    </row>
    <row r="102" spans="1:5" ht="27.75" customHeight="1" x14ac:dyDescent="0.2">
      <c r="A102" s="324" t="s">
        <v>797</v>
      </c>
      <c r="B102" s="28"/>
      <c r="C102" s="313" t="s">
        <v>846</v>
      </c>
      <c r="D102" s="331">
        <v>0</v>
      </c>
      <c r="E102" s="347" t="s">
        <v>840</v>
      </c>
    </row>
    <row r="103" spans="1:5" ht="27.75" customHeight="1" x14ac:dyDescent="0.2">
      <c r="A103" s="324" t="s">
        <v>804</v>
      </c>
      <c r="B103" s="28"/>
      <c r="C103" s="313" t="s">
        <v>846</v>
      </c>
      <c r="D103" s="331">
        <v>0</v>
      </c>
      <c r="E103" s="347" t="s">
        <v>840</v>
      </c>
    </row>
    <row r="104" spans="1:5" ht="27.75" customHeight="1" x14ac:dyDescent="0.2">
      <c r="A104" s="324" t="s">
        <v>811</v>
      </c>
      <c r="B104" s="28"/>
      <c r="C104" s="313" t="s">
        <v>846</v>
      </c>
      <c r="D104" s="331">
        <v>0</v>
      </c>
      <c r="E104" s="347" t="s">
        <v>840</v>
      </c>
    </row>
    <row r="105" spans="1:5" ht="27.75" customHeight="1" x14ac:dyDescent="0.2">
      <c r="A105" s="324" t="s">
        <v>818</v>
      </c>
      <c r="B105" s="28"/>
      <c r="C105" s="313" t="s">
        <v>846</v>
      </c>
      <c r="D105" s="331">
        <v>0</v>
      </c>
      <c r="E105" s="347" t="s">
        <v>840</v>
      </c>
    </row>
    <row r="106" spans="1:5" ht="27.75" customHeight="1" x14ac:dyDescent="0.2">
      <c r="A106" s="324" t="s">
        <v>697</v>
      </c>
      <c r="B106" s="28"/>
      <c r="C106" s="313">
        <v>0</v>
      </c>
      <c r="D106" s="331">
        <v>0</v>
      </c>
      <c r="E106" s="347" t="s">
        <v>840</v>
      </c>
    </row>
    <row r="107" spans="1:5" ht="27.75" customHeight="1" x14ac:dyDescent="0.2">
      <c r="A107" s="324" t="s">
        <v>698</v>
      </c>
      <c r="B107" s="28"/>
      <c r="C107" s="313">
        <v>0</v>
      </c>
      <c r="D107" s="331">
        <v>0</v>
      </c>
      <c r="E107" s="347" t="s">
        <v>840</v>
      </c>
    </row>
    <row r="108" spans="1:5" ht="27.75" customHeight="1" x14ac:dyDescent="0.2">
      <c r="A108" s="324" t="s">
        <v>699</v>
      </c>
      <c r="B108" s="28"/>
      <c r="C108" s="313">
        <v>0</v>
      </c>
      <c r="D108" s="331">
        <v>0</v>
      </c>
      <c r="E108" s="347" t="s">
        <v>840</v>
      </c>
    </row>
    <row r="109" spans="1:5" ht="27.75" customHeight="1" x14ac:dyDescent="0.2">
      <c r="A109" s="324" t="s">
        <v>700</v>
      </c>
      <c r="B109" s="28"/>
      <c r="C109" s="313">
        <v>0</v>
      </c>
      <c r="D109" s="331">
        <v>0</v>
      </c>
      <c r="E109" s="347" t="s">
        <v>840</v>
      </c>
    </row>
    <row r="110" spans="1:5" ht="27.75" customHeight="1" x14ac:dyDescent="0.2">
      <c r="A110" s="324" t="s">
        <v>701</v>
      </c>
      <c r="B110" s="28"/>
      <c r="C110" s="313">
        <v>0</v>
      </c>
      <c r="D110" s="331">
        <v>0</v>
      </c>
      <c r="E110" s="347" t="s">
        <v>840</v>
      </c>
    </row>
    <row r="111" spans="1:5" ht="27.75" customHeight="1" x14ac:dyDescent="0.2">
      <c r="A111" s="324" t="s">
        <v>702</v>
      </c>
      <c r="B111" s="28"/>
      <c r="C111" s="313">
        <v>0</v>
      </c>
      <c r="D111" s="331">
        <v>0</v>
      </c>
      <c r="E111" s="347" t="s">
        <v>840</v>
      </c>
    </row>
    <row r="112" spans="1:5" ht="27.75" customHeight="1" x14ac:dyDescent="0.2">
      <c r="A112" s="324" t="s">
        <v>703</v>
      </c>
      <c r="B112" s="28"/>
      <c r="C112" s="313">
        <v>0</v>
      </c>
      <c r="D112" s="331">
        <v>0</v>
      </c>
      <c r="E112" s="347" t="s">
        <v>840</v>
      </c>
    </row>
    <row r="113" spans="1:5" ht="27.75" customHeight="1" x14ac:dyDescent="0.2">
      <c r="A113" s="324" t="s">
        <v>704</v>
      </c>
      <c r="B113" s="28"/>
      <c r="C113" s="313">
        <v>0</v>
      </c>
      <c r="D113" s="331">
        <v>0</v>
      </c>
      <c r="E113" s="347" t="s">
        <v>840</v>
      </c>
    </row>
    <row r="114" spans="1:5" ht="27.75" customHeight="1" x14ac:dyDescent="0.2">
      <c r="A114" s="324" t="s">
        <v>705</v>
      </c>
      <c r="B114" s="28"/>
      <c r="C114" s="313">
        <v>0</v>
      </c>
      <c r="D114" s="331">
        <v>0</v>
      </c>
      <c r="E114" s="347" t="s">
        <v>840</v>
      </c>
    </row>
    <row r="115" spans="1:5" ht="27.75" customHeight="1" x14ac:dyDescent="0.2">
      <c r="A115" s="324" t="s">
        <v>706</v>
      </c>
      <c r="B115" s="28"/>
      <c r="C115" s="313">
        <v>0</v>
      </c>
      <c r="D115" s="331">
        <v>0</v>
      </c>
      <c r="E115" s="347" t="s">
        <v>840</v>
      </c>
    </row>
    <row r="116" spans="1:5" ht="27.75" customHeight="1" x14ac:dyDescent="0.2">
      <c r="A116" s="324" t="s">
        <v>707</v>
      </c>
      <c r="B116" s="28"/>
      <c r="C116" s="313">
        <v>0</v>
      </c>
      <c r="D116" s="331">
        <v>0</v>
      </c>
      <c r="E116" s="347" t="s">
        <v>840</v>
      </c>
    </row>
    <row r="117" spans="1:5" ht="27.75" customHeight="1" x14ac:dyDescent="0.2">
      <c r="A117" s="324" t="s">
        <v>708</v>
      </c>
      <c r="B117" s="28"/>
      <c r="C117" s="313">
        <v>0</v>
      </c>
      <c r="D117" s="331">
        <v>0</v>
      </c>
      <c r="E117" s="347" t="s">
        <v>840</v>
      </c>
    </row>
    <row r="118" spans="1:5" ht="27.75" customHeight="1" x14ac:dyDescent="0.2">
      <c r="A118" s="324" t="s">
        <v>709</v>
      </c>
      <c r="B118" s="28"/>
      <c r="C118" s="313">
        <v>0</v>
      </c>
      <c r="D118" s="331">
        <v>0</v>
      </c>
      <c r="E118" s="347" t="s">
        <v>840</v>
      </c>
    </row>
    <row r="119" spans="1:5" ht="27.75" customHeight="1" x14ac:dyDescent="0.2">
      <c r="A119" s="324" t="s">
        <v>710</v>
      </c>
      <c r="B119" s="28"/>
      <c r="C119" s="313">
        <v>0</v>
      </c>
      <c r="D119" s="331">
        <v>0</v>
      </c>
      <c r="E119" s="347" t="s">
        <v>840</v>
      </c>
    </row>
    <row r="120" spans="1:5" ht="27.75" customHeight="1" x14ac:dyDescent="0.2">
      <c r="A120" s="324" t="s">
        <v>711</v>
      </c>
      <c r="B120" s="28"/>
      <c r="C120" s="313">
        <v>0</v>
      </c>
      <c r="D120" s="331">
        <v>0</v>
      </c>
      <c r="E120" s="347" t="s">
        <v>840</v>
      </c>
    </row>
    <row r="121" spans="1:5" ht="27.75" customHeight="1" x14ac:dyDescent="0.2">
      <c r="A121" s="324" t="s">
        <v>784</v>
      </c>
      <c r="B121" s="28"/>
      <c r="C121" s="313" t="s">
        <v>845</v>
      </c>
      <c r="D121" s="330">
        <v>0</v>
      </c>
      <c r="E121" s="347" t="s">
        <v>840</v>
      </c>
    </row>
    <row r="122" spans="1:5" ht="27.75" customHeight="1" x14ac:dyDescent="0.2">
      <c r="A122" s="324" t="s">
        <v>791</v>
      </c>
      <c r="B122" s="28"/>
      <c r="C122" s="313" t="s">
        <v>846</v>
      </c>
      <c r="D122" s="331">
        <v>0</v>
      </c>
      <c r="E122" s="347" t="s">
        <v>840</v>
      </c>
    </row>
    <row r="123" spans="1:5" ht="27.75" customHeight="1" x14ac:dyDescent="0.2">
      <c r="A123" s="324" t="s">
        <v>798</v>
      </c>
      <c r="B123" s="28"/>
      <c r="C123" s="313" t="s">
        <v>846</v>
      </c>
      <c r="D123" s="331">
        <v>0</v>
      </c>
      <c r="E123" s="347" t="s">
        <v>840</v>
      </c>
    </row>
    <row r="124" spans="1:5" ht="27.75" customHeight="1" x14ac:dyDescent="0.2">
      <c r="A124" s="324" t="s">
        <v>805</v>
      </c>
      <c r="B124" s="28"/>
      <c r="C124" s="313" t="s">
        <v>846</v>
      </c>
      <c r="D124" s="331">
        <v>0</v>
      </c>
      <c r="E124" s="347" t="s">
        <v>840</v>
      </c>
    </row>
    <row r="125" spans="1:5" ht="27.75" customHeight="1" x14ac:dyDescent="0.2">
      <c r="A125" s="324" t="s">
        <v>812</v>
      </c>
      <c r="B125" s="28"/>
      <c r="C125" s="313" t="s">
        <v>846</v>
      </c>
      <c r="D125" s="331">
        <v>0</v>
      </c>
      <c r="E125" s="347" t="s">
        <v>840</v>
      </c>
    </row>
    <row r="126" spans="1:5" ht="27.75" customHeight="1" x14ac:dyDescent="0.2">
      <c r="A126" s="324" t="s">
        <v>819</v>
      </c>
      <c r="B126" s="28"/>
      <c r="C126" s="313" t="s">
        <v>846</v>
      </c>
      <c r="D126" s="331">
        <v>0</v>
      </c>
      <c r="E126" s="347" t="s">
        <v>840</v>
      </c>
    </row>
    <row r="127" spans="1:5" ht="27.75" customHeight="1" x14ac:dyDescent="0.2">
      <c r="A127" s="324" t="s">
        <v>713</v>
      </c>
      <c r="B127" s="28"/>
      <c r="C127" s="313">
        <v>0</v>
      </c>
      <c r="D127" s="331">
        <v>0</v>
      </c>
      <c r="E127" s="347" t="s">
        <v>840</v>
      </c>
    </row>
    <row r="128" spans="1:5" ht="27.75" customHeight="1" x14ac:dyDescent="0.2">
      <c r="A128" s="324" t="s">
        <v>714</v>
      </c>
      <c r="B128" s="28"/>
      <c r="C128" s="313">
        <v>0</v>
      </c>
      <c r="D128" s="331">
        <v>0</v>
      </c>
      <c r="E128" s="347" t="s">
        <v>840</v>
      </c>
    </row>
    <row r="129" spans="1:5" ht="27.75" customHeight="1" x14ac:dyDescent="0.2">
      <c r="A129" s="324" t="s">
        <v>715</v>
      </c>
      <c r="B129" s="28"/>
      <c r="C129" s="313">
        <v>0</v>
      </c>
      <c r="D129" s="331">
        <v>0</v>
      </c>
      <c r="E129" s="347" t="s">
        <v>840</v>
      </c>
    </row>
    <row r="130" spans="1:5" ht="27.75" customHeight="1" x14ac:dyDescent="0.2">
      <c r="A130" s="324" t="s">
        <v>716</v>
      </c>
      <c r="B130" s="28"/>
      <c r="C130" s="313">
        <v>0</v>
      </c>
      <c r="D130" s="331">
        <v>0</v>
      </c>
      <c r="E130" s="347" t="s">
        <v>840</v>
      </c>
    </row>
    <row r="131" spans="1:5" ht="27.75" customHeight="1" x14ac:dyDescent="0.2">
      <c r="A131" s="324" t="s">
        <v>717</v>
      </c>
      <c r="B131" s="28"/>
      <c r="C131" s="313">
        <v>0</v>
      </c>
      <c r="D131" s="331">
        <v>0</v>
      </c>
      <c r="E131" s="347" t="s">
        <v>840</v>
      </c>
    </row>
    <row r="132" spans="1:5" ht="27.75" customHeight="1" x14ac:dyDescent="0.2">
      <c r="A132" s="324" t="s">
        <v>718</v>
      </c>
      <c r="B132" s="28"/>
      <c r="C132" s="313">
        <v>0</v>
      </c>
      <c r="D132" s="331">
        <v>0</v>
      </c>
      <c r="E132" s="347" t="s">
        <v>840</v>
      </c>
    </row>
    <row r="133" spans="1:5" ht="27.75" customHeight="1" x14ac:dyDescent="0.2">
      <c r="A133" s="324" t="s">
        <v>719</v>
      </c>
      <c r="B133" s="28"/>
      <c r="C133" s="313">
        <v>0</v>
      </c>
      <c r="D133" s="331">
        <v>0</v>
      </c>
      <c r="E133" s="347" t="s">
        <v>840</v>
      </c>
    </row>
    <row r="134" spans="1:5" ht="27.75" customHeight="1" x14ac:dyDescent="0.2">
      <c r="A134" s="324" t="s">
        <v>720</v>
      </c>
      <c r="B134" s="28"/>
      <c r="C134" s="313">
        <v>0</v>
      </c>
      <c r="D134" s="331">
        <v>0</v>
      </c>
      <c r="E134" s="347" t="s">
        <v>840</v>
      </c>
    </row>
    <row r="135" spans="1:5" ht="27.75" customHeight="1" x14ac:dyDescent="0.2">
      <c r="A135" s="324" t="s">
        <v>721</v>
      </c>
      <c r="B135" s="28"/>
      <c r="C135" s="313">
        <v>0</v>
      </c>
      <c r="D135" s="331">
        <v>0</v>
      </c>
      <c r="E135" s="347" t="s">
        <v>840</v>
      </c>
    </row>
    <row r="136" spans="1:5" ht="27.75" customHeight="1" x14ac:dyDescent="0.2">
      <c r="A136" s="324" t="s">
        <v>722</v>
      </c>
      <c r="B136" s="28"/>
      <c r="C136" s="313">
        <v>0</v>
      </c>
      <c r="D136" s="331">
        <v>0</v>
      </c>
      <c r="E136" s="347" t="s">
        <v>840</v>
      </c>
    </row>
    <row r="137" spans="1:5" ht="27.75" customHeight="1" x14ac:dyDescent="0.2">
      <c r="A137" s="324" t="s">
        <v>723</v>
      </c>
      <c r="B137" s="28"/>
      <c r="C137" s="313">
        <v>0</v>
      </c>
      <c r="D137" s="331">
        <v>0</v>
      </c>
      <c r="E137" s="347" t="s">
        <v>840</v>
      </c>
    </row>
    <row r="138" spans="1:5" ht="27.75" customHeight="1" x14ac:dyDescent="0.2">
      <c r="A138" s="324" t="s">
        <v>724</v>
      </c>
      <c r="B138" s="28"/>
      <c r="C138" s="313">
        <v>0</v>
      </c>
      <c r="D138" s="331">
        <v>0</v>
      </c>
      <c r="E138" s="347" t="s">
        <v>840</v>
      </c>
    </row>
    <row r="139" spans="1:5" ht="27.75" customHeight="1" x14ac:dyDescent="0.2">
      <c r="A139" s="324" t="s">
        <v>725</v>
      </c>
      <c r="B139" s="28"/>
      <c r="C139" s="313">
        <v>0</v>
      </c>
      <c r="D139" s="331">
        <v>0</v>
      </c>
      <c r="E139" s="347" t="s">
        <v>840</v>
      </c>
    </row>
    <row r="140" spans="1:5" ht="27.75" customHeight="1" x14ac:dyDescent="0.2">
      <c r="A140" s="324" t="s">
        <v>726</v>
      </c>
      <c r="B140" s="28"/>
      <c r="C140" s="313">
        <v>0</v>
      </c>
      <c r="D140" s="331">
        <v>0</v>
      </c>
      <c r="E140" s="347" t="s">
        <v>840</v>
      </c>
    </row>
    <row r="141" spans="1:5" ht="27.75" customHeight="1" x14ac:dyDescent="0.2">
      <c r="A141" s="324" t="s">
        <v>727</v>
      </c>
      <c r="B141" s="28"/>
      <c r="C141" s="313">
        <v>0</v>
      </c>
      <c r="D141" s="331">
        <v>0</v>
      </c>
      <c r="E141" s="347" t="s">
        <v>840</v>
      </c>
    </row>
    <row r="142" spans="1:5" ht="27.75" customHeight="1" x14ac:dyDescent="0.2">
      <c r="A142" s="324" t="s">
        <v>785</v>
      </c>
      <c r="B142" s="28"/>
      <c r="C142" s="313" t="s">
        <v>845</v>
      </c>
      <c r="D142" s="330">
        <v>0</v>
      </c>
      <c r="E142" s="347" t="s">
        <v>840</v>
      </c>
    </row>
    <row r="143" spans="1:5" ht="27.75" customHeight="1" x14ac:dyDescent="0.2">
      <c r="A143" s="324" t="s">
        <v>792</v>
      </c>
      <c r="B143" s="28"/>
      <c r="C143" s="313" t="s">
        <v>846</v>
      </c>
      <c r="D143" s="331">
        <v>0</v>
      </c>
      <c r="E143" s="347" t="s">
        <v>840</v>
      </c>
    </row>
    <row r="144" spans="1:5" ht="27.75" customHeight="1" x14ac:dyDescent="0.2">
      <c r="A144" s="324" t="s">
        <v>799</v>
      </c>
      <c r="B144" s="28"/>
      <c r="C144" s="313" t="s">
        <v>846</v>
      </c>
      <c r="D144" s="331">
        <v>0</v>
      </c>
      <c r="E144" s="347" t="s">
        <v>840</v>
      </c>
    </row>
    <row r="145" spans="1:5" ht="27.75" customHeight="1" x14ac:dyDescent="0.2">
      <c r="A145" s="324" t="s">
        <v>806</v>
      </c>
      <c r="B145" s="28"/>
      <c r="C145" s="313" t="s">
        <v>846</v>
      </c>
      <c r="D145" s="331">
        <v>0</v>
      </c>
      <c r="E145" s="347" t="s">
        <v>840</v>
      </c>
    </row>
    <row r="146" spans="1:5" ht="27.75" customHeight="1" x14ac:dyDescent="0.2">
      <c r="A146" s="324" t="s">
        <v>813</v>
      </c>
      <c r="B146" s="28"/>
      <c r="C146" s="313" t="s">
        <v>846</v>
      </c>
      <c r="D146" s="331">
        <v>0</v>
      </c>
      <c r="E146" s="347" t="s">
        <v>840</v>
      </c>
    </row>
    <row r="147" spans="1:5" ht="27.75" customHeight="1" x14ac:dyDescent="0.2">
      <c r="A147" s="324" t="s">
        <v>820</v>
      </c>
      <c r="B147" s="28"/>
      <c r="C147" s="313" t="s">
        <v>846</v>
      </c>
      <c r="D147" s="331">
        <v>0</v>
      </c>
      <c r="E147" s="347" t="s">
        <v>840</v>
      </c>
    </row>
    <row r="148" spans="1:5" ht="27.75" customHeight="1" x14ac:dyDescent="0.2">
      <c r="A148" s="324" t="s">
        <v>729</v>
      </c>
      <c r="B148" s="28"/>
      <c r="C148" s="313">
        <v>0</v>
      </c>
      <c r="D148" s="331">
        <v>0</v>
      </c>
      <c r="E148" s="347" t="s">
        <v>840</v>
      </c>
    </row>
    <row r="149" spans="1:5" ht="27.75" customHeight="1" x14ac:dyDescent="0.2">
      <c r="A149" s="324" t="s">
        <v>730</v>
      </c>
      <c r="B149" s="28"/>
      <c r="C149" s="313">
        <v>0</v>
      </c>
      <c r="D149" s="331">
        <v>0</v>
      </c>
      <c r="E149" s="347" t="s">
        <v>840</v>
      </c>
    </row>
    <row r="150" spans="1:5" ht="27.75" customHeight="1" x14ac:dyDescent="0.2">
      <c r="A150" s="324" t="s">
        <v>731</v>
      </c>
      <c r="B150" s="28"/>
      <c r="C150" s="313">
        <v>0</v>
      </c>
      <c r="D150" s="331">
        <v>0</v>
      </c>
      <c r="E150" s="347" t="s">
        <v>840</v>
      </c>
    </row>
    <row r="151" spans="1:5" ht="27.75" customHeight="1" x14ac:dyDescent="0.2">
      <c r="A151" s="324" t="s">
        <v>732</v>
      </c>
      <c r="B151" s="28"/>
      <c r="C151" s="313">
        <v>0</v>
      </c>
      <c r="D151" s="331">
        <v>0</v>
      </c>
      <c r="E151" s="347" t="s">
        <v>840</v>
      </c>
    </row>
    <row r="152" spans="1:5" ht="27.75" customHeight="1" x14ac:dyDescent="0.2">
      <c r="A152" s="324" t="s">
        <v>733</v>
      </c>
      <c r="B152" s="28"/>
      <c r="C152" s="313">
        <v>0</v>
      </c>
      <c r="D152" s="331">
        <v>0</v>
      </c>
      <c r="E152" s="347" t="s">
        <v>840</v>
      </c>
    </row>
    <row r="153" spans="1:5" ht="27.75" customHeight="1" x14ac:dyDescent="0.2">
      <c r="A153" s="324" t="s">
        <v>734</v>
      </c>
      <c r="B153" s="28"/>
      <c r="C153" s="313">
        <v>0</v>
      </c>
      <c r="D153" s="331">
        <v>0</v>
      </c>
      <c r="E153" s="347" t="s">
        <v>840</v>
      </c>
    </row>
    <row r="154" spans="1:5" ht="27.75" customHeight="1" x14ac:dyDescent="0.2">
      <c r="A154" s="324" t="s">
        <v>735</v>
      </c>
      <c r="B154" s="28"/>
      <c r="C154" s="313">
        <v>0</v>
      </c>
      <c r="D154" s="331">
        <v>0</v>
      </c>
      <c r="E154" s="347" t="s">
        <v>840</v>
      </c>
    </row>
    <row r="155" spans="1:5" ht="27.75" customHeight="1" x14ac:dyDescent="0.2">
      <c r="A155" s="324" t="s">
        <v>736</v>
      </c>
      <c r="B155" s="28"/>
      <c r="C155" s="313">
        <v>0</v>
      </c>
      <c r="D155" s="331">
        <v>0</v>
      </c>
      <c r="E155" s="347" t="s">
        <v>840</v>
      </c>
    </row>
    <row r="156" spans="1:5" ht="27.75" customHeight="1" x14ac:dyDescent="0.2">
      <c r="A156" s="324" t="s">
        <v>737</v>
      </c>
      <c r="B156" s="28"/>
      <c r="C156" s="313">
        <v>0</v>
      </c>
      <c r="D156" s="331">
        <v>0</v>
      </c>
      <c r="E156" s="347" t="s">
        <v>840</v>
      </c>
    </row>
    <row r="157" spans="1:5" ht="27.75" customHeight="1" x14ac:dyDescent="0.2">
      <c r="A157" s="324" t="s">
        <v>738</v>
      </c>
      <c r="B157" s="28"/>
      <c r="C157" s="313">
        <v>0</v>
      </c>
      <c r="D157" s="331">
        <v>0</v>
      </c>
      <c r="E157" s="347" t="s">
        <v>840</v>
      </c>
    </row>
    <row r="158" spans="1:5" ht="27.75" customHeight="1" x14ac:dyDescent="0.2">
      <c r="A158" s="324" t="s">
        <v>739</v>
      </c>
      <c r="B158" s="28"/>
      <c r="C158" s="313">
        <v>0</v>
      </c>
      <c r="D158" s="331">
        <v>0</v>
      </c>
      <c r="E158" s="347" t="s">
        <v>840</v>
      </c>
    </row>
    <row r="159" spans="1:5" ht="27.75" customHeight="1" x14ac:dyDescent="0.2">
      <c r="A159" s="324" t="s">
        <v>740</v>
      </c>
      <c r="B159" s="28"/>
      <c r="C159" s="313">
        <v>0</v>
      </c>
      <c r="D159" s="331">
        <v>0</v>
      </c>
      <c r="E159" s="347" t="s">
        <v>840</v>
      </c>
    </row>
    <row r="160" spans="1:5" ht="27.75" customHeight="1" x14ac:dyDescent="0.2">
      <c r="A160" s="324" t="s">
        <v>741</v>
      </c>
      <c r="B160" s="28"/>
      <c r="C160" s="313">
        <v>0</v>
      </c>
      <c r="D160" s="331">
        <v>0</v>
      </c>
      <c r="E160" s="347" t="s">
        <v>840</v>
      </c>
    </row>
    <row r="161" spans="1:5" ht="27.75" customHeight="1" x14ac:dyDescent="0.2">
      <c r="A161" s="324" t="s">
        <v>742</v>
      </c>
      <c r="B161" s="28"/>
      <c r="C161" s="313">
        <v>0</v>
      </c>
      <c r="D161" s="331">
        <v>0</v>
      </c>
      <c r="E161" s="347" t="s">
        <v>840</v>
      </c>
    </row>
    <row r="162" spans="1:5" ht="27.75" customHeight="1" x14ac:dyDescent="0.2">
      <c r="A162" s="324" t="s">
        <v>743</v>
      </c>
      <c r="B162" s="28" t="s">
        <v>840</v>
      </c>
      <c r="C162" s="313">
        <v>0</v>
      </c>
      <c r="D162" s="331">
        <v>0</v>
      </c>
      <c r="E162" s="347" t="s">
        <v>840</v>
      </c>
    </row>
    <row r="163" spans="1:5" ht="27.75" customHeight="1" x14ac:dyDescent="0.2">
      <c r="A163" s="1" t="s">
        <v>821</v>
      </c>
    </row>
    <row r="164" spans="1:5" ht="27.75" customHeight="1" x14ac:dyDescent="0.2">
      <c r="A164" s="1" t="s">
        <v>822</v>
      </c>
    </row>
    <row r="165" spans="1:5" ht="27.75" customHeight="1" x14ac:dyDescent="0.2"/>
  </sheetData>
  <mergeCells count="2">
    <mergeCell ref="B1:C1"/>
    <mergeCell ref="A2:E2"/>
  </mergeCells>
  <hyperlinks>
    <hyperlink ref="A1" location="Overview!A1" display="Back to Overview" xr:uid="{67F7B654-9485-4993-9480-E62B4223D1A9}"/>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B05E-188F-4A83-8A98-DAFB541F7C30}">
  <dimension ref="A1:F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6" ht="27.75" customHeight="1" x14ac:dyDescent="0.2">
      <c r="A1" s="32" t="s">
        <v>19</v>
      </c>
      <c r="B1" s="519"/>
      <c r="C1" s="519"/>
      <c r="D1" s="329"/>
      <c r="E1" s="329"/>
    </row>
    <row r="2" spans="1:6" ht="35.1" customHeight="1" x14ac:dyDescent="0.2">
      <c r="A2" s="520" t="str">
        <f>Overview!B4&amp; " - Effective from "&amp;TEXT(Overview!D4,"d mmmm yyyy")&amp;" - "&amp;Overview!E4&amp;" Supplier of Last Resort and Eligible Bad Debt Pass-Through Costs"&amp;" in SP Distribution Area (GSP Group _N)"</f>
        <v>Leep Electricity Networks Limited - Effective from 1 April 2026 - Final Supplier of Last Resort and Eligible Bad Debt Pass-Through Costs in SP Distribution Area (GSP Group _N)</v>
      </c>
      <c r="B2" s="521"/>
      <c r="C2" s="521"/>
      <c r="D2" s="521"/>
      <c r="E2" s="522"/>
    </row>
    <row r="3" spans="1:6" s="41" customFormat="1" ht="21" customHeight="1" x14ac:dyDescent="0.2">
      <c r="A3" s="46"/>
      <c r="B3" s="46"/>
      <c r="C3" s="46"/>
      <c r="D3" s="46"/>
      <c r="E3" s="46"/>
      <c r="F3" s="348"/>
    </row>
    <row r="4" spans="1:6" ht="78.75" customHeight="1" x14ac:dyDescent="0.2">
      <c r="A4" s="19" t="s">
        <v>458</v>
      </c>
      <c r="B4" s="16" t="s">
        <v>744</v>
      </c>
      <c r="C4" s="16" t="s">
        <v>24</v>
      </c>
      <c r="D4" s="16" t="s">
        <v>745</v>
      </c>
      <c r="E4" s="16" t="s">
        <v>746</v>
      </c>
    </row>
    <row r="5" spans="1:6" ht="32.25" customHeight="1" x14ac:dyDescent="0.2">
      <c r="A5" s="10" t="s">
        <v>823</v>
      </c>
      <c r="B5" s="28"/>
      <c r="C5" s="313" t="s">
        <v>845</v>
      </c>
      <c r="D5" s="330" t="s">
        <v>840</v>
      </c>
      <c r="E5" s="330" t="s">
        <v>840</v>
      </c>
    </row>
    <row r="6" spans="1:6" ht="27" customHeight="1" x14ac:dyDescent="0.2">
      <c r="A6" s="10" t="s">
        <v>774</v>
      </c>
      <c r="B6" s="28"/>
      <c r="C6" s="313" t="s">
        <v>846</v>
      </c>
      <c r="D6" s="331" t="s">
        <v>840</v>
      </c>
      <c r="E6" s="330" t="s">
        <v>840</v>
      </c>
    </row>
    <row r="7" spans="1:6" ht="27" customHeight="1" x14ac:dyDescent="0.2">
      <c r="A7" s="10" t="s">
        <v>775</v>
      </c>
      <c r="B7" s="28"/>
      <c r="C7" s="313" t="s">
        <v>846</v>
      </c>
      <c r="D7" s="331" t="s">
        <v>840</v>
      </c>
      <c r="E7" s="330" t="s">
        <v>840</v>
      </c>
    </row>
    <row r="8" spans="1:6" ht="27" customHeight="1" x14ac:dyDescent="0.2">
      <c r="A8" s="10" t="s">
        <v>776</v>
      </c>
      <c r="B8" s="28"/>
      <c r="C8" s="313" t="s">
        <v>846</v>
      </c>
      <c r="D8" s="331" t="s">
        <v>840</v>
      </c>
      <c r="E8" s="330" t="s">
        <v>840</v>
      </c>
    </row>
    <row r="9" spans="1:6" ht="27" customHeight="1" x14ac:dyDescent="0.2">
      <c r="A9" s="10" t="s">
        <v>777</v>
      </c>
      <c r="B9" s="28"/>
      <c r="C9" s="313" t="s">
        <v>846</v>
      </c>
      <c r="D9" s="331" t="s">
        <v>840</v>
      </c>
      <c r="E9" s="330" t="s">
        <v>840</v>
      </c>
    </row>
    <row r="10" spans="1:6" ht="27" customHeight="1" x14ac:dyDescent="0.2">
      <c r="A10" s="10" t="s">
        <v>778</v>
      </c>
      <c r="B10" s="28"/>
      <c r="C10" s="313" t="s">
        <v>846</v>
      </c>
      <c r="D10" s="331" t="s">
        <v>840</v>
      </c>
      <c r="E10" s="330" t="s">
        <v>840</v>
      </c>
    </row>
    <row r="11" spans="1:6" ht="27" customHeight="1" x14ac:dyDescent="0.2">
      <c r="A11" s="10" t="s">
        <v>595</v>
      </c>
      <c r="B11" s="28"/>
      <c r="C11" s="313">
        <v>0</v>
      </c>
      <c r="D11" s="331" t="s">
        <v>840</v>
      </c>
      <c r="E11" s="330" t="s">
        <v>840</v>
      </c>
    </row>
    <row r="12" spans="1:6" ht="27" customHeight="1" x14ac:dyDescent="0.2">
      <c r="A12" s="324" t="s">
        <v>596</v>
      </c>
      <c r="B12" s="28"/>
      <c r="C12" s="313">
        <v>0</v>
      </c>
      <c r="D12" s="331" t="s">
        <v>840</v>
      </c>
      <c r="E12" s="330" t="s">
        <v>840</v>
      </c>
    </row>
    <row r="13" spans="1:6" ht="27" customHeight="1" x14ac:dyDescent="0.2">
      <c r="A13" s="324" t="s">
        <v>597</v>
      </c>
      <c r="B13" s="28"/>
      <c r="C13" s="313">
        <v>0</v>
      </c>
      <c r="D13" s="331" t="s">
        <v>840</v>
      </c>
      <c r="E13" s="330" t="s">
        <v>840</v>
      </c>
    </row>
    <row r="14" spans="1:6" ht="27.75" customHeight="1" x14ac:dyDescent="0.2">
      <c r="A14" s="324" t="s">
        <v>598</v>
      </c>
      <c r="B14" s="28"/>
      <c r="C14" s="313">
        <v>0</v>
      </c>
      <c r="D14" s="331" t="s">
        <v>840</v>
      </c>
      <c r="E14" s="330" t="s">
        <v>840</v>
      </c>
    </row>
    <row r="15" spans="1:6" ht="27.75" customHeight="1" x14ac:dyDescent="0.2">
      <c r="A15" s="325" t="s">
        <v>599</v>
      </c>
      <c r="B15" s="28"/>
      <c r="C15" s="313">
        <v>0</v>
      </c>
      <c r="D15" s="331" t="s">
        <v>840</v>
      </c>
      <c r="E15" s="330" t="s">
        <v>840</v>
      </c>
    </row>
    <row r="16" spans="1:6" ht="27.75" customHeight="1" x14ac:dyDescent="0.2">
      <c r="A16" s="325" t="s">
        <v>600</v>
      </c>
      <c r="B16" s="28"/>
      <c r="C16" s="313">
        <v>0</v>
      </c>
      <c r="D16" s="331" t="s">
        <v>840</v>
      </c>
      <c r="E16" s="330" t="s">
        <v>840</v>
      </c>
    </row>
    <row r="17" spans="1:6" ht="27.75" customHeight="1" x14ac:dyDescent="0.2">
      <c r="A17" s="325" t="s">
        <v>601</v>
      </c>
      <c r="B17" s="28"/>
      <c r="C17" s="313">
        <v>0</v>
      </c>
      <c r="D17" s="331" t="s">
        <v>840</v>
      </c>
      <c r="E17" s="330" t="s">
        <v>840</v>
      </c>
    </row>
    <row r="18" spans="1:6" ht="27.75" customHeight="1" x14ac:dyDescent="0.2">
      <c r="A18" s="325" t="s">
        <v>602</v>
      </c>
      <c r="B18" s="28"/>
      <c r="C18" s="313">
        <v>0</v>
      </c>
      <c r="D18" s="331" t="s">
        <v>840</v>
      </c>
      <c r="E18" s="330" t="s">
        <v>840</v>
      </c>
    </row>
    <row r="19" spans="1:6" ht="27.75" customHeight="1" x14ac:dyDescent="0.2">
      <c r="A19" s="325" t="s">
        <v>603</v>
      </c>
      <c r="B19" s="28"/>
      <c r="C19" s="313">
        <v>0</v>
      </c>
      <c r="D19" s="331" t="s">
        <v>840</v>
      </c>
      <c r="E19" s="330" t="s">
        <v>840</v>
      </c>
    </row>
    <row r="20" spans="1:6" ht="27.75" customHeight="1" x14ac:dyDescent="0.2">
      <c r="A20" s="325" t="s">
        <v>604</v>
      </c>
      <c r="B20" s="28"/>
      <c r="C20" s="313">
        <v>0</v>
      </c>
      <c r="D20" s="331" t="s">
        <v>840</v>
      </c>
      <c r="E20" s="330" t="s">
        <v>840</v>
      </c>
    </row>
    <row r="21" spans="1:6" ht="27.75" customHeight="1" x14ac:dyDescent="0.2">
      <c r="A21" s="325" t="s">
        <v>605</v>
      </c>
      <c r="B21" s="28"/>
      <c r="C21" s="313">
        <v>0</v>
      </c>
      <c r="D21" s="331" t="s">
        <v>840</v>
      </c>
      <c r="E21" s="330" t="s">
        <v>840</v>
      </c>
    </row>
    <row r="22" spans="1:6" ht="27.75" customHeight="1" x14ac:dyDescent="0.2">
      <c r="A22" s="325" t="s">
        <v>606</v>
      </c>
      <c r="B22" s="28"/>
      <c r="C22" s="313">
        <v>0</v>
      </c>
      <c r="D22" s="331" t="s">
        <v>840</v>
      </c>
      <c r="E22" s="330" t="s">
        <v>840</v>
      </c>
    </row>
    <row r="23" spans="1:6" ht="27.75" customHeight="1" x14ac:dyDescent="0.2">
      <c r="A23" s="324" t="s">
        <v>607</v>
      </c>
      <c r="B23" s="28"/>
      <c r="C23" s="313">
        <v>0</v>
      </c>
      <c r="D23" s="331" t="s">
        <v>840</v>
      </c>
      <c r="E23" s="330" t="s">
        <v>840</v>
      </c>
    </row>
    <row r="24" spans="1:6" ht="27.75" customHeight="1" x14ac:dyDescent="0.2">
      <c r="A24" s="324" t="s">
        <v>608</v>
      </c>
      <c r="B24" s="28"/>
      <c r="C24" s="313">
        <v>0</v>
      </c>
      <c r="D24" s="331" t="s">
        <v>840</v>
      </c>
      <c r="E24" s="330" t="s">
        <v>840</v>
      </c>
    </row>
    <row r="25" spans="1:6" ht="27.75" customHeight="1" x14ac:dyDescent="0.2">
      <c r="A25" s="324" t="s">
        <v>609</v>
      </c>
      <c r="B25" s="28"/>
      <c r="C25" s="313">
        <v>0</v>
      </c>
      <c r="D25" s="331" t="s">
        <v>840</v>
      </c>
      <c r="E25" s="330" t="s">
        <v>840</v>
      </c>
    </row>
    <row r="26" spans="1:6" ht="27.75" customHeight="1" x14ac:dyDescent="0.2">
      <c r="A26" s="324" t="s">
        <v>824</v>
      </c>
      <c r="B26" s="28" t="s">
        <v>1948</v>
      </c>
      <c r="C26" s="313" t="s">
        <v>845</v>
      </c>
      <c r="D26" s="330" t="s">
        <v>840</v>
      </c>
      <c r="E26" s="330" t="s">
        <v>840</v>
      </c>
      <c r="F26" s="349" t="str">
        <f>A26&amp;" with Residual"</f>
        <v>LDNO LV: Domestic Aggregated or CT with Residual</v>
      </c>
    </row>
    <row r="27" spans="1:6" ht="27.75" customHeight="1" x14ac:dyDescent="0.2">
      <c r="A27" s="324" t="s">
        <v>786</v>
      </c>
      <c r="B27" s="28" t="s">
        <v>1949</v>
      </c>
      <c r="C27" s="313" t="s">
        <v>846</v>
      </c>
      <c r="D27" s="331" t="s">
        <v>840</v>
      </c>
      <c r="E27" s="330" t="s">
        <v>840</v>
      </c>
    </row>
    <row r="28" spans="1:6" ht="27.75" customHeight="1" x14ac:dyDescent="0.2">
      <c r="A28" s="324" t="s">
        <v>793</v>
      </c>
      <c r="B28" s="28" t="s">
        <v>1950</v>
      </c>
      <c r="C28" s="313" t="s">
        <v>846</v>
      </c>
      <c r="D28" s="331" t="s">
        <v>840</v>
      </c>
      <c r="E28" s="330" t="s">
        <v>840</v>
      </c>
    </row>
    <row r="29" spans="1:6" ht="27.75" customHeight="1" x14ac:dyDescent="0.2">
      <c r="A29" s="324" t="s">
        <v>800</v>
      </c>
      <c r="B29" s="28" t="s">
        <v>1951</v>
      </c>
      <c r="C29" s="313" t="s">
        <v>846</v>
      </c>
      <c r="D29" s="331" t="s">
        <v>840</v>
      </c>
      <c r="E29" s="330" t="s">
        <v>840</v>
      </c>
    </row>
    <row r="30" spans="1:6" ht="27.75" customHeight="1" x14ac:dyDescent="0.2">
      <c r="A30" s="324" t="s">
        <v>807</v>
      </c>
      <c r="B30" s="28" t="s">
        <v>1952</v>
      </c>
      <c r="C30" s="313" t="s">
        <v>846</v>
      </c>
      <c r="D30" s="331" t="s">
        <v>840</v>
      </c>
      <c r="E30" s="330" t="s">
        <v>840</v>
      </c>
    </row>
    <row r="31" spans="1:6" ht="27.75" customHeight="1" x14ac:dyDescent="0.2">
      <c r="A31" s="324" t="s">
        <v>814</v>
      </c>
      <c r="B31" s="28" t="s">
        <v>1953</v>
      </c>
      <c r="C31" s="313" t="s">
        <v>846</v>
      </c>
      <c r="D31" s="331" t="s">
        <v>840</v>
      </c>
      <c r="E31" s="330" t="s">
        <v>840</v>
      </c>
    </row>
    <row r="32" spans="1:6" ht="27.75" customHeight="1" x14ac:dyDescent="0.2">
      <c r="A32" s="324" t="s">
        <v>643</v>
      </c>
      <c r="B32" s="28" t="s">
        <v>840</v>
      </c>
      <c r="C32" s="313">
        <v>0</v>
      </c>
      <c r="D32" s="331" t="s">
        <v>840</v>
      </c>
      <c r="E32" s="330" t="s">
        <v>840</v>
      </c>
    </row>
    <row r="33" spans="1:6" ht="27.75" customHeight="1" x14ac:dyDescent="0.2">
      <c r="A33" s="324" t="s">
        <v>644</v>
      </c>
      <c r="B33" s="28" t="s">
        <v>1954</v>
      </c>
      <c r="C33" s="313">
        <v>0</v>
      </c>
      <c r="D33" s="331" t="s">
        <v>840</v>
      </c>
      <c r="E33" s="330" t="s">
        <v>840</v>
      </c>
    </row>
    <row r="34" spans="1:6" ht="27.75" customHeight="1" x14ac:dyDescent="0.2">
      <c r="A34" s="324" t="s">
        <v>645</v>
      </c>
      <c r="B34" s="28" t="s">
        <v>1955</v>
      </c>
      <c r="C34" s="313">
        <v>0</v>
      </c>
      <c r="D34" s="331" t="s">
        <v>840</v>
      </c>
      <c r="E34" s="330" t="s">
        <v>840</v>
      </c>
    </row>
    <row r="35" spans="1:6" ht="27.75" customHeight="1" x14ac:dyDescent="0.2">
      <c r="A35" s="324" t="s">
        <v>646</v>
      </c>
      <c r="B35" s="28" t="s">
        <v>1956</v>
      </c>
      <c r="C35" s="313">
        <v>0</v>
      </c>
      <c r="D35" s="331" t="s">
        <v>840</v>
      </c>
      <c r="E35" s="330" t="s">
        <v>840</v>
      </c>
    </row>
    <row r="36" spans="1:6" ht="27.75" customHeight="1" x14ac:dyDescent="0.2">
      <c r="A36" s="324" t="s">
        <v>647</v>
      </c>
      <c r="B36" s="28" t="s">
        <v>1957</v>
      </c>
      <c r="C36" s="313">
        <v>0</v>
      </c>
      <c r="D36" s="331" t="s">
        <v>840</v>
      </c>
      <c r="E36" s="330" t="s">
        <v>840</v>
      </c>
    </row>
    <row r="37" spans="1:6" ht="27.75" customHeight="1" x14ac:dyDescent="0.2">
      <c r="A37" s="325" t="s">
        <v>825</v>
      </c>
      <c r="B37" s="28" t="e">
        <v>#N/A</v>
      </c>
      <c r="C37" s="313" t="s">
        <v>845</v>
      </c>
      <c r="D37" s="330" t="s">
        <v>840</v>
      </c>
      <c r="E37" s="330" t="s">
        <v>840</v>
      </c>
      <c r="F37" s="349" t="str">
        <f>A37&amp;" with Residual"</f>
        <v>LDNO HV: Domestic Aggregated or CT with Residual</v>
      </c>
    </row>
    <row r="38" spans="1:6" ht="27.75" customHeight="1" x14ac:dyDescent="0.2">
      <c r="A38" s="324" t="s">
        <v>787</v>
      </c>
      <c r="B38" s="28" t="s">
        <v>1958</v>
      </c>
      <c r="C38" s="313" t="s">
        <v>846</v>
      </c>
      <c r="D38" s="331" t="s">
        <v>840</v>
      </c>
      <c r="E38" s="330" t="s">
        <v>840</v>
      </c>
    </row>
    <row r="39" spans="1:6" ht="27.75" customHeight="1" x14ac:dyDescent="0.2">
      <c r="A39" s="324" t="s">
        <v>794</v>
      </c>
      <c r="B39" s="28" t="s">
        <v>1959</v>
      </c>
      <c r="C39" s="313" t="s">
        <v>846</v>
      </c>
      <c r="D39" s="331" t="s">
        <v>840</v>
      </c>
      <c r="E39" s="330" t="s">
        <v>840</v>
      </c>
    </row>
    <row r="40" spans="1:6" ht="27.75" customHeight="1" x14ac:dyDescent="0.2">
      <c r="A40" s="324" t="s">
        <v>801</v>
      </c>
      <c r="B40" s="28" t="s">
        <v>1960</v>
      </c>
      <c r="C40" s="313" t="s">
        <v>846</v>
      </c>
      <c r="D40" s="331" t="s">
        <v>840</v>
      </c>
      <c r="E40" s="330" t="s">
        <v>840</v>
      </c>
    </row>
    <row r="41" spans="1:6" ht="27.75" customHeight="1" x14ac:dyDescent="0.2">
      <c r="A41" s="324" t="s">
        <v>808</v>
      </c>
      <c r="B41" s="28" t="s">
        <v>1961</v>
      </c>
      <c r="C41" s="313" t="s">
        <v>846</v>
      </c>
      <c r="D41" s="331" t="s">
        <v>840</v>
      </c>
      <c r="E41" s="330" t="s">
        <v>840</v>
      </c>
    </row>
    <row r="42" spans="1:6" ht="27.75" customHeight="1" x14ac:dyDescent="0.2">
      <c r="A42" s="324" t="s">
        <v>815</v>
      </c>
      <c r="B42" s="28" t="s">
        <v>1962</v>
      </c>
      <c r="C42" s="313" t="s">
        <v>846</v>
      </c>
      <c r="D42" s="331" t="s">
        <v>840</v>
      </c>
      <c r="E42" s="330" t="s">
        <v>840</v>
      </c>
    </row>
    <row r="43" spans="1:6" ht="27.75" customHeight="1" x14ac:dyDescent="0.2">
      <c r="A43" s="324" t="s">
        <v>649</v>
      </c>
      <c r="B43" s="28" t="s">
        <v>840</v>
      </c>
      <c r="C43" s="313">
        <v>0</v>
      </c>
      <c r="D43" s="331" t="s">
        <v>840</v>
      </c>
      <c r="E43" s="330" t="s">
        <v>840</v>
      </c>
    </row>
    <row r="44" spans="1:6" ht="27.75" customHeight="1" x14ac:dyDescent="0.2">
      <c r="A44" s="324" t="s">
        <v>650</v>
      </c>
      <c r="B44" s="28" t="s">
        <v>1963</v>
      </c>
      <c r="C44" s="313">
        <v>0</v>
      </c>
      <c r="D44" s="331" t="s">
        <v>840</v>
      </c>
      <c r="E44" s="330" t="s">
        <v>840</v>
      </c>
    </row>
    <row r="45" spans="1:6" ht="27.75" customHeight="1" x14ac:dyDescent="0.2">
      <c r="A45" s="324" t="s">
        <v>651</v>
      </c>
      <c r="B45" s="28" t="s">
        <v>1964</v>
      </c>
      <c r="C45" s="313">
        <v>0</v>
      </c>
      <c r="D45" s="331" t="s">
        <v>840</v>
      </c>
      <c r="E45" s="330" t="s">
        <v>840</v>
      </c>
    </row>
    <row r="46" spans="1:6" ht="27.75" customHeight="1" x14ac:dyDescent="0.2">
      <c r="A46" s="324" t="s">
        <v>652</v>
      </c>
      <c r="B46" s="28" t="s">
        <v>1965</v>
      </c>
      <c r="C46" s="313">
        <v>0</v>
      </c>
      <c r="D46" s="331" t="s">
        <v>840</v>
      </c>
      <c r="E46" s="330" t="s">
        <v>840</v>
      </c>
    </row>
    <row r="47" spans="1:6" ht="27.75" customHeight="1" x14ac:dyDescent="0.2">
      <c r="A47" s="324" t="s">
        <v>653</v>
      </c>
      <c r="B47" s="28" t="s">
        <v>1966</v>
      </c>
      <c r="C47" s="313">
        <v>0</v>
      </c>
      <c r="D47" s="331" t="s">
        <v>840</v>
      </c>
      <c r="E47" s="330" t="s">
        <v>840</v>
      </c>
    </row>
    <row r="48" spans="1:6" ht="27.75" customHeight="1" x14ac:dyDescent="0.2">
      <c r="A48" s="324" t="s">
        <v>654</v>
      </c>
      <c r="B48" s="28" t="s">
        <v>840</v>
      </c>
      <c r="C48" s="313">
        <v>0</v>
      </c>
      <c r="D48" s="331" t="s">
        <v>840</v>
      </c>
      <c r="E48" s="330" t="s">
        <v>840</v>
      </c>
    </row>
    <row r="49" spans="1:6" ht="27.75" customHeight="1" x14ac:dyDescent="0.2">
      <c r="A49" s="324" t="s">
        <v>655</v>
      </c>
      <c r="B49" s="28" t="s">
        <v>1967</v>
      </c>
      <c r="C49" s="313">
        <v>0</v>
      </c>
      <c r="D49" s="331" t="s">
        <v>840</v>
      </c>
      <c r="E49" s="330" t="s">
        <v>840</v>
      </c>
    </row>
    <row r="50" spans="1:6" ht="27.75" customHeight="1" x14ac:dyDescent="0.2">
      <c r="A50" s="324" t="s">
        <v>656</v>
      </c>
      <c r="B50" s="28" t="s">
        <v>1968</v>
      </c>
      <c r="C50" s="313">
        <v>0</v>
      </c>
      <c r="D50" s="331" t="s">
        <v>840</v>
      </c>
      <c r="E50" s="330" t="s">
        <v>840</v>
      </c>
    </row>
    <row r="51" spans="1:6" ht="27.75" customHeight="1" x14ac:dyDescent="0.2">
      <c r="A51" s="324" t="s">
        <v>657</v>
      </c>
      <c r="B51" s="28" t="s">
        <v>1969</v>
      </c>
      <c r="C51" s="313">
        <v>0</v>
      </c>
      <c r="D51" s="331" t="s">
        <v>840</v>
      </c>
      <c r="E51" s="330" t="s">
        <v>840</v>
      </c>
    </row>
    <row r="52" spans="1:6" ht="27.75" customHeight="1" x14ac:dyDescent="0.2">
      <c r="A52" s="324" t="s">
        <v>658</v>
      </c>
      <c r="B52" s="28" t="s">
        <v>1970</v>
      </c>
      <c r="C52" s="313">
        <v>0</v>
      </c>
      <c r="D52" s="331" t="s">
        <v>840</v>
      </c>
      <c r="E52" s="330" t="s">
        <v>840</v>
      </c>
    </row>
    <row r="53" spans="1:6" ht="27.75" customHeight="1" x14ac:dyDescent="0.2">
      <c r="A53" s="324" t="s">
        <v>659</v>
      </c>
      <c r="B53" s="28" t="s">
        <v>840</v>
      </c>
      <c r="C53" s="313">
        <v>0</v>
      </c>
      <c r="D53" s="331" t="s">
        <v>840</v>
      </c>
      <c r="E53" s="330" t="s">
        <v>840</v>
      </c>
    </row>
    <row r="54" spans="1:6" ht="27.75" customHeight="1" x14ac:dyDescent="0.2">
      <c r="A54" s="324" t="s">
        <v>660</v>
      </c>
      <c r="B54" s="28" t="s">
        <v>1971</v>
      </c>
      <c r="C54" s="313">
        <v>0</v>
      </c>
      <c r="D54" s="331" t="s">
        <v>840</v>
      </c>
      <c r="E54" s="330" t="s">
        <v>840</v>
      </c>
    </row>
    <row r="55" spans="1:6" ht="27.75" customHeight="1" x14ac:dyDescent="0.2">
      <c r="A55" s="324" t="s">
        <v>661</v>
      </c>
      <c r="B55" s="28" t="s">
        <v>1972</v>
      </c>
      <c r="C55" s="313">
        <v>0</v>
      </c>
      <c r="D55" s="331" t="s">
        <v>840</v>
      </c>
      <c r="E55" s="330" t="s">
        <v>840</v>
      </c>
    </row>
    <row r="56" spans="1:6" ht="27.75" customHeight="1" x14ac:dyDescent="0.2">
      <c r="A56" s="324" t="s">
        <v>662</v>
      </c>
      <c r="B56" s="28" t="s">
        <v>1973</v>
      </c>
      <c r="C56" s="313">
        <v>0</v>
      </c>
      <c r="D56" s="331" t="s">
        <v>840</v>
      </c>
      <c r="E56" s="330" t="s">
        <v>840</v>
      </c>
    </row>
    <row r="57" spans="1:6" ht="27.75" customHeight="1" x14ac:dyDescent="0.2">
      <c r="A57" s="324" t="s">
        <v>663</v>
      </c>
      <c r="B57" s="28" t="s">
        <v>1974</v>
      </c>
      <c r="C57" s="313">
        <v>0</v>
      </c>
      <c r="D57" s="331" t="s">
        <v>840</v>
      </c>
      <c r="E57" s="330" t="s">
        <v>840</v>
      </c>
    </row>
    <row r="58" spans="1:6" ht="27.75" customHeight="1" x14ac:dyDescent="0.2">
      <c r="A58" s="324" t="s">
        <v>826</v>
      </c>
      <c r="B58" s="28" t="e">
        <v>#N/A</v>
      </c>
      <c r="C58" s="313" t="s">
        <v>845</v>
      </c>
      <c r="D58" s="330" t="s">
        <v>840</v>
      </c>
      <c r="E58" s="330" t="s">
        <v>840</v>
      </c>
      <c r="F58" s="349" t="str">
        <f>A58&amp;" with Residual"</f>
        <v>LDNO HVplus: Domestic Aggregated or CT with Residual</v>
      </c>
    </row>
    <row r="59" spans="1:6" ht="27.75" customHeight="1" x14ac:dyDescent="0.2">
      <c r="A59" s="324" t="s">
        <v>788</v>
      </c>
      <c r="B59" s="28" t="s">
        <v>1975</v>
      </c>
      <c r="C59" s="313" t="s">
        <v>846</v>
      </c>
      <c r="D59" s="331" t="s">
        <v>840</v>
      </c>
      <c r="E59" s="330" t="s">
        <v>840</v>
      </c>
    </row>
    <row r="60" spans="1:6" ht="27.75" customHeight="1" x14ac:dyDescent="0.2">
      <c r="A60" s="324" t="s">
        <v>795</v>
      </c>
      <c r="B60" s="28" t="s">
        <v>1976</v>
      </c>
      <c r="C60" s="313" t="s">
        <v>846</v>
      </c>
      <c r="D60" s="331" t="s">
        <v>840</v>
      </c>
      <c r="E60" s="330" t="s">
        <v>840</v>
      </c>
    </row>
    <row r="61" spans="1:6" ht="27.75" customHeight="1" x14ac:dyDescent="0.2">
      <c r="A61" s="324" t="s">
        <v>802</v>
      </c>
      <c r="B61" s="28" t="s">
        <v>1977</v>
      </c>
      <c r="C61" s="313" t="s">
        <v>846</v>
      </c>
      <c r="D61" s="331" t="s">
        <v>840</v>
      </c>
      <c r="E61" s="330" t="s">
        <v>840</v>
      </c>
    </row>
    <row r="62" spans="1:6" ht="27.75" customHeight="1" x14ac:dyDescent="0.2">
      <c r="A62" s="324" t="s">
        <v>809</v>
      </c>
      <c r="B62" s="28" t="s">
        <v>1978</v>
      </c>
      <c r="C62" s="313" t="s">
        <v>846</v>
      </c>
      <c r="D62" s="331" t="s">
        <v>840</v>
      </c>
      <c r="E62" s="330" t="s">
        <v>840</v>
      </c>
    </row>
    <row r="63" spans="1:6" ht="27.75" customHeight="1" x14ac:dyDescent="0.2">
      <c r="A63" s="324" t="s">
        <v>816</v>
      </c>
      <c r="B63" s="28" t="s">
        <v>1979</v>
      </c>
      <c r="C63" s="313" t="s">
        <v>846</v>
      </c>
      <c r="D63" s="331" t="s">
        <v>840</v>
      </c>
      <c r="E63" s="330" t="s">
        <v>840</v>
      </c>
    </row>
    <row r="64" spans="1:6" ht="27.75" customHeight="1" x14ac:dyDescent="0.2">
      <c r="A64" s="324" t="s">
        <v>665</v>
      </c>
      <c r="B64" s="28" t="s">
        <v>840</v>
      </c>
      <c r="C64" s="313">
        <v>0</v>
      </c>
      <c r="D64" s="331" t="s">
        <v>840</v>
      </c>
      <c r="E64" s="330" t="s">
        <v>840</v>
      </c>
    </row>
    <row r="65" spans="1:6" ht="27.75" customHeight="1" x14ac:dyDescent="0.2">
      <c r="A65" s="324" t="s">
        <v>666</v>
      </c>
      <c r="B65" s="28" t="s">
        <v>1980</v>
      </c>
      <c r="C65" s="313">
        <v>0</v>
      </c>
      <c r="D65" s="331" t="s">
        <v>840</v>
      </c>
      <c r="E65" s="330" t="s">
        <v>840</v>
      </c>
    </row>
    <row r="66" spans="1:6" ht="27.75" customHeight="1" x14ac:dyDescent="0.2">
      <c r="A66" s="324" t="s">
        <v>667</v>
      </c>
      <c r="B66" s="28" t="s">
        <v>1981</v>
      </c>
      <c r="C66" s="313">
        <v>0</v>
      </c>
      <c r="D66" s="331" t="s">
        <v>840</v>
      </c>
      <c r="E66" s="330" t="s">
        <v>840</v>
      </c>
    </row>
    <row r="67" spans="1:6" ht="27.75" customHeight="1" x14ac:dyDescent="0.2">
      <c r="A67" s="324" t="s">
        <v>668</v>
      </c>
      <c r="B67" s="28" t="s">
        <v>1982</v>
      </c>
      <c r="C67" s="313">
        <v>0</v>
      </c>
      <c r="D67" s="331" t="s">
        <v>840</v>
      </c>
      <c r="E67" s="330" t="s">
        <v>840</v>
      </c>
    </row>
    <row r="68" spans="1:6" ht="27.75" customHeight="1" x14ac:dyDescent="0.2">
      <c r="A68" s="324" t="s">
        <v>669</v>
      </c>
      <c r="B68" s="28" t="s">
        <v>1983</v>
      </c>
      <c r="C68" s="313">
        <v>0</v>
      </c>
      <c r="D68" s="331" t="s">
        <v>840</v>
      </c>
      <c r="E68" s="330" t="s">
        <v>840</v>
      </c>
    </row>
    <row r="69" spans="1:6" ht="27.75" customHeight="1" x14ac:dyDescent="0.2">
      <c r="A69" s="324" t="s">
        <v>670</v>
      </c>
      <c r="B69" s="28" t="s">
        <v>840</v>
      </c>
      <c r="C69" s="313">
        <v>0</v>
      </c>
      <c r="D69" s="331" t="s">
        <v>840</v>
      </c>
      <c r="E69" s="330" t="s">
        <v>840</v>
      </c>
    </row>
    <row r="70" spans="1:6" ht="27.75" customHeight="1" x14ac:dyDescent="0.2">
      <c r="A70" s="324" t="s">
        <v>671</v>
      </c>
      <c r="B70" s="28" t="s">
        <v>1984</v>
      </c>
      <c r="C70" s="313">
        <v>0</v>
      </c>
      <c r="D70" s="331" t="s">
        <v>840</v>
      </c>
      <c r="E70" s="330" t="s">
        <v>840</v>
      </c>
    </row>
    <row r="71" spans="1:6" ht="27.75" customHeight="1" x14ac:dyDescent="0.2">
      <c r="A71" s="324" t="s">
        <v>672</v>
      </c>
      <c r="B71" s="28" t="s">
        <v>1985</v>
      </c>
      <c r="C71" s="313">
        <v>0</v>
      </c>
      <c r="D71" s="331" t="s">
        <v>840</v>
      </c>
      <c r="E71" s="330" t="s">
        <v>840</v>
      </c>
    </row>
    <row r="72" spans="1:6" ht="27.75" customHeight="1" x14ac:dyDescent="0.2">
      <c r="A72" s="324" t="s">
        <v>673</v>
      </c>
      <c r="B72" s="28" t="s">
        <v>1986</v>
      </c>
      <c r="C72" s="313">
        <v>0</v>
      </c>
      <c r="D72" s="331" t="s">
        <v>840</v>
      </c>
      <c r="E72" s="330" t="s">
        <v>840</v>
      </c>
    </row>
    <row r="73" spans="1:6" ht="27.75" customHeight="1" x14ac:dyDescent="0.2">
      <c r="A73" s="324" t="s">
        <v>674</v>
      </c>
      <c r="B73" s="28" t="s">
        <v>1987</v>
      </c>
      <c r="C73" s="313">
        <v>0</v>
      </c>
      <c r="D73" s="331" t="s">
        <v>840</v>
      </c>
      <c r="E73" s="330" t="s">
        <v>840</v>
      </c>
    </row>
    <row r="74" spans="1:6" ht="27.75" customHeight="1" x14ac:dyDescent="0.2">
      <c r="A74" s="324" t="s">
        <v>675</v>
      </c>
      <c r="B74" s="28" t="s">
        <v>840</v>
      </c>
      <c r="C74" s="313">
        <v>0</v>
      </c>
      <c r="D74" s="331" t="s">
        <v>840</v>
      </c>
      <c r="E74" s="330" t="s">
        <v>840</v>
      </c>
    </row>
    <row r="75" spans="1:6" ht="27.75" customHeight="1" x14ac:dyDescent="0.2">
      <c r="A75" s="324" t="s">
        <v>676</v>
      </c>
      <c r="B75" s="28" t="s">
        <v>1988</v>
      </c>
      <c r="C75" s="313">
        <v>0</v>
      </c>
      <c r="D75" s="331" t="s">
        <v>840</v>
      </c>
      <c r="E75" s="330" t="s">
        <v>840</v>
      </c>
    </row>
    <row r="76" spans="1:6" ht="27.75" customHeight="1" x14ac:dyDescent="0.2">
      <c r="A76" s="324" t="s">
        <v>677</v>
      </c>
      <c r="B76" s="28" t="s">
        <v>1989</v>
      </c>
      <c r="C76" s="313">
        <v>0</v>
      </c>
      <c r="D76" s="331" t="s">
        <v>840</v>
      </c>
      <c r="E76" s="330" t="s">
        <v>840</v>
      </c>
    </row>
    <row r="77" spans="1:6" ht="27.75" customHeight="1" x14ac:dyDescent="0.2">
      <c r="A77" s="324" t="s">
        <v>678</v>
      </c>
      <c r="B77" s="28" t="s">
        <v>1990</v>
      </c>
      <c r="C77" s="313">
        <v>0</v>
      </c>
      <c r="D77" s="331" t="s">
        <v>840</v>
      </c>
      <c r="E77" s="330" t="s">
        <v>840</v>
      </c>
    </row>
    <row r="78" spans="1:6" ht="27.75" customHeight="1" x14ac:dyDescent="0.2">
      <c r="A78" s="324" t="s">
        <v>679</v>
      </c>
      <c r="B78" s="28" t="s">
        <v>1991</v>
      </c>
      <c r="C78" s="313">
        <v>0</v>
      </c>
      <c r="D78" s="331" t="s">
        <v>840</v>
      </c>
      <c r="E78" s="330" t="s">
        <v>840</v>
      </c>
    </row>
    <row r="79" spans="1:6" ht="27.75" customHeight="1" x14ac:dyDescent="0.2">
      <c r="A79" s="324" t="s">
        <v>827</v>
      </c>
      <c r="B79" s="28" t="e">
        <v>#N/A</v>
      </c>
      <c r="C79" s="313" t="s">
        <v>845</v>
      </c>
      <c r="D79" s="330" t="s">
        <v>840</v>
      </c>
      <c r="E79" s="330" t="s">
        <v>840</v>
      </c>
      <c r="F79" s="349" t="str">
        <f>A79&amp;" with Residual"</f>
        <v>LDNO EHV: Domestic Aggregated or CT with Residual</v>
      </c>
    </row>
    <row r="80" spans="1:6" ht="27.75" customHeight="1" x14ac:dyDescent="0.2">
      <c r="A80" s="324" t="s">
        <v>789</v>
      </c>
      <c r="B80" s="28" t="s">
        <v>1992</v>
      </c>
      <c r="C80" s="313" t="s">
        <v>846</v>
      </c>
      <c r="D80" s="331" t="s">
        <v>840</v>
      </c>
      <c r="E80" s="330" t="s">
        <v>840</v>
      </c>
    </row>
    <row r="81" spans="1:5" ht="27.75" customHeight="1" x14ac:dyDescent="0.2">
      <c r="A81" s="324" t="s">
        <v>796</v>
      </c>
      <c r="B81" s="28" t="s">
        <v>1993</v>
      </c>
      <c r="C81" s="313" t="s">
        <v>846</v>
      </c>
      <c r="D81" s="331" t="s">
        <v>840</v>
      </c>
      <c r="E81" s="330" t="s">
        <v>840</v>
      </c>
    </row>
    <row r="82" spans="1:5" ht="27.75" customHeight="1" x14ac:dyDescent="0.2">
      <c r="A82" s="324" t="s">
        <v>803</v>
      </c>
      <c r="B82" s="28" t="s">
        <v>1994</v>
      </c>
      <c r="C82" s="313" t="s">
        <v>846</v>
      </c>
      <c r="D82" s="331" t="s">
        <v>840</v>
      </c>
      <c r="E82" s="330" t="s">
        <v>840</v>
      </c>
    </row>
    <row r="83" spans="1:5" ht="27.75" customHeight="1" x14ac:dyDescent="0.2">
      <c r="A83" s="324" t="s">
        <v>810</v>
      </c>
      <c r="B83" s="28" t="s">
        <v>1995</v>
      </c>
      <c r="C83" s="313" t="s">
        <v>846</v>
      </c>
      <c r="D83" s="331" t="s">
        <v>840</v>
      </c>
      <c r="E83" s="330" t="s">
        <v>840</v>
      </c>
    </row>
    <row r="84" spans="1:5" ht="27.75" customHeight="1" x14ac:dyDescent="0.2">
      <c r="A84" s="324" t="s">
        <v>817</v>
      </c>
      <c r="B84" s="28" t="s">
        <v>1996</v>
      </c>
      <c r="C84" s="313" t="s">
        <v>846</v>
      </c>
      <c r="D84" s="331" t="s">
        <v>840</v>
      </c>
      <c r="E84" s="330" t="s">
        <v>840</v>
      </c>
    </row>
    <row r="85" spans="1:5" ht="27.75" customHeight="1" x14ac:dyDescent="0.2">
      <c r="A85" s="324" t="s">
        <v>681</v>
      </c>
      <c r="B85" s="28" t="s">
        <v>840</v>
      </c>
      <c r="C85" s="313">
        <v>0</v>
      </c>
      <c r="D85" s="331" t="s">
        <v>840</v>
      </c>
      <c r="E85" s="330" t="s">
        <v>840</v>
      </c>
    </row>
    <row r="86" spans="1:5" ht="27.75" customHeight="1" x14ac:dyDescent="0.2">
      <c r="A86" s="324" t="s">
        <v>682</v>
      </c>
      <c r="B86" s="28" t="s">
        <v>1997</v>
      </c>
      <c r="C86" s="313">
        <v>0</v>
      </c>
      <c r="D86" s="331" t="s">
        <v>840</v>
      </c>
      <c r="E86" s="330" t="s">
        <v>840</v>
      </c>
    </row>
    <row r="87" spans="1:5" ht="27.75" customHeight="1" x14ac:dyDescent="0.2">
      <c r="A87" s="324" t="s">
        <v>683</v>
      </c>
      <c r="B87" s="28" t="s">
        <v>1998</v>
      </c>
      <c r="C87" s="313">
        <v>0</v>
      </c>
      <c r="D87" s="331" t="s">
        <v>840</v>
      </c>
      <c r="E87" s="330" t="s">
        <v>840</v>
      </c>
    </row>
    <row r="88" spans="1:5" ht="27.75" customHeight="1" x14ac:dyDescent="0.2">
      <c r="A88" s="324" t="s">
        <v>684</v>
      </c>
      <c r="B88" s="28" t="s">
        <v>1999</v>
      </c>
      <c r="C88" s="313">
        <v>0</v>
      </c>
      <c r="D88" s="331" t="s">
        <v>840</v>
      </c>
      <c r="E88" s="330" t="s">
        <v>840</v>
      </c>
    </row>
    <row r="89" spans="1:5" ht="27.75" customHeight="1" x14ac:dyDescent="0.2">
      <c r="A89" s="324" t="s">
        <v>685</v>
      </c>
      <c r="B89" s="28" t="s">
        <v>2000</v>
      </c>
      <c r="C89" s="313">
        <v>0</v>
      </c>
      <c r="D89" s="331" t="s">
        <v>840</v>
      </c>
      <c r="E89" s="330" t="s">
        <v>840</v>
      </c>
    </row>
    <row r="90" spans="1:5" ht="27.75" customHeight="1" x14ac:dyDescent="0.2">
      <c r="A90" s="324" t="s">
        <v>686</v>
      </c>
      <c r="B90" s="28" t="s">
        <v>840</v>
      </c>
      <c r="C90" s="313">
        <v>0</v>
      </c>
      <c r="D90" s="331" t="s">
        <v>840</v>
      </c>
      <c r="E90" s="330" t="s">
        <v>840</v>
      </c>
    </row>
    <row r="91" spans="1:5" ht="27.75" customHeight="1" x14ac:dyDescent="0.2">
      <c r="A91" s="324" t="s">
        <v>687</v>
      </c>
      <c r="B91" s="28" t="s">
        <v>2001</v>
      </c>
      <c r="C91" s="313">
        <v>0</v>
      </c>
      <c r="D91" s="331" t="s">
        <v>840</v>
      </c>
      <c r="E91" s="330" t="s">
        <v>840</v>
      </c>
    </row>
    <row r="92" spans="1:5" ht="27.75" customHeight="1" x14ac:dyDescent="0.2">
      <c r="A92" s="324" t="s">
        <v>688</v>
      </c>
      <c r="B92" s="28" t="s">
        <v>2002</v>
      </c>
      <c r="C92" s="313">
        <v>0</v>
      </c>
      <c r="D92" s="331" t="s">
        <v>840</v>
      </c>
      <c r="E92" s="330" t="s">
        <v>840</v>
      </c>
    </row>
    <row r="93" spans="1:5" ht="27.75" customHeight="1" x14ac:dyDescent="0.2">
      <c r="A93" s="324" t="s">
        <v>689</v>
      </c>
      <c r="B93" s="28" t="s">
        <v>2003</v>
      </c>
      <c r="C93" s="313">
        <v>0</v>
      </c>
      <c r="D93" s="331" t="s">
        <v>840</v>
      </c>
      <c r="E93" s="330" t="s">
        <v>840</v>
      </c>
    </row>
    <row r="94" spans="1:5" ht="27.75" customHeight="1" x14ac:dyDescent="0.2">
      <c r="A94" s="324" t="s">
        <v>690</v>
      </c>
      <c r="B94" s="28" t="s">
        <v>2004</v>
      </c>
      <c r="C94" s="313">
        <v>0</v>
      </c>
      <c r="D94" s="331" t="s">
        <v>840</v>
      </c>
      <c r="E94" s="330" t="s">
        <v>840</v>
      </c>
    </row>
    <row r="95" spans="1:5" ht="27.75" customHeight="1" x14ac:dyDescent="0.2">
      <c r="A95" s="324" t="s">
        <v>691</v>
      </c>
      <c r="B95" s="28" t="s">
        <v>840</v>
      </c>
      <c r="C95" s="313">
        <v>0</v>
      </c>
      <c r="D95" s="331" t="s">
        <v>840</v>
      </c>
      <c r="E95" s="330" t="s">
        <v>840</v>
      </c>
    </row>
    <row r="96" spans="1:5" ht="27.75" customHeight="1" x14ac:dyDescent="0.2">
      <c r="A96" s="324" t="s">
        <v>692</v>
      </c>
      <c r="B96" s="28" t="s">
        <v>2005</v>
      </c>
      <c r="C96" s="313">
        <v>0</v>
      </c>
      <c r="D96" s="331" t="s">
        <v>840</v>
      </c>
      <c r="E96" s="330" t="s">
        <v>840</v>
      </c>
    </row>
    <row r="97" spans="1:5" ht="27.75" customHeight="1" x14ac:dyDescent="0.2">
      <c r="A97" s="324" t="s">
        <v>693</v>
      </c>
      <c r="B97" s="28" t="s">
        <v>2006</v>
      </c>
      <c r="C97" s="313">
        <v>0</v>
      </c>
      <c r="D97" s="331" t="s">
        <v>840</v>
      </c>
      <c r="E97" s="330" t="s">
        <v>840</v>
      </c>
    </row>
    <row r="98" spans="1:5" ht="27.75" customHeight="1" x14ac:dyDescent="0.2">
      <c r="A98" s="324" t="s">
        <v>694</v>
      </c>
      <c r="B98" s="28" t="s">
        <v>2007</v>
      </c>
      <c r="C98" s="313">
        <v>0</v>
      </c>
      <c r="D98" s="331" t="s">
        <v>840</v>
      </c>
      <c r="E98" s="330" t="s">
        <v>840</v>
      </c>
    </row>
    <row r="99" spans="1:5" ht="27.75" customHeight="1" x14ac:dyDescent="0.2">
      <c r="A99" s="324" t="s">
        <v>695</v>
      </c>
      <c r="B99" s="28"/>
      <c r="C99" s="313">
        <v>0</v>
      </c>
      <c r="D99" s="331" t="s">
        <v>840</v>
      </c>
      <c r="E99" s="330" t="s">
        <v>840</v>
      </c>
    </row>
    <row r="100" spans="1:5" ht="27.75" customHeight="1" x14ac:dyDescent="0.2">
      <c r="A100" s="324" t="s">
        <v>828</v>
      </c>
      <c r="B100" s="28"/>
      <c r="C100" s="313" t="s">
        <v>845</v>
      </c>
      <c r="D100" s="330" t="s">
        <v>840</v>
      </c>
      <c r="E100" s="330" t="s">
        <v>840</v>
      </c>
    </row>
    <row r="101" spans="1:5" ht="27.75" customHeight="1" x14ac:dyDescent="0.2">
      <c r="A101" s="324" t="s">
        <v>790</v>
      </c>
      <c r="B101" s="28"/>
      <c r="C101" s="313" t="s">
        <v>846</v>
      </c>
      <c r="D101" s="331" t="s">
        <v>840</v>
      </c>
      <c r="E101" s="330" t="s">
        <v>840</v>
      </c>
    </row>
    <row r="102" spans="1:5" ht="27.75" customHeight="1" x14ac:dyDescent="0.2">
      <c r="A102" s="324" t="s">
        <v>797</v>
      </c>
      <c r="B102" s="28"/>
      <c r="C102" s="313" t="s">
        <v>846</v>
      </c>
      <c r="D102" s="331" t="s">
        <v>840</v>
      </c>
      <c r="E102" s="330" t="s">
        <v>840</v>
      </c>
    </row>
    <row r="103" spans="1:5" ht="27.75" customHeight="1" x14ac:dyDescent="0.2">
      <c r="A103" s="324" t="s">
        <v>804</v>
      </c>
      <c r="B103" s="28"/>
      <c r="C103" s="313" t="s">
        <v>846</v>
      </c>
      <c r="D103" s="331" t="s">
        <v>840</v>
      </c>
      <c r="E103" s="330" t="s">
        <v>840</v>
      </c>
    </row>
    <row r="104" spans="1:5" ht="27.75" customHeight="1" x14ac:dyDescent="0.2">
      <c r="A104" s="324" t="s">
        <v>811</v>
      </c>
      <c r="B104" s="28"/>
      <c r="C104" s="313" t="s">
        <v>846</v>
      </c>
      <c r="D104" s="331" t="s">
        <v>840</v>
      </c>
      <c r="E104" s="330" t="s">
        <v>840</v>
      </c>
    </row>
    <row r="105" spans="1:5" ht="27.75" customHeight="1" x14ac:dyDescent="0.2">
      <c r="A105" s="324" t="s">
        <v>818</v>
      </c>
      <c r="B105" s="28"/>
      <c r="C105" s="313" t="s">
        <v>846</v>
      </c>
      <c r="D105" s="331" t="s">
        <v>840</v>
      </c>
      <c r="E105" s="330" t="s">
        <v>840</v>
      </c>
    </row>
    <row r="106" spans="1:5" ht="27.75" customHeight="1" x14ac:dyDescent="0.2">
      <c r="A106" s="324" t="s">
        <v>697</v>
      </c>
      <c r="B106" s="28"/>
      <c r="C106" s="313">
        <v>0</v>
      </c>
      <c r="D106" s="331" t="s">
        <v>840</v>
      </c>
      <c r="E106" s="330" t="s">
        <v>840</v>
      </c>
    </row>
    <row r="107" spans="1:5" ht="27.75" customHeight="1" x14ac:dyDescent="0.2">
      <c r="A107" s="324" t="s">
        <v>698</v>
      </c>
      <c r="B107" s="28"/>
      <c r="C107" s="313">
        <v>0</v>
      </c>
      <c r="D107" s="331" t="s">
        <v>840</v>
      </c>
      <c r="E107" s="330" t="s">
        <v>840</v>
      </c>
    </row>
    <row r="108" spans="1:5" ht="27.75" customHeight="1" x14ac:dyDescent="0.2">
      <c r="A108" s="324" t="s">
        <v>699</v>
      </c>
      <c r="B108" s="28"/>
      <c r="C108" s="313">
        <v>0</v>
      </c>
      <c r="D108" s="331" t="s">
        <v>840</v>
      </c>
      <c r="E108" s="330" t="s">
        <v>840</v>
      </c>
    </row>
    <row r="109" spans="1:5" ht="27.75" customHeight="1" x14ac:dyDescent="0.2">
      <c r="A109" s="324" t="s">
        <v>700</v>
      </c>
      <c r="B109" s="28"/>
      <c r="C109" s="313">
        <v>0</v>
      </c>
      <c r="D109" s="331" t="s">
        <v>840</v>
      </c>
      <c r="E109" s="330" t="s">
        <v>840</v>
      </c>
    </row>
    <row r="110" spans="1:5" ht="27.75" customHeight="1" x14ac:dyDescent="0.2">
      <c r="A110" s="324" t="s">
        <v>701</v>
      </c>
      <c r="B110" s="28"/>
      <c r="C110" s="313">
        <v>0</v>
      </c>
      <c r="D110" s="331" t="s">
        <v>840</v>
      </c>
      <c r="E110" s="330" t="s">
        <v>840</v>
      </c>
    </row>
    <row r="111" spans="1:5" ht="27.75" customHeight="1" x14ac:dyDescent="0.2">
      <c r="A111" s="324" t="s">
        <v>702</v>
      </c>
      <c r="B111" s="28"/>
      <c r="C111" s="313">
        <v>0</v>
      </c>
      <c r="D111" s="331" t="s">
        <v>840</v>
      </c>
      <c r="E111" s="330" t="s">
        <v>840</v>
      </c>
    </row>
    <row r="112" spans="1:5" ht="27.75" customHeight="1" x14ac:dyDescent="0.2">
      <c r="A112" s="324" t="s">
        <v>703</v>
      </c>
      <c r="B112" s="28"/>
      <c r="C112" s="313">
        <v>0</v>
      </c>
      <c r="D112" s="331" t="s">
        <v>840</v>
      </c>
      <c r="E112" s="330" t="s">
        <v>840</v>
      </c>
    </row>
    <row r="113" spans="1:5" ht="27.75" customHeight="1" x14ac:dyDescent="0.2">
      <c r="A113" s="324" t="s">
        <v>704</v>
      </c>
      <c r="B113" s="28"/>
      <c r="C113" s="313">
        <v>0</v>
      </c>
      <c r="D113" s="331" t="s">
        <v>840</v>
      </c>
      <c r="E113" s="330" t="s">
        <v>840</v>
      </c>
    </row>
    <row r="114" spans="1:5" ht="27.75" customHeight="1" x14ac:dyDescent="0.2">
      <c r="A114" s="324" t="s">
        <v>705</v>
      </c>
      <c r="B114" s="28"/>
      <c r="C114" s="313">
        <v>0</v>
      </c>
      <c r="D114" s="331" t="s">
        <v>840</v>
      </c>
      <c r="E114" s="330" t="s">
        <v>840</v>
      </c>
    </row>
    <row r="115" spans="1:5" ht="27.75" customHeight="1" x14ac:dyDescent="0.2">
      <c r="A115" s="324" t="s">
        <v>706</v>
      </c>
      <c r="B115" s="28"/>
      <c r="C115" s="313">
        <v>0</v>
      </c>
      <c r="D115" s="331" t="s">
        <v>840</v>
      </c>
      <c r="E115" s="330" t="s">
        <v>840</v>
      </c>
    </row>
    <row r="116" spans="1:5" ht="27.75" customHeight="1" x14ac:dyDescent="0.2">
      <c r="A116" s="324" t="s">
        <v>707</v>
      </c>
      <c r="B116" s="28"/>
      <c r="C116" s="313">
        <v>0</v>
      </c>
      <c r="D116" s="331" t="s">
        <v>840</v>
      </c>
      <c r="E116" s="330" t="s">
        <v>840</v>
      </c>
    </row>
    <row r="117" spans="1:5" ht="27.75" customHeight="1" x14ac:dyDescent="0.2">
      <c r="A117" s="324" t="s">
        <v>708</v>
      </c>
      <c r="B117" s="28"/>
      <c r="C117" s="313">
        <v>0</v>
      </c>
      <c r="D117" s="331" t="s">
        <v>840</v>
      </c>
      <c r="E117" s="330" t="s">
        <v>840</v>
      </c>
    </row>
    <row r="118" spans="1:5" ht="27.75" customHeight="1" x14ac:dyDescent="0.2">
      <c r="A118" s="324" t="s">
        <v>709</v>
      </c>
      <c r="B118" s="28"/>
      <c r="C118" s="313">
        <v>0</v>
      </c>
      <c r="D118" s="331" t="s">
        <v>840</v>
      </c>
      <c r="E118" s="330" t="s">
        <v>840</v>
      </c>
    </row>
    <row r="119" spans="1:5" ht="27.75" customHeight="1" x14ac:dyDescent="0.2">
      <c r="A119" s="324" t="s">
        <v>710</v>
      </c>
      <c r="B119" s="28"/>
      <c r="C119" s="313">
        <v>0</v>
      </c>
      <c r="D119" s="331" t="s">
        <v>840</v>
      </c>
      <c r="E119" s="330" t="s">
        <v>840</v>
      </c>
    </row>
    <row r="120" spans="1:5" ht="27.75" customHeight="1" x14ac:dyDescent="0.2">
      <c r="A120" s="324" t="s">
        <v>711</v>
      </c>
      <c r="B120" s="28"/>
      <c r="C120" s="313">
        <v>0</v>
      </c>
      <c r="D120" s="331" t="s">
        <v>840</v>
      </c>
      <c r="E120" s="330" t="s">
        <v>840</v>
      </c>
    </row>
    <row r="121" spans="1:5" ht="27.75" customHeight="1" x14ac:dyDescent="0.2">
      <c r="A121" s="324" t="s">
        <v>829</v>
      </c>
      <c r="B121" s="28"/>
      <c r="C121" s="313" t="s">
        <v>845</v>
      </c>
      <c r="D121" s="330" t="s">
        <v>840</v>
      </c>
      <c r="E121" s="330" t="s">
        <v>840</v>
      </c>
    </row>
    <row r="122" spans="1:5" ht="27.75" customHeight="1" x14ac:dyDescent="0.2">
      <c r="A122" s="324" t="s">
        <v>791</v>
      </c>
      <c r="B122" s="28"/>
      <c r="C122" s="313" t="s">
        <v>846</v>
      </c>
      <c r="D122" s="331" t="s">
        <v>840</v>
      </c>
      <c r="E122" s="330" t="s">
        <v>840</v>
      </c>
    </row>
    <row r="123" spans="1:5" ht="27.75" customHeight="1" x14ac:dyDescent="0.2">
      <c r="A123" s="324" t="s">
        <v>798</v>
      </c>
      <c r="B123" s="28"/>
      <c r="C123" s="313" t="s">
        <v>846</v>
      </c>
      <c r="D123" s="331" t="s">
        <v>840</v>
      </c>
      <c r="E123" s="330" t="s">
        <v>840</v>
      </c>
    </row>
    <row r="124" spans="1:5" ht="27.75" customHeight="1" x14ac:dyDescent="0.2">
      <c r="A124" s="324" t="s">
        <v>805</v>
      </c>
      <c r="B124" s="28"/>
      <c r="C124" s="313" t="s">
        <v>846</v>
      </c>
      <c r="D124" s="331" t="s">
        <v>840</v>
      </c>
      <c r="E124" s="330" t="s">
        <v>840</v>
      </c>
    </row>
    <row r="125" spans="1:5" ht="27.75" customHeight="1" x14ac:dyDescent="0.2">
      <c r="A125" s="324" t="s">
        <v>812</v>
      </c>
      <c r="B125" s="28"/>
      <c r="C125" s="313" t="s">
        <v>846</v>
      </c>
      <c r="D125" s="331" t="s">
        <v>840</v>
      </c>
      <c r="E125" s="330" t="s">
        <v>840</v>
      </c>
    </row>
    <row r="126" spans="1:5" ht="27.75" customHeight="1" x14ac:dyDescent="0.2">
      <c r="A126" s="324" t="s">
        <v>819</v>
      </c>
      <c r="B126" s="28"/>
      <c r="C126" s="313" t="s">
        <v>846</v>
      </c>
      <c r="D126" s="331" t="s">
        <v>840</v>
      </c>
      <c r="E126" s="330" t="s">
        <v>840</v>
      </c>
    </row>
    <row r="127" spans="1:5" ht="27.75" customHeight="1" x14ac:dyDescent="0.2">
      <c r="A127" s="324" t="s">
        <v>713</v>
      </c>
      <c r="B127" s="28"/>
      <c r="C127" s="313">
        <v>0</v>
      </c>
      <c r="D127" s="331" t="s">
        <v>840</v>
      </c>
      <c r="E127" s="330" t="s">
        <v>840</v>
      </c>
    </row>
    <row r="128" spans="1:5" ht="27.75" customHeight="1" x14ac:dyDescent="0.2">
      <c r="A128" s="324" t="s">
        <v>714</v>
      </c>
      <c r="B128" s="28"/>
      <c r="C128" s="313">
        <v>0</v>
      </c>
      <c r="D128" s="331" t="s">
        <v>840</v>
      </c>
      <c r="E128" s="330" t="s">
        <v>840</v>
      </c>
    </row>
    <row r="129" spans="1:5" ht="27.75" customHeight="1" x14ac:dyDescent="0.2">
      <c r="A129" s="324" t="s">
        <v>715</v>
      </c>
      <c r="B129" s="28"/>
      <c r="C129" s="313">
        <v>0</v>
      </c>
      <c r="D129" s="331" t="s">
        <v>840</v>
      </c>
      <c r="E129" s="330" t="s">
        <v>840</v>
      </c>
    </row>
    <row r="130" spans="1:5" ht="27.75" customHeight="1" x14ac:dyDescent="0.2">
      <c r="A130" s="324" t="s">
        <v>716</v>
      </c>
      <c r="B130" s="28"/>
      <c r="C130" s="313">
        <v>0</v>
      </c>
      <c r="D130" s="331" t="s">
        <v>840</v>
      </c>
      <c r="E130" s="330" t="s">
        <v>840</v>
      </c>
    </row>
    <row r="131" spans="1:5" ht="27.75" customHeight="1" x14ac:dyDescent="0.2">
      <c r="A131" s="324" t="s">
        <v>717</v>
      </c>
      <c r="B131" s="28"/>
      <c r="C131" s="313">
        <v>0</v>
      </c>
      <c r="D131" s="331" t="s">
        <v>840</v>
      </c>
      <c r="E131" s="330" t="s">
        <v>840</v>
      </c>
    </row>
    <row r="132" spans="1:5" ht="27.75" customHeight="1" x14ac:dyDescent="0.2">
      <c r="A132" s="324" t="s">
        <v>718</v>
      </c>
      <c r="B132" s="28"/>
      <c r="C132" s="313">
        <v>0</v>
      </c>
      <c r="D132" s="331" t="s">
        <v>840</v>
      </c>
      <c r="E132" s="330" t="s">
        <v>840</v>
      </c>
    </row>
    <row r="133" spans="1:5" ht="27.75" customHeight="1" x14ac:dyDescent="0.2">
      <c r="A133" s="324" t="s">
        <v>719</v>
      </c>
      <c r="B133" s="28"/>
      <c r="C133" s="313">
        <v>0</v>
      </c>
      <c r="D133" s="331" t="s">
        <v>840</v>
      </c>
      <c r="E133" s="330" t="s">
        <v>840</v>
      </c>
    </row>
    <row r="134" spans="1:5" ht="27.75" customHeight="1" x14ac:dyDescent="0.2">
      <c r="A134" s="324" t="s">
        <v>720</v>
      </c>
      <c r="B134" s="28"/>
      <c r="C134" s="313">
        <v>0</v>
      </c>
      <c r="D134" s="331" t="s">
        <v>840</v>
      </c>
      <c r="E134" s="330" t="s">
        <v>840</v>
      </c>
    </row>
    <row r="135" spans="1:5" ht="27.75" customHeight="1" x14ac:dyDescent="0.2">
      <c r="A135" s="324" t="s">
        <v>721</v>
      </c>
      <c r="B135" s="28"/>
      <c r="C135" s="313">
        <v>0</v>
      </c>
      <c r="D135" s="331" t="s">
        <v>840</v>
      </c>
      <c r="E135" s="330" t="s">
        <v>840</v>
      </c>
    </row>
    <row r="136" spans="1:5" ht="27.75" customHeight="1" x14ac:dyDescent="0.2">
      <c r="A136" s="324" t="s">
        <v>722</v>
      </c>
      <c r="B136" s="28"/>
      <c r="C136" s="313">
        <v>0</v>
      </c>
      <c r="D136" s="331" t="s">
        <v>840</v>
      </c>
      <c r="E136" s="330" t="s">
        <v>840</v>
      </c>
    </row>
    <row r="137" spans="1:5" ht="27.75" customHeight="1" x14ac:dyDescent="0.2">
      <c r="A137" s="324" t="s">
        <v>723</v>
      </c>
      <c r="B137" s="28"/>
      <c r="C137" s="313">
        <v>0</v>
      </c>
      <c r="D137" s="331" t="s">
        <v>840</v>
      </c>
      <c r="E137" s="330" t="s">
        <v>840</v>
      </c>
    </row>
    <row r="138" spans="1:5" ht="27.75" customHeight="1" x14ac:dyDescent="0.2">
      <c r="A138" s="324" t="s">
        <v>724</v>
      </c>
      <c r="B138" s="28"/>
      <c r="C138" s="313">
        <v>0</v>
      </c>
      <c r="D138" s="331" t="s">
        <v>840</v>
      </c>
      <c r="E138" s="330" t="s">
        <v>840</v>
      </c>
    </row>
    <row r="139" spans="1:5" ht="27.75" customHeight="1" x14ac:dyDescent="0.2">
      <c r="A139" s="324" t="s">
        <v>725</v>
      </c>
      <c r="B139" s="28"/>
      <c r="C139" s="313">
        <v>0</v>
      </c>
      <c r="D139" s="331" t="s">
        <v>840</v>
      </c>
      <c r="E139" s="330" t="s">
        <v>840</v>
      </c>
    </row>
    <row r="140" spans="1:5" ht="27.75" customHeight="1" x14ac:dyDescent="0.2">
      <c r="A140" s="324" t="s">
        <v>726</v>
      </c>
      <c r="B140" s="28"/>
      <c r="C140" s="313">
        <v>0</v>
      </c>
      <c r="D140" s="331" t="s">
        <v>840</v>
      </c>
      <c r="E140" s="330" t="s">
        <v>840</v>
      </c>
    </row>
    <row r="141" spans="1:5" ht="27.75" customHeight="1" x14ac:dyDescent="0.2">
      <c r="A141" s="324" t="s">
        <v>727</v>
      </c>
      <c r="B141" s="28"/>
      <c r="C141" s="313">
        <v>0</v>
      </c>
      <c r="D141" s="331" t="s">
        <v>840</v>
      </c>
      <c r="E141" s="330" t="s">
        <v>840</v>
      </c>
    </row>
    <row r="142" spans="1:5" ht="27.75" customHeight="1" x14ac:dyDescent="0.2">
      <c r="A142" s="324" t="s">
        <v>830</v>
      </c>
      <c r="B142" s="28"/>
      <c r="C142" s="313" t="s">
        <v>845</v>
      </c>
      <c r="D142" s="330" t="s">
        <v>840</v>
      </c>
      <c r="E142" s="330" t="s">
        <v>840</v>
      </c>
    </row>
    <row r="143" spans="1:5" ht="27.75" customHeight="1" x14ac:dyDescent="0.2">
      <c r="A143" s="324" t="s">
        <v>792</v>
      </c>
      <c r="B143" s="28"/>
      <c r="C143" s="313" t="s">
        <v>846</v>
      </c>
      <c r="D143" s="331" t="s">
        <v>840</v>
      </c>
      <c r="E143" s="330" t="s">
        <v>840</v>
      </c>
    </row>
    <row r="144" spans="1:5" ht="27.75" customHeight="1" x14ac:dyDescent="0.2">
      <c r="A144" s="324" t="s">
        <v>799</v>
      </c>
      <c r="B144" s="28"/>
      <c r="C144" s="313" t="s">
        <v>846</v>
      </c>
      <c r="D144" s="331" t="s">
        <v>840</v>
      </c>
      <c r="E144" s="330" t="s">
        <v>840</v>
      </c>
    </row>
    <row r="145" spans="1:5" ht="27.75" customHeight="1" x14ac:dyDescent="0.2">
      <c r="A145" s="324" t="s">
        <v>806</v>
      </c>
      <c r="B145" s="28"/>
      <c r="C145" s="313" t="s">
        <v>846</v>
      </c>
      <c r="D145" s="331" t="s">
        <v>840</v>
      </c>
      <c r="E145" s="330" t="s">
        <v>840</v>
      </c>
    </row>
    <row r="146" spans="1:5" ht="27.75" customHeight="1" x14ac:dyDescent="0.2">
      <c r="A146" s="324" t="s">
        <v>813</v>
      </c>
      <c r="B146" s="28"/>
      <c r="C146" s="313" t="s">
        <v>846</v>
      </c>
      <c r="D146" s="331" t="s">
        <v>840</v>
      </c>
      <c r="E146" s="330" t="s">
        <v>840</v>
      </c>
    </row>
    <row r="147" spans="1:5" ht="27.75" customHeight="1" x14ac:dyDescent="0.2">
      <c r="A147" s="324" t="s">
        <v>820</v>
      </c>
      <c r="B147" s="28"/>
      <c r="C147" s="313" t="s">
        <v>846</v>
      </c>
      <c r="D147" s="331" t="s">
        <v>840</v>
      </c>
      <c r="E147" s="330" t="s">
        <v>840</v>
      </c>
    </row>
    <row r="148" spans="1:5" ht="27.75" customHeight="1" x14ac:dyDescent="0.2">
      <c r="A148" s="324" t="s">
        <v>729</v>
      </c>
      <c r="B148" s="28"/>
      <c r="C148" s="313">
        <v>0</v>
      </c>
      <c r="D148" s="331" t="s">
        <v>840</v>
      </c>
      <c r="E148" s="330" t="s">
        <v>840</v>
      </c>
    </row>
    <row r="149" spans="1:5" ht="27.75" customHeight="1" x14ac:dyDescent="0.2">
      <c r="A149" s="324" t="s">
        <v>730</v>
      </c>
      <c r="B149" s="28"/>
      <c r="C149" s="313">
        <v>0</v>
      </c>
      <c r="D149" s="331" t="s">
        <v>840</v>
      </c>
      <c r="E149" s="330" t="s">
        <v>840</v>
      </c>
    </row>
    <row r="150" spans="1:5" ht="27.75" customHeight="1" x14ac:dyDescent="0.2">
      <c r="A150" s="324" t="s">
        <v>731</v>
      </c>
      <c r="B150" s="28"/>
      <c r="C150" s="313">
        <v>0</v>
      </c>
      <c r="D150" s="331" t="s">
        <v>840</v>
      </c>
      <c r="E150" s="330" t="s">
        <v>840</v>
      </c>
    </row>
    <row r="151" spans="1:5" ht="27.75" customHeight="1" x14ac:dyDescent="0.2">
      <c r="A151" s="324" t="s">
        <v>732</v>
      </c>
      <c r="B151" s="28"/>
      <c r="C151" s="313">
        <v>0</v>
      </c>
      <c r="D151" s="331" t="s">
        <v>840</v>
      </c>
      <c r="E151" s="330" t="s">
        <v>840</v>
      </c>
    </row>
    <row r="152" spans="1:5" ht="27.75" customHeight="1" x14ac:dyDescent="0.2">
      <c r="A152" s="324" t="s">
        <v>733</v>
      </c>
      <c r="B152" s="28"/>
      <c r="C152" s="313">
        <v>0</v>
      </c>
      <c r="D152" s="331" t="s">
        <v>840</v>
      </c>
      <c r="E152" s="330" t="s">
        <v>840</v>
      </c>
    </row>
    <row r="153" spans="1:5" ht="27.75" customHeight="1" x14ac:dyDescent="0.2">
      <c r="A153" s="324" t="s">
        <v>734</v>
      </c>
      <c r="B153" s="28"/>
      <c r="C153" s="313">
        <v>0</v>
      </c>
      <c r="D153" s="331" t="s">
        <v>840</v>
      </c>
      <c r="E153" s="330" t="s">
        <v>840</v>
      </c>
    </row>
    <row r="154" spans="1:5" ht="27.75" customHeight="1" x14ac:dyDescent="0.2">
      <c r="A154" s="324" t="s">
        <v>735</v>
      </c>
      <c r="B154" s="28"/>
      <c r="C154" s="313">
        <v>0</v>
      </c>
      <c r="D154" s="331" t="s">
        <v>840</v>
      </c>
      <c r="E154" s="330" t="s">
        <v>840</v>
      </c>
    </row>
    <row r="155" spans="1:5" ht="27.75" customHeight="1" x14ac:dyDescent="0.2">
      <c r="A155" s="324" t="s">
        <v>736</v>
      </c>
      <c r="B155" s="28"/>
      <c r="C155" s="313">
        <v>0</v>
      </c>
      <c r="D155" s="331" t="s">
        <v>840</v>
      </c>
      <c r="E155" s="330" t="s">
        <v>840</v>
      </c>
    </row>
    <row r="156" spans="1:5" ht="27.75" customHeight="1" x14ac:dyDescent="0.2">
      <c r="A156" s="324" t="s">
        <v>737</v>
      </c>
      <c r="B156" s="28"/>
      <c r="C156" s="313">
        <v>0</v>
      </c>
      <c r="D156" s="331" t="s">
        <v>840</v>
      </c>
      <c r="E156" s="330" t="s">
        <v>840</v>
      </c>
    </row>
    <row r="157" spans="1:5" ht="27.75" customHeight="1" x14ac:dyDescent="0.2">
      <c r="A157" s="324" t="s">
        <v>738</v>
      </c>
      <c r="B157" s="28"/>
      <c r="C157" s="313">
        <v>0</v>
      </c>
      <c r="D157" s="331" t="s">
        <v>840</v>
      </c>
      <c r="E157" s="330" t="s">
        <v>840</v>
      </c>
    </row>
    <row r="158" spans="1:5" ht="27.75" customHeight="1" x14ac:dyDescent="0.2">
      <c r="A158" s="324" t="s">
        <v>739</v>
      </c>
      <c r="B158" s="28"/>
      <c r="C158" s="313">
        <v>0</v>
      </c>
      <c r="D158" s="331" t="s">
        <v>840</v>
      </c>
      <c r="E158" s="330" t="s">
        <v>840</v>
      </c>
    </row>
    <row r="159" spans="1:5" ht="27.75" customHeight="1" x14ac:dyDescent="0.2">
      <c r="A159" s="324" t="s">
        <v>740</v>
      </c>
      <c r="B159" s="28"/>
      <c r="C159" s="313">
        <v>0</v>
      </c>
      <c r="D159" s="331" t="s">
        <v>840</v>
      </c>
      <c r="E159" s="330" t="s">
        <v>840</v>
      </c>
    </row>
    <row r="160" spans="1:5" ht="27.75" customHeight="1" x14ac:dyDescent="0.2">
      <c r="A160" s="324" t="s">
        <v>741</v>
      </c>
      <c r="B160" s="28"/>
      <c r="C160" s="313">
        <v>0</v>
      </c>
      <c r="D160" s="331" t="s">
        <v>840</v>
      </c>
      <c r="E160" s="330" t="s">
        <v>840</v>
      </c>
    </row>
    <row r="161" spans="1:5" ht="27.75" customHeight="1" x14ac:dyDescent="0.2">
      <c r="A161" s="324" t="s">
        <v>742</v>
      </c>
      <c r="B161" s="28"/>
      <c r="C161" s="313">
        <v>0</v>
      </c>
      <c r="D161" s="331" t="s">
        <v>840</v>
      </c>
      <c r="E161" s="330" t="s">
        <v>840</v>
      </c>
    </row>
    <row r="162" spans="1:5" ht="27.75" customHeight="1" x14ac:dyDescent="0.2">
      <c r="A162" s="324" t="s">
        <v>743</v>
      </c>
      <c r="B162" s="28" t="s">
        <v>840</v>
      </c>
      <c r="C162" s="313">
        <v>0</v>
      </c>
      <c r="D162" s="331" t="s">
        <v>840</v>
      </c>
      <c r="E162" s="330" t="s">
        <v>840</v>
      </c>
    </row>
    <row r="163" spans="1:5" ht="27.75" customHeight="1" x14ac:dyDescent="0.2">
      <c r="A163" s="1" t="s">
        <v>821</v>
      </c>
    </row>
    <row r="164" spans="1:5" ht="27.75" customHeight="1" x14ac:dyDescent="0.2">
      <c r="A164" s="1" t="s">
        <v>822</v>
      </c>
    </row>
  </sheetData>
  <mergeCells count="2">
    <mergeCell ref="B1:C1"/>
    <mergeCell ref="A2:E2"/>
  </mergeCells>
  <hyperlinks>
    <hyperlink ref="A1" location="Overview!A1" display="Back to Overview" xr:uid="{6284586E-E361-4BF2-BCA2-B816A31EA836}"/>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F705-F283-45B5-9A9A-F39A4827D948}">
  <dimension ref="A1:M164"/>
  <sheetViews>
    <sheetView zoomScale="70" zoomScaleNormal="70" workbookViewId="0"/>
  </sheetViews>
  <sheetFormatPr defaultColWidth="9.140625" defaultRowHeight="12.75" x14ac:dyDescent="0.2"/>
  <cols>
    <col min="1" max="1" width="50.7109375" style="1" customWidth="1"/>
    <col min="2" max="2" width="17.5703125" style="2" customWidth="1"/>
    <col min="3" max="3" width="6.85546875" style="1" customWidth="1"/>
    <col min="4" max="5" width="17.5703125" style="2" customWidth="1"/>
    <col min="6" max="6" width="9.140625" style="348"/>
    <col min="7" max="16384" width="9.140625" style="1"/>
  </cols>
  <sheetData>
    <row r="1" spans="1:13" ht="27.75" customHeight="1" x14ac:dyDescent="0.2">
      <c r="A1" s="32" t="s">
        <v>19</v>
      </c>
      <c r="B1" s="519"/>
      <c r="C1" s="519"/>
      <c r="D1" s="329"/>
      <c r="E1" s="329"/>
    </row>
    <row r="2" spans="1:13" ht="35.1" customHeight="1" x14ac:dyDescent="0.2">
      <c r="A2" s="520" t="str">
        <f>Overview!B4&amp; " - Effective from "&amp;TEXT(Overview!D4,"d mmmm yyyy")&amp;" - "&amp;Overview!E4&amp;" Supplier of Last Resort and Eligible Bad Debt Pass-Through Costs"&amp;" in SSE SHEPD Area (GSP Group_P)"</f>
        <v>Leep Electricity Networks Limited - Effective from 1 April 2026 - Final Supplier of Last Resort and Eligible Bad Debt Pass-Through Costs in SSE SHEPD Area (GSP Group_P)</v>
      </c>
      <c r="B2" s="521"/>
      <c r="C2" s="521"/>
      <c r="D2" s="521"/>
      <c r="E2" s="522"/>
    </row>
    <row r="3" spans="1:13" s="41" customFormat="1" ht="21" customHeight="1" x14ac:dyDescent="0.2">
      <c r="A3" s="46"/>
      <c r="B3" s="46"/>
      <c r="C3" s="46"/>
      <c r="D3" s="46"/>
      <c r="E3" s="46"/>
      <c r="F3" s="348"/>
    </row>
    <row r="4" spans="1:13" ht="78.75" customHeight="1" x14ac:dyDescent="0.2">
      <c r="A4" s="19" t="s">
        <v>458</v>
      </c>
      <c r="B4" s="16" t="s">
        <v>744</v>
      </c>
      <c r="C4" s="16" t="s">
        <v>24</v>
      </c>
      <c r="D4" s="16" t="s">
        <v>745</v>
      </c>
      <c r="E4" s="16" t="s">
        <v>746</v>
      </c>
      <c r="G4" s="395"/>
      <c r="H4" s="396"/>
      <c r="I4" s="396"/>
      <c r="J4" s="396"/>
      <c r="K4" s="396"/>
      <c r="L4" s="396"/>
      <c r="M4" s="397"/>
    </row>
    <row r="5" spans="1:13" ht="32.25" customHeight="1" x14ac:dyDescent="0.2">
      <c r="A5" s="10" t="s">
        <v>773</v>
      </c>
      <c r="B5" s="28"/>
      <c r="C5" s="313" t="s">
        <v>845</v>
      </c>
      <c r="D5" s="330">
        <v>0</v>
      </c>
      <c r="E5" s="347" t="s">
        <v>840</v>
      </c>
      <c r="G5" s="396"/>
      <c r="H5" s="396"/>
      <c r="I5" s="396"/>
      <c r="J5" s="396"/>
      <c r="K5" s="396"/>
      <c r="L5" s="396"/>
      <c r="M5" s="397"/>
    </row>
    <row r="6" spans="1:13" ht="27" customHeight="1" x14ac:dyDescent="0.2">
      <c r="A6" s="10" t="s">
        <v>774</v>
      </c>
      <c r="B6" s="28"/>
      <c r="C6" s="313" t="s">
        <v>846</v>
      </c>
      <c r="D6" s="331" t="s">
        <v>840</v>
      </c>
      <c r="E6" s="347" t="s">
        <v>840</v>
      </c>
    </row>
    <row r="7" spans="1:13" ht="27" customHeight="1" x14ac:dyDescent="0.2">
      <c r="A7" s="10" t="s">
        <v>775</v>
      </c>
      <c r="B7" s="28"/>
      <c r="C7" s="313" t="s">
        <v>846</v>
      </c>
      <c r="D7" s="331" t="s">
        <v>840</v>
      </c>
      <c r="E7" s="347" t="s">
        <v>840</v>
      </c>
    </row>
    <row r="8" spans="1:13" ht="27" customHeight="1" x14ac:dyDescent="0.2">
      <c r="A8" s="10" t="s">
        <v>776</v>
      </c>
      <c r="B8" s="28"/>
      <c r="C8" s="313" t="s">
        <v>846</v>
      </c>
      <c r="D8" s="331" t="s">
        <v>840</v>
      </c>
      <c r="E8" s="347" t="s">
        <v>840</v>
      </c>
    </row>
    <row r="9" spans="1:13" ht="27" customHeight="1" x14ac:dyDescent="0.2">
      <c r="A9" s="10" t="s">
        <v>777</v>
      </c>
      <c r="B9" s="28"/>
      <c r="C9" s="313" t="s">
        <v>846</v>
      </c>
      <c r="D9" s="331" t="s">
        <v>840</v>
      </c>
      <c r="E9" s="347" t="s">
        <v>840</v>
      </c>
    </row>
    <row r="10" spans="1:13" ht="27" customHeight="1" x14ac:dyDescent="0.2">
      <c r="A10" s="10" t="s">
        <v>778</v>
      </c>
      <c r="B10" s="28"/>
      <c r="C10" s="313" t="s">
        <v>846</v>
      </c>
      <c r="D10" s="331" t="s">
        <v>840</v>
      </c>
      <c r="E10" s="347" t="s">
        <v>840</v>
      </c>
    </row>
    <row r="11" spans="1:13" ht="27" customHeight="1" x14ac:dyDescent="0.2">
      <c r="A11" s="324" t="s">
        <v>595</v>
      </c>
      <c r="B11" s="28"/>
      <c r="C11" s="313">
        <v>0</v>
      </c>
      <c r="D11" s="331" t="s">
        <v>840</v>
      </c>
      <c r="E11" s="347" t="s">
        <v>840</v>
      </c>
    </row>
    <row r="12" spans="1:13" ht="27" customHeight="1" x14ac:dyDescent="0.2">
      <c r="A12" s="324" t="s">
        <v>596</v>
      </c>
      <c r="B12" s="28"/>
      <c r="C12" s="313">
        <v>0</v>
      </c>
      <c r="D12" s="331" t="s">
        <v>840</v>
      </c>
      <c r="E12" s="347" t="s">
        <v>840</v>
      </c>
    </row>
    <row r="13" spans="1:13" ht="27" customHeight="1" x14ac:dyDescent="0.2">
      <c r="A13" s="324" t="s">
        <v>597</v>
      </c>
      <c r="B13" s="28"/>
      <c r="C13" s="313">
        <v>0</v>
      </c>
      <c r="D13" s="331" t="s">
        <v>840</v>
      </c>
      <c r="E13" s="347" t="s">
        <v>840</v>
      </c>
    </row>
    <row r="14" spans="1:13" ht="27.75" customHeight="1" x14ac:dyDescent="0.2">
      <c r="A14" s="324" t="s">
        <v>598</v>
      </c>
      <c r="B14" s="28"/>
      <c r="C14" s="313">
        <v>0</v>
      </c>
      <c r="D14" s="331" t="s">
        <v>840</v>
      </c>
      <c r="E14" s="347" t="s">
        <v>840</v>
      </c>
    </row>
    <row r="15" spans="1:13" ht="27.75" customHeight="1" x14ac:dyDescent="0.2">
      <c r="A15" s="325" t="s">
        <v>599</v>
      </c>
      <c r="B15" s="28"/>
      <c r="C15" s="313">
        <v>0</v>
      </c>
      <c r="D15" s="331" t="s">
        <v>840</v>
      </c>
      <c r="E15" s="347" t="s">
        <v>840</v>
      </c>
    </row>
    <row r="16" spans="1:13" ht="27.75" customHeight="1" x14ac:dyDescent="0.2">
      <c r="A16" s="325" t="s">
        <v>600</v>
      </c>
      <c r="B16" s="28"/>
      <c r="C16" s="313">
        <v>0</v>
      </c>
      <c r="D16" s="331" t="s">
        <v>840</v>
      </c>
      <c r="E16" s="347" t="s">
        <v>840</v>
      </c>
    </row>
    <row r="17" spans="1:6" ht="27.75" customHeight="1" x14ac:dyDescent="0.2">
      <c r="A17" s="325" t="s">
        <v>601</v>
      </c>
      <c r="B17" s="28"/>
      <c r="C17" s="313">
        <v>0</v>
      </c>
      <c r="D17" s="331" t="s">
        <v>840</v>
      </c>
      <c r="E17" s="347" t="s">
        <v>840</v>
      </c>
    </row>
    <row r="18" spans="1:6" ht="27.75" customHeight="1" x14ac:dyDescent="0.2">
      <c r="A18" s="325" t="s">
        <v>602</v>
      </c>
      <c r="B18" s="28"/>
      <c r="C18" s="313">
        <v>0</v>
      </c>
      <c r="D18" s="331" t="s">
        <v>840</v>
      </c>
      <c r="E18" s="347" t="s">
        <v>840</v>
      </c>
    </row>
    <row r="19" spans="1:6" ht="27.75" customHeight="1" x14ac:dyDescent="0.2">
      <c r="A19" s="325" t="s">
        <v>603</v>
      </c>
      <c r="B19" s="28"/>
      <c r="C19" s="313">
        <v>0</v>
      </c>
      <c r="D19" s="331" t="s">
        <v>840</v>
      </c>
      <c r="E19" s="347" t="s">
        <v>840</v>
      </c>
    </row>
    <row r="20" spans="1:6" ht="27.75" customHeight="1" x14ac:dyDescent="0.2">
      <c r="A20" s="325" t="s">
        <v>604</v>
      </c>
      <c r="B20" s="28"/>
      <c r="C20" s="313">
        <v>0</v>
      </c>
      <c r="D20" s="331" t="s">
        <v>840</v>
      </c>
      <c r="E20" s="347" t="s">
        <v>840</v>
      </c>
    </row>
    <row r="21" spans="1:6" ht="27.75" customHeight="1" x14ac:dyDescent="0.2">
      <c r="A21" s="325" t="s">
        <v>605</v>
      </c>
      <c r="B21" s="28"/>
      <c r="C21" s="313">
        <v>0</v>
      </c>
      <c r="D21" s="331" t="s">
        <v>840</v>
      </c>
      <c r="E21" s="347" t="s">
        <v>840</v>
      </c>
    </row>
    <row r="22" spans="1:6" ht="27.75" customHeight="1" x14ac:dyDescent="0.2">
      <c r="A22" s="325" t="s">
        <v>606</v>
      </c>
      <c r="B22" s="28"/>
      <c r="C22" s="313">
        <v>0</v>
      </c>
      <c r="D22" s="331" t="s">
        <v>840</v>
      </c>
      <c r="E22" s="347" t="s">
        <v>840</v>
      </c>
    </row>
    <row r="23" spans="1:6" ht="27.75" customHeight="1" x14ac:dyDescent="0.2">
      <c r="A23" s="324" t="s">
        <v>607</v>
      </c>
      <c r="B23" s="28"/>
      <c r="C23" s="313">
        <v>0</v>
      </c>
      <c r="D23" s="331" t="s">
        <v>840</v>
      </c>
      <c r="E23" s="347" t="s">
        <v>840</v>
      </c>
    </row>
    <row r="24" spans="1:6" ht="27.75" customHeight="1" x14ac:dyDescent="0.2">
      <c r="A24" s="324" t="s">
        <v>608</v>
      </c>
      <c r="B24" s="28"/>
      <c r="C24" s="313">
        <v>0</v>
      </c>
      <c r="D24" s="331" t="s">
        <v>840</v>
      </c>
      <c r="E24" s="347" t="s">
        <v>840</v>
      </c>
    </row>
    <row r="25" spans="1:6" ht="27.75" customHeight="1" x14ac:dyDescent="0.2">
      <c r="A25" s="324" t="s">
        <v>609</v>
      </c>
      <c r="B25" s="28"/>
      <c r="C25" s="313">
        <v>0</v>
      </c>
      <c r="D25" s="331" t="s">
        <v>840</v>
      </c>
      <c r="E25" s="347" t="s">
        <v>840</v>
      </c>
    </row>
    <row r="26" spans="1:6" ht="27.75" customHeight="1" x14ac:dyDescent="0.2">
      <c r="A26" s="324" t="s">
        <v>779</v>
      </c>
      <c r="B26" s="28" t="s">
        <v>2008</v>
      </c>
      <c r="C26" s="313" t="s">
        <v>845</v>
      </c>
      <c r="D26" s="330">
        <v>0</v>
      </c>
      <c r="E26" s="347" t="s">
        <v>840</v>
      </c>
      <c r="F26" s="349" t="str">
        <f>A26&amp;" with Residual"</f>
        <v>LDNO LV: Domestic Aggregated or CT with Residual with Residual</v>
      </c>
    </row>
    <row r="27" spans="1:6" ht="27.75" customHeight="1" x14ac:dyDescent="0.2">
      <c r="A27" s="324" t="s">
        <v>786</v>
      </c>
      <c r="B27" s="28" t="s">
        <v>2009</v>
      </c>
      <c r="C27" s="313" t="s">
        <v>846</v>
      </c>
      <c r="D27" s="331" t="s">
        <v>840</v>
      </c>
      <c r="E27" s="347" t="s">
        <v>840</v>
      </c>
    </row>
    <row r="28" spans="1:6" ht="27.75" customHeight="1" x14ac:dyDescent="0.2">
      <c r="A28" s="324" t="s">
        <v>793</v>
      </c>
      <c r="B28" s="28" t="s">
        <v>2010</v>
      </c>
      <c r="C28" s="313" t="s">
        <v>846</v>
      </c>
      <c r="D28" s="331" t="s">
        <v>840</v>
      </c>
      <c r="E28" s="347" t="s">
        <v>840</v>
      </c>
    </row>
    <row r="29" spans="1:6" ht="27.75" customHeight="1" x14ac:dyDescent="0.2">
      <c r="A29" s="324" t="s">
        <v>800</v>
      </c>
      <c r="B29" s="28" t="s">
        <v>2011</v>
      </c>
      <c r="C29" s="313" t="s">
        <v>846</v>
      </c>
      <c r="D29" s="331" t="s">
        <v>840</v>
      </c>
      <c r="E29" s="347" t="s">
        <v>840</v>
      </c>
    </row>
    <row r="30" spans="1:6" ht="27.75" customHeight="1" x14ac:dyDescent="0.2">
      <c r="A30" s="324" t="s">
        <v>807</v>
      </c>
      <c r="B30" s="28" t="s">
        <v>2012</v>
      </c>
      <c r="C30" s="313" t="s">
        <v>846</v>
      </c>
      <c r="D30" s="331" t="s">
        <v>840</v>
      </c>
      <c r="E30" s="347" t="s">
        <v>840</v>
      </c>
    </row>
    <row r="31" spans="1:6" ht="27.75" customHeight="1" x14ac:dyDescent="0.2">
      <c r="A31" s="324" t="s">
        <v>814</v>
      </c>
      <c r="B31" s="28" t="s">
        <v>2013</v>
      </c>
      <c r="C31" s="313" t="s">
        <v>846</v>
      </c>
      <c r="D31" s="331" t="s">
        <v>840</v>
      </c>
      <c r="E31" s="347" t="s">
        <v>840</v>
      </c>
    </row>
    <row r="32" spans="1:6" ht="27.75" customHeight="1" x14ac:dyDescent="0.2">
      <c r="A32" s="324" t="s">
        <v>643</v>
      </c>
      <c r="B32" s="28" t="s">
        <v>840</v>
      </c>
      <c r="C32" s="313">
        <v>0</v>
      </c>
      <c r="D32" s="331" t="s">
        <v>840</v>
      </c>
      <c r="E32" s="347" t="s">
        <v>840</v>
      </c>
    </row>
    <row r="33" spans="1:6" ht="27.75" customHeight="1" x14ac:dyDescent="0.2">
      <c r="A33" s="324" t="s">
        <v>644</v>
      </c>
      <c r="B33" s="28" t="s">
        <v>2014</v>
      </c>
      <c r="C33" s="313">
        <v>0</v>
      </c>
      <c r="D33" s="331" t="s">
        <v>840</v>
      </c>
      <c r="E33" s="347" t="s">
        <v>840</v>
      </c>
    </row>
    <row r="34" spans="1:6" ht="27.75" customHeight="1" x14ac:dyDescent="0.2">
      <c r="A34" s="324" t="s">
        <v>645</v>
      </c>
      <c r="B34" s="28" t="s">
        <v>2015</v>
      </c>
      <c r="C34" s="313">
        <v>0</v>
      </c>
      <c r="D34" s="331" t="s">
        <v>840</v>
      </c>
      <c r="E34" s="347" t="s">
        <v>840</v>
      </c>
    </row>
    <row r="35" spans="1:6" ht="27.75" customHeight="1" x14ac:dyDescent="0.2">
      <c r="A35" s="324" t="s">
        <v>646</v>
      </c>
      <c r="B35" s="28" t="s">
        <v>2016</v>
      </c>
      <c r="C35" s="313">
        <v>0</v>
      </c>
      <c r="D35" s="331" t="s">
        <v>840</v>
      </c>
      <c r="E35" s="347" t="s">
        <v>840</v>
      </c>
    </row>
    <row r="36" spans="1:6" ht="27.75" customHeight="1" x14ac:dyDescent="0.2">
      <c r="A36" s="324" t="s">
        <v>647</v>
      </c>
      <c r="B36" s="28" t="s">
        <v>2017</v>
      </c>
      <c r="C36" s="313">
        <v>0</v>
      </c>
      <c r="D36" s="331" t="s">
        <v>840</v>
      </c>
      <c r="E36" s="347" t="s">
        <v>840</v>
      </c>
    </row>
    <row r="37" spans="1:6" ht="27.75" customHeight="1" x14ac:dyDescent="0.2">
      <c r="A37" s="325" t="s">
        <v>780</v>
      </c>
      <c r="B37" s="28" t="e">
        <v>#N/A</v>
      </c>
      <c r="C37" s="313" t="s">
        <v>845</v>
      </c>
      <c r="D37" s="330">
        <v>0</v>
      </c>
      <c r="E37" s="347" t="s">
        <v>840</v>
      </c>
      <c r="F37" s="349" t="str">
        <f>A37&amp;" with Residual"</f>
        <v>LDNO HV: Domestic Aggregated or CT with Residual with Residual</v>
      </c>
    </row>
    <row r="38" spans="1:6" ht="27.75" customHeight="1" x14ac:dyDescent="0.2">
      <c r="A38" s="324" t="s">
        <v>787</v>
      </c>
      <c r="B38" s="28" t="s">
        <v>2018</v>
      </c>
      <c r="C38" s="313" t="s">
        <v>846</v>
      </c>
      <c r="D38" s="331" t="s">
        <v>840</v>
      </c>
      <c r="E38" s="347" t="s">
        <v>840</v>
      </c>
    </row>
    <row r="39" spans="1:6" ht="27.75" customHeight="1" x14ac:dyDescent="0.2">
      <c r="A39" s="324" t="s">
        <v>794</v>
      </c>
      <c r="B39" s="28" t="s">
        <v>2019</v>
      </c>
      <c r="C39" s="313" t="s">
        <v>846</v>
      </c>
      <c r="D39" s="331" t="s">
        <v>840</v>
      </c>
      <c r="E39" s="347" t="s">
        <v>840</v>
      </c>
    </row>
    <row r="40" spans="1:6" ht="27.75" customHeight="1" x14ac:dyDescent="0.2">
      <c r="A40" s="324" t="s">
        <v>801</v>
      </c>
      <c r="B40" s="28" t="s">
        <v>2020</v>
      </c>
      <c r="C40" s="313" t="s">
        <v>846</v>
      </c>
      <c r="D40" s="331" t="s">
        <v>840</v>
      </c>
      <c r="E40" s="347" t="s">
        <v>840</v>
      </c>
    </row>
    <row r="41" spans="1:6" ht="27.75" customHeight="1" x14ac:dyDescent="0.2">
      <c r="A41" s="324" t="s">
        <v>808</v>
      </c>
      <c r="B41" s="28" t="s">
        <v>2021</v>
      </c>
      <c r="C41" s="313" t="s">
        <v>846</v>
      </c>
      <c r="D41" s="331" t="s">
        <v>840</v>
      </c>
      <c r="E41" s="347" t="s">
        <v>840</v>
      </c>
    </row>
    <row r="42" spans="1:6" ht="27.75" customHeight="1" x14ac:dyDescent="0.2">
      <c r="A42" s="324" t="s">
        <v>815</v>
      </c>
      <c r="B42" s="28" t="s">
        <v>2022</v>
      </c>
      <c r="C42" s="313" t="s">
        <v>846</v>
      </c>
      <c r="D42" s="331" t="s">
        <v>840</v>
      </c>
      <c r="E42" s="347" t="s">
        <v>840</v>
      </c>
    </row>
    <row r="43" spans="1:6" ht="27.75" customHeight="1" x14ac:dyDescent="0.2">
      <c r="A43" s="324" t="s">
        <v>649</v>
      </c>
      <c r="B43" s="28" t="s">
        <v>840</v>
      </c>
      <c r="C43" s="313">
        <v>0</v>
      </c>
      <c r="D43" s="331" t="s">
        <v>840</v>
      </c>
      <c r="E43" s="347" t="s">
        <v>840</v>
      </c>
    </row>
    <row r="44" spans="1:6" ht="27.75" customHeight="1" x14ac:dyDescent="0.2">
      <c r="A44" s="324" t="s">
        <v>650</v>
      </c>
      <c r="B44" s="28" t="s">
        <v>2023</v>
      </c>
      <c r="C44" s="313">
        <v>0</v>
      </c>
      <c r="D44" s="331" t="s">
        <v>840</v>
      </c>
      <c r="E44" s="347" t="s">
        <v>840</v>
      </c>
    </row>
    <row r="45" spans="1:6" ht="27.75" customHeight="1" x14ac:dyDescent="0.2">
      <c r="A45" s="324" t="s">
        <v>651</v>
      </c>
      <c r="B45" s="28" t="s">
        <v>2024</v>
      </c>
      <c r="C45" s="313">
        <v>0</v>
      </c>
      <c r="D45" s="331" t="s">
        <v>840</v>
      </c>
      <c r="E45" s="347" t="s">
        <v>840</v>
      </c>
    </row>
    <row r="46" spans="1:6" ht="27.75" customHeight="1" x14ac:dyDescent="0.2">
      <c r="A46" s="324" t="s">
        <v>652</v>
      </c>
      <c r="B46" s="28" t="s">
        <v>2025</v>
      </c>
      <c r="C46" s="313">
        <v>0</v>
      </c>
      <c r="D46" s="331" t="s">
        <v>840</v>
      </c>
      <c r="E46" s="347" t="s">
        <v>840</v>
      </c>
    </row>
    <row r="47" spans="1:6" ht="27.75" customHeight="1" x14ac:dyDescent="0.2">
      <c r="A47" s="324" t="s">
        <v>653</v>
      </c>
      <c r="B47" s="28" t="s">
        <v>2026</v>
      </c>
      <c r="C47" s="313">
        <v>0</v>
      </c>
      <c r="D47" s="331" t="s">
        <v>840</v>
      </c>
      <c r="E47" s="347" t="s">
        <v>840</v>
      </c>
    </row>
    <row r="48" spans="1:6" ht="27.75" customHeight="1" x14ac:dyDescent="0.2">
      <c r="A48" s="324" t="s">
        <v>654</v>
      </c>
      <c r="B48" s="28" t="s">
        <v>840</v>
      </c>
      <c r="C48" s="313">
        <v>0</v>
      </c>
      <c r="D48" s="331" t="s">
        <v>840</v>
      </c>
      <c r="E48" s="347" t="s">
        <v>840</v>
      </c>
    </row>
    <row r="49" spans="1:6" ht="27.75" customHeight="1" x14ac:dyDescent="0.2">
      <c r="A49" s="324" t="s">
        <v>655</v>
      </c>
      <c r="B49" s="28" t="s">
        <v>2027</v>
      </c>
      <c r="C49" s="313">
        <v>0</v>
      </c>
      <c r="D49" s="331" t="s">
        <v>840</v>
      </c>
      <c r="E49" s="347" t="s">
        <v>840</v>
      </c>
    </row>
    <row r="50" spans="1:6" ht="27.75" customHeight="1" x14ac:dyDescent="0.2">
      <c r="A50" s="324" t="s">
        <v>656</v>
      </c>
      <c r="B50" s="28" t="s">
        <v>2028</v>
      </c>
      <c r="C50" s="313">
        <v>0</v>
      </c>
      <c r="D50" s="331" t="s">
        <v>840</v>
      </c>
      <c r="E50" s="347" t="s">
        <v>840</v>
      </c>
    </row>
    <row r="51" spans="1:6" ht="27.75" customHeight="1" x14ac:dyDescent="0.2">
      <c r="A51" s="324" t="s">
        <v>657</v>
      </c>
      <c r="B51" s="28" t="s">
        <v>2029</v>
      </c>
      <c r="C51" s="313">
        <v>0</v>
      </c>
      <c r="D51" s="331" t="s">
        <v>840</v>
      </c>
      <c r="E51" s="347" t="s">
        <v>840</v>
      </c>
    </row>
    <row r="52" spans="1:6" ht="27.75" customHeight="1" x14ac:dyDescent="0.2">
      <c r="A52" s="324" t="s">
        <v>658</v>
      </c>
      <c r="B52" s="28" t="s">
        <v>2030</v>
      </c>
      <c r="C52" s="313">
        <v>0</v>
      </c>
      <c r="D52" s="331" t="s">
        <v>840</v>
      </c>
      <c r="E52" s="347" t="s">
        <v>840</v>
      </c>
    </row>
    <row r="53" spans="1:6" ht="27.75" customHeight="1" x14ac:dyDescent="0.2">
      <c r="A53" s="324" t="s">
        <v>659</v>
      </c>
      <c r="B53" s="28" t="s">
        <v>840</v>
      </c>
      <c r="C53" s="313">
        <v>0</v>
      </c>
      <c r="D53" s="331" t="s">
        <v>840</v>
      </c>
      <c r="E53" s="347" t="s">
        <v>840</v>
      </c>
    </row>
    <row r="54" spans="1:6" ht="27.75" customHeight="1" x14ac:dyDescent="0.2">
      <c r="A54" s="324" t="s">
        <v>660</v>
      </c>
      <c r="B54" s="28" t="s">
        <v>2031</v>
      </c>
      <c r="C54" s="313">
        <v>0</v>
      </c>
      <c r="D54" s="331" t="s">
        <v>840</v>
      </c>
      <c r="E54" s="347" t="s">
        <v>840</v>
      </c>
    </row>
    <row r="55" spans="1:6" ht="27.75" customHeight="1" x14ac:dyDescent="0.2">
      <c r="A55" s="324" t="s">
        <v>661</v>
      </c>
      <c r="B55" s="28" t="s">
        <v>2032</v>
      </c>
      <c r="C55" s="313">
        <v>0</v>
      </c>
      <c r="D55" s="331" t="s">
        <v>840</v>
      </c>
      <c r="E55" s="347" t="s">
        <v>840</v>
      </c>
    </row>
    <row r="56" spans="1:6" ht="27.75" customHeight="1" x14ac:dyDescent="0.2">
      <c r="A56" s="324" t="s">
        <v>662</v>
      </c>
      <c r="B56" s="28" t="s">
        <v>2033</v>
      </c>
      <c r="C56" s="313">
        <v>0</v>
      </c>
      <c r="D56" s="331" t="s">
        <v>840</v>
      </c>
      <c r="E56" s="347" t="s">
        <v>840</v>
      </c>
    </row>
    <row r="57" spans="1:6" ht="27.75" customHeight="1" x14ac:dyDescent="0.2">
      <c r="A57" s="324" t="s">
        <v>663</v>
      </c>
      <c r="B57" s="28" t="s">
        <v>2034</v>
      </c>
      <c r="C57" s="313">
        <v>0</v>
      </c>
      <c r="D57" s="331" t="s">
        <v>840</v>
      </c>
      <c r="E57" s="347" t="s">
        <v>840</v>
      </c>
    </row>
    <row r="58" spans="1:6" ht="27.75" customHeight="1" x14ac:dyDescent="0.2">
      <c r="A58" s="324" t="s">
        <v>781</v>
      </c>
      <c r="B58" s="28" t="e">
        <v>#N/A</v>
      </c>
      <c r="C58" s="313" t="s">
        <v>845</v>
      </c>
      <c r="D58" s="330">
        <v>0</v>
      </c>
      <c r="E58" s="347" t="s">
        <v>840</v>
      </c>
      <c r="F58" s="349" t="str">
        <f>A58&amp;" with Residual"</f>
        <v>LDNO HVplus: Domestic Aggregated or CT with Residual with Residual</v>
      </c>
    </row>
    <row r="59" spans="1:6" ht="27.75" customHeight="1" x14ac:dyDescent="0.2">
      <c r="A59" s="324" t="s">
        <v>788</v>
      </c>
      <c r="B59" s="28" t="s">
        <v>2035</v>
      </c>
      <c r="C59" s="313" t="s">
        <v>846</v>
      </c>
      <c r="D59" s="331" t="s">
        <v>840</v>
      </c>
      <c r="E59" s="347" t="s">
        <v>840</v>
      </c>
    </row>
    <row r="60" spans="1:6" ht="27.75" customHeight="1" x14ac:dyDescent="0.2">
      <c r="A60" s="324" t="s">
        <v>795</v>
      </c>
      <c r="B60" s="28" t="s">
        <v>2036</v>
      </c>
      <c r="C60" s="313" t="s">
        <v>846</v>
      </c>
      <c r="D60" s="331" t="s">
        <v>840</v>
      </c>
      <c r="E60" s="347" t="s">
        <v>840</v>
      </c>
    </row>
    <row r="61" spans="1:6" ht="27.75" customHeight="1" x14ac:dyDescent="0.2">
      <c r="A61" s="324" t="s">
        <v>802</v>
      </c>
      <c r="B61" s="28" t="s">
        <v>2037</v>
      </c>
      <c r="C61" s="313" t="s">
        <v>846</v>
      </c>
      <c r="D61" s="331" t="s">
        <v>840</v>
      </c>
      <c r="E61" s="347" t="s">
        <v>840</v>
      </c>
    </row>
    <row r="62" spans="1:6" ht="27.75" customHeight="1" x14ac:dyDescent="0.2">
      <c r="A62" s="324" t="s">
        <v>809</v>
      </c>
      <c r="B62" s="28" t="s">
        <v>2038</v>
      </c>
      <c r="C62" s="313" t="s">
        <v>846</v>
      </c>
      <c r="D62" s="331" t="s">
        <v>840</v>
      </c>
      <c r="E62" s="347" t="s">
        <v>840</v>
      </c>
    </row>
    <row r="63" spans="1:6" ht="27.75" customHeight="1" x14ac:dyDescent="0.2">
      <c r="A63" s="324" t="s">
        <v>816</v>
      </c>
      <c r="B63" s="28" t="s">
        <v>2039</v>
      </c>
      <c r="C63" s="313" t="s">
        <v>846</v>
      </c>
      <c r="D63" s="331" t="s">
        <v>840</v>
      </c>
      <c r="E63" s="347" t="s">
        <v>840</v>
      </c>
    </row>
    <row r="64" spans="1:6" ht="27.75" customHeight="1" x14ac:dyDescent="0.2">
      <c r="A64" s="324" t="s">
        <v>665</v>
      </c>
      <c r="B64" s="28" t="s">
        <v>840</v>
      </c>
      <c r="C64" s="313">
        <v>0</v>
      </c>
      <c r="D64" s="331" t="s">
        <v>840</v>
      </c>
      <c r="E64" s="347" t="s">
        <v>840</v>
      </c>
    </row>
    <row r="65" spans="1:6" ht="27.75" customHeight="1" x14ac:dyDescent="0.2">
      <c r="A65" s="324" t="s">
        <v>666</v>
      </c>
      <c r="B65" s="28" t="s">
        <v>2040</v>
      </c>
      <c r="C65" s="313">
        <v>0</v>
      </c>
      <c r="D65" s="331" t="s">
        <v>840</v>
      </c>
      <c r="E65" s="347" t="s">
        <v>840</v>
      </c>
    </row>
    <row r="66" spans="1:6" ht="27.75" customHeight="1" x14ac:dyDescent="0.2">
      <c r="A66" s="324" t="s">
        <v>667</v>
      </c>
      <c r="B66" s="28" t="s">
        <v>2041</v>
      </c>
      <c r="C66" s="313">
        <v>0</v>
      </c>
      <c r="D66" s="331" t="s">
        <v>840</v>
      </c>
      <c r="E66" s="347" t="s">
        <v>840</v>
      </c>
    </row>
    <row r="67" spans="1:6" ht="27.75" customHeight="1" x14ac:dyDescent="0.2">
      <c r="A67" s="324" t="s">
        <v>668</v>
      </c>
      <c r="B67" s="28" t="s">
        <v>2042</v>
      </c>
      <c r="C67" s="313">
        <v>0</v>
      </c>
      <c r="D67" s="331" t="s">
        <v>840</v>
      </c>
      <c r="E67" s="347" t="s">
        <v>840</v>
      </c>
    </row>
    <row r="68" spans="1:6" ht="27.75" customHeight="1" x14ac:dyDescent="0.2">
      <c r="A68" s="324" t="s">
        <v>669</v>
      </c>
      <c r="B68" s="28" t="s">
        <v>2043</v>
      </c>
      <c r="C68" s="313">
        <v>0</v>
      </c>
      <c r="D68" s="331" t="s">
        <v>840</v>
      </c>
      <c r="E68" s="347" t="s">
        <v>840</v>
      </c>
    </row>
    <row r="69" spans="1:6" ht="27.75" customHeight="1" x14ac:dyDescent="0.2">
      <c r="A69" s="324" t="s">
        <v>670</v>
      </c>
      <c r="B69" s="28" t="s">
        <v>840</v>
      </c>
      <c r="C69" s="313">
        <v>0</v>
      </c>
      <c r="D69" s="331" t="s">
        <v>840</v>
      </c>
      <c r="E69" s="347" t="s">
        <v>840</v>
      </c>
    </row>
    <row r="70" spans="1:6" ht="27.75" customHeight="1" x14ac:dyDescent="0.2">
      <c r="A70" s="324" t="s">
        <v>671</v>
      </c>
      <c r="B70" s="28" t="s">
        <v>2044</v>
      </c>
      <c r="C70" s="313">
        <v>0</v>
      </c>
      <c r="D70" s="331" t="s">
        <v>840</v>
      </c>
      <c r="E70" s="347" t="s">
        <v>840</v>
      </c>
    </row>
    <row r="71" spans="1:6" ht="27.75" customHeight="1" x14ac:dyDescent="0.2">
      <c r="A71" s="324" t="s">
        <v>672</v>
      </c>
      <c r="B71" s="28" t="s">
        <v>2045</v>
      </c>
      <c r="C71" s="313">
        <v>0</v>
      </c>
      <c r="D71" s="331" t="s">
        <v>840</v>
      </c>
      <c r="E71" s="347" t="s">
        <v>840</v>
      </c>
    </row>
    <row r="72" spans="1:6" ht="27.75" customHeight="1" x14ac:dyDescent="0.2">
      <c r="A72" s="324" t="s">
        <v>673</v>
      </c>
      <c r="B72" s="28" t="s">
        <v>2046</v>
      </c>
      <c r="C72" s="313">
        <v>0</v>
      </c>
      <c r="D72" s="331" t="s">
        <v>840</v>
      </c>
      <c r="E72" s="347" t="s">
        <v>840</v>
      </c>
    </row>
    <row r="73" spans="1:6" ht="27.75" customHeight="1" x14ac:dyDescent="0.2">
      <c r="A73" s="324" t="s">
        <v>674</v>
      </c>
      <c r="B73" s="28" t="s">
        <v>2047</v>
      </c>
      <c r="C73" s="313">
        <v>0</v>
      </c>
      <c r="D73" s="331" t="s">
        <v>840</v>
      </c>
      <c r="E73" s="347" t="s">
        <v>840</v>
      </c>
    </row>
    <row r="74" spans="1:6" ht="27.75" customHeight="1" x14ac:dyDescent="0.2">
      <c r="A74" s="324" t="s">
        <v>675</v>
      </c>
      <c r="B74" s="28" t="s">
        <v>840</v>
      </c>
      <c r="C74" s="313">
        <v>0</v>
      </c>
      <c r="D74" s="331" t="s">
        <v>840</v>
      </c>
      <c r="E74" s="347" t="s">
        <v>840</v>
      </c>
    </row>
    <row r="75" spans="1:6" ht="27.75" customHeight="1" x14ac:dyDescent="0.2">
      <c r="A75" s="324" t="s">
        <v>676</v>
      </c>
      <c r="B75" s="28" t="s">
        <v>2048</v>
      </c>
      <c r="C75" s="313">
        <v>0</v>
      </c>
      <c r="D75" s="331" t="s">
        <v>840</v>
      </c>
      <c r="E75" s="347" t="s">
        <v>840</v>
      </c>
    </row>
    <row r="76" spans="1:6" ht="27.75" customHeight="1" x14ac:dyDescent="0.2">
      <c r="A76" s="324" t="s">
        <v>677</v>
      </c>
      <c r="B76" s="28" t="s">
        <v>2049</v>
      </c>
      <c r="C76" s="313">
        <v>0</v>
      </c>
      <c r="D76" s="331" t="s">
        <v>840</v>
      </c>
      <c r="E76" s="347" t="s">
        <v>840</v>
      </c>
    </row>
    <row r="77" spans="1:6" ht="27.75" customHeight="1" x14ac:dyDescent="0.2">
      <c r="A77" s="324" t="s">
        <v>678</v>
      </c>
      <c r="B77" s="28" t="s">
        <v>2050</v>
      </c>
      <c r="C77" s="313">
        <v>0</v>
      </c>
      <c r="D77" s="331" t="s">
        <v>840</v>
      </c>
      <c r="E77" s="347" t="s">
        <v>840</v>
      </c>
    </row>
    <row r="78" spans="1:6" ht="27.75" customHeight="1" x14ac:dyDescent="0.2">
      <c r="A78" s="324" t="s">
        <v>679</v>
      </c>
      <c r="B78" s="28" t="s">
        <v>2051</v>
      </c>
      <c r="C78" s="313">
        <v>0</v>
      </c>
      <c r="D78" s="331" t="s">
        <v>840</v>
      </c>
      <c r="E78" s="347" t="s">
        <v>840</v>
      </c>
    </row>
    <row r="79" spans="1:6" ht="27.75" customHeight="1" x14ac:dyDescent="0.2">
      <c r="A79" s="324" t="s">
        <v>782</v>
      </c>
      <c r="B79" s="28" t="e">
        <v>#N/A</v>
      </c>
      <c r="C79" s="313" t="s">
        <v>845</v>
      </c>
      <c r="D79" s="330">
        <v>0</v>
      </c>
      <c r="E79" s="347" t="s">
        <v>840</v>
      </c>
      <c r="F79" s="349" t="str">
        <f>A79&amp;" with Residual"</f>
        <v>LDNO EHV: Domestic Aggregated or CT with Residual with Residual</v>
      </c>
    </row>
    <row r="80" spans="1:6" ht="27.75" customHeight="1" x14ac:dyDescent="0.2">
      <c r="A80" s="324" t="s">
        <v>789</v>
      </c>
      <c r="B80" s="28" t="s">
        <v>2052</v>
      </c>
      <c r="C80" s="313" t="s">
        <v>846</v>
      </c>
      <c r="D80" s="331" t="s">
        <v>840</v>
      </c>
      <c r="E80" s="347" t="s">
        <v>840</v>
      </c>
    </row>
    <row r="81" spans="1:5" ht="27.75" customHeight="1" x14ac:dyDescent="0.2">
      <c r="A81" s="324" t="s">
        <v>796</v>
      </c>
      <c r="B81" s="28" t="s">
        <v>2053</v>
      </c>
      <c r="C81" s="313" t="s">
        <v>846</v>
      </c>
      <c r="D81" s="331" t="s">
        <v>840</v>
      </c>
      <c r="E81" s="347" t="s">
        <v>840</v>
      </c>
    </row>
    <row r="82" spans="1:5" ht="27.75" customHeight="1" x14ac:dyDescent="0.2">
      <c r="A82" s="324" t="s">
        <v>803</v>
      </c>
      <c r="B82" s="28" t="s">
        <v>2054</v>
      </c>
      <c r="C82" s="313" t="s">
        <v>846</v>
      </c>
      <c r="D82" s="331" t="s">
        <v>840</v>
      </c>
      <c r="E82" s="347" t="s">
        <v>840</v>
      </c>
    </row>
    <row r="83" spans="1:5" ht="27.75" customHeight="1" x14ac:dyDescent="0.2">
      <c r="A83" s="324" t="s">
        <v>810</v>
      </c>
      <c r="B83" s="28" t="s">
        <v>2055</v>
      </c>
      <c r="C83" s="313" t="s">
        <v>846</v>
      </c>
      <c r="D83" s="331" t="s">
        <v>840</v>
      </c>
      <c r="E83" s="347" t="s">
        <v>840</v>
      </c>
    </row>
    <row r="84" spans="1:5" ht="27.75" customHeight="1" x14ac:dyDescent="0.2">
      <c r="A84" s="324" t="s">
        <v>817</v>
      </c>
      <c r="B84" s="28" t="s">
        <v>2056</v>
      </c>
      <c r="C84" s="313" t="s">
        <v>846</v>
      </c>
      <c r="D84" s="331" t="s">
        <v>840</v>
      </c>
      <c r="E84" s="347" t="s">
        <v>840</v>
      </c>
    </row>
    <row r="85" spans="1:5" ht="27.75" customHeight="1" x14ac:dyDescent="0.2">
      <c r="A85" s="324" t="s">
        <v>681</v>
      </c>
      <c r="B85" s="28" t="s">
        <v>840</v>
      </c>
      <c r="C85" s="313">
        <v>0</v>
      </c>
      <c r="D85" s="331" t="s">
        <v>840</v>
      </c>
      <c r="E85" s="347" t="s">
        <v>840</v>
      </c>
    </row>
    <row r="86" spans="1:5" ht="27.75" customHeight="1" x14ac:dyDescent="0.2">
      <c r="A86" s="324" t="s">
        <v>682</v>
      </c>
      <c r="B86" s="28" t="s">
        <v>2057</v>
      </c>
      <c r="C86" s="313">
        <v>0</v>
      </c>
      <c r="D86" s="331" t="s">
        <v>840</v>
      </c>
      <c r="E86" s="347" t="s">
        <v>840</v>
      </c>
    </row>
    <row r="87" spans="1:5" ht="27.75" customHeight="1" x14ac:dyDescent="0.2">
      <c r="A87" s="324" t="s">
        <v>683</v>
      </c>
      <c r="B87" s="28" t="s">
        <v>2058</v>
      </c>
      <c r="C87" s="313">
        <v>0</v>
      </c>
      <c r="D87" s="331" t="s">
        <v>840</v>
      </c>
      <c r="E87" s="347" t="s">
        <v>840</v>
      </c>
    </row>
    <row r="88" spans="1:5" ht="27.75" customHeight="1" x14ac:dyDescent="0.2">
      <c r="A88" s="324" t="s">
        <v>684</v>
      </c>
      <c r="B88" s="28" t="s">
        <v>2059</v>
      </c>
      <c r="C88" s="313">
        <v>0</v>
      </c>
      <c r="D88" s="331" t="s">
        <v>840</v>
      </c>
      <c r="E88" s="347" t="s">
        <v>840</v>
      </c>
    </row>
    <row r="89" spans="1:5" ht="27.75" customHeight="1" x14ac:dyDescent="0.2">
      <c r="A89" s="324" t="s">
        <v>685</v>
      </c>
      <c r="B89" s="28" t="s">
        <v>2060</v>
      </c>
      <c r="C89" s="313">
        <v>0</v>
      </c>
      <c r="D89" s="331" t="s">
        <v>840</v>
      </c>
      <c r="E89" s="347" t="s">
        <v>840</v>
      </c>
    </row>
    <row r="90" spans="1:5" ht="27.75" customHeight="1" x14ac:dyDescent="0.2">
      <c r="A90" s="324" t="s">
        <v>686</v>
      </c>
      <c r="B90" s="28" t="s">
        <v>840</v>
      </c>
      <c r="C90" s="313">
        <v>0</v>
      </c>
      <c r="D90" s="331" t="s">
        <v>840</v>
      </c>
      <c r="E90" s="347" t="s">
        <v>840</v>
      </c>
    </row>
    <row r="91" spans="1:5" ht="27.75" customHeight="1" x14ac:dyDescent="0.2">
      <c r="A91" s="324" t="s">
        <v>687</v>
      </c>
      <c r="B91" s="28" t="s">
        <v>2061</v>
      </c>
      <c r="C91" s="313">
        <v>0</v>
      </c>
      <c r="D91" s="331" t="s">
        <v>840</v>
      </c>
      <c r="E91" s="347" t="s">
        <v>840</v>
      </c>
    </row>
    <row r="92" spans="1:5" ht="27.75" customHeight="1" x14ac:dyDescent="0.2">
      <c r="A92" s="324" t="s">
        <v>688</v>
      </c>
      <c r="B92" s="28" t="s">
        <v>2062</v>
      </c>
      <c r="C92" s="313">
        <v>0</v>
      </c>
      <c r="D92" s="331" t="s">
        <v>840</v>
      </c>
      <c r="E92" s="347" t="s">
        <v>840</v>
      </c>
    </row>
    <row r="93" spans="1:5" ht="27.75" customHeight="1" x14ac:dyDescent="0.2">
      <c r="A93" s="324" t="s">
        <v>689</v>
      </c>
      <c r="B93" s="28" t="s">
        <v>2063</v>
      </c>
      <c r="C93" s="313">
        <v>0</v>
      </c>
      <c r="D93" s="331" t="s">
        <v>840</v>
      </c>
      <c r="E93" s="347" t="s">
        <v>840</v>
      </c>
    </row>
    <row r="94" spans="1:5" ht="27.75" customHeight="1" x14ac:dyDescent="0.2">
      <c r="A94" s="324" t="s">
        <v>690</v>
      </c>
      <c r="B94" s="28" t="s">
        <v>2064</v>
      </c>
      <c r="C94" s="313">
        <v>0</v>
      </c>
      <c r="D94" s="331" t="s">
        <v>840</v>
      </c>
      <c r="E94" s="347" t="s">
        <v>840</v>
      </c>
    </row>
    <row r="95" spans="1:5" ht="27.75" customHeight="1" x14ac:dyDescent="0.2">
      <c r="A95" s="324" t="s">
        <v>691</v>
      </c>
      <c r="B95" s="28" t="s">
        <v>840</v>
      </c>
      <c r="C95" s="313">
        <v>0</v>
      </c>
      <c r="D95" s="331" t="s">
        <v>840</v>
      </c>
      <c r="E95" s="347" t="s">
        <v>840</v>
      </c>
    </row>
    <row r="96" spans="1:5" ht="27.75" customHeight="1" x14ac:dyDescent="0.2">
      <c r="A96" s="324" t="s">
        <v>692</v>
      </c>
      <c r="B96" s="28" t="s">
        <v>2065</v>
      </c>
      <c r="C96" s="313">
        <v>0</v>
      </c>
      <c r="D96" s="331" t="s">
        <v>840</v>
      </c>
      <c r="E96" s="347" t="s">
        <v>840</v>
      </c>
    </row>
    <row r="97" spans="1:5" ht="27.75" customHeight="1" x14ac:dyDescent="0.2">
      <c r="A97" s="324" t="s">
        <v>693</v>
      </c>
      <c r="B97" s="28" t="s">
        <v>2066</v>
      </c>
      <c r="C97" s="313">
        <v>0</v>
      </c>
      <c r="D97" s="331" t="s">
        <v>840</v>
      </c>
      <c r="E97" s="347" t="s">
        <v>840</v>
      </c>
    </row>
    <row r="98" spans="1:5" ht="27.75" customHeight="1" x14ac:dyDescent="0.2">
      <c r="A98" s="324" t="s">
        <v>694</v>
      </c>
      <c r="B98" s="28" t="s">
        <v>2067</v>
      </c>
      <c r="C98" s="313">
        <v>0</v>
      </c>
      <c r="D98" s="331" t="s">
        <v>840</v>
      </c>
      <c r="E98" s="347" t="s">
        <v>840</v>
      </c>
    </row>
    <row r="99" spans="1:5" ht="27.75" customHeight="1" x14ac:dyDescent="0.2">
      <c r="A99" s="324" t="s">
        <v>695</v>
      </c>
      <c r="B99" s="28"/>
      <c r="C99" s="313">
        <v>0</v>
      </c>
      <c r="D99" s="331" t="s">
        <v>840</v>
      </c>
      <c r="E99" s="347" t="s">
        <v>840</v>
      </c>
    </row>
    <row r="100" spans="1:5" ht="27.75" customHeight="1" x14ac:dyDescent="0.2">
      <c r="A100" s="324" t="s">
        <v>783</v>
      </c>
      <c r="B100" s="28"/>
      <c r="C100" s="313" t="s">
        <v>845</v>
      </c>
      <c r="D100" s="330">
        <v>0</v>
      </c>
      <c r="E100" s="347" t="s">
        <v>840</v>
      </c>
    </row>
    <row r="101" spans="1:5" ht="27.75" customHeight="1" x14ac:dyDescent="0.2">
      <c r="A101" s="324" t="s">
        <v>790</v>
      </c>
      <c r="B101" s="28"/>
      <c r="C101" s="313" t="s">
        <v>846</v>
      </c>
      <c r="D101" s="331" t="s">
        <v>840</v>
      </c>
      <c r="E101" s="347" t="s">
        <v>840</v>
      </c>
    </row>
    <row r="102" spans="1:5" ht="27.75" customHeight="1" x14ac:dyDescent="0.2">
      <c r="A102" s="324" t="s">
        <v>797</v>
      </c>
      <c r="B102" s="28"/>
      <c r="C102" s="313" t="s">
        <v>846</v>
      </c>
      <c r="D102" s="331" t="s">
        <v>840</v>
      </c>
      <c r="E102" s="347" t="s">
        <v>840</v>
      </c>
    </row>
    <row r="103" spans="1:5" ht="27.75" customHeight="1" x14ac:dyDescent="0.2">
      <c r="A103" s="324" t="s">
        <v>804</v>
      </c>
      <c r="B103" s="28"/>
      <c r="C103" s="313" t="s">
        <v>846</v>
      </c>
      <c r="D103" s="331" t="s">
        <v>840</v>
      </c>
      <c r="E103" s="347" t="s">
        <v>840</v>
      </c>
    </row>
    <row r="104" spans="1:5" ht="27.75" customHeight="1" x14ac:dyDescent="0.2">
      <c r="A104" s="324" t="s">
        <v>811</v>
      </c>
      <c r="B104" s="28"/>
      <c r="C104" s="313" t="s">
        <v>846</v>
      </c>
      <c r="D104" s="331" t="s">
        <v>840</v>
      </c>
      <c r="E104" s="347" t="s">
        <v>840</v>
      </c>
    </row>
    <row r="105" spans="1:5" ht="27.75" customHeight="1" x14ac:dyDescent="0.2">
      <c r="A105" s="324" t="s">
        <v>818</v>
      </c>
      <c r="B105" s="28"/>
      <c r="C105" s="313" t="s">
        <v>846</v>
      </c>
      <c r="D105" s="331" t="s">
        <v>840</v>
      </c>
      <c r="E105" s="347" t="s">
        <v>840</v>
      </c>
    </row>
    <row r="106" spans="1:5" ht="27.75" customHeight="1" x14ac:dyDescent="0.2">
      <c r="A106" s="324" t="s">
        <v>697</v>
      </c>
      <c r="B106" s="28"/>
      <c r="C106" s="313">
        <v>0</v>
      </c>
      <c r="D106" s="331" t="s">
        <v>840</v>
      </c>
      <c r="E106" s="347" t="s">
        <v>840</v>
      </c>
    </row>
    <row r="107" spans="1:5" ht="27.75" customHeight="1" x14ac:dyDescent="0.2">
      <c r="A107" s="324" t="s">
        <v>698</v>
      </c>
      <c r="B107" s="28"/>
      <c r="C107" s="313">
        <v>0</v>
      </c>
      <c r="D107" s="331" t="s">
        <v>840</v>
      </c>
      <c r="E107" s="347" t="s">
        <v>840</v>
      </c>
    </row>
    <row r="108" spans="1:5" ht="27.75" customHeight="1" x14ac:dyDescent="0.2">
      <c r="A108" s="324" t="s">
        <v>699</v>
      </c>
      <c r="B108" s="28"/>
      <c r="C108" s="313">
        <v>0</v>
      </c>
      <c r="D108" s="331" t="s">
        <v>840</v>
      </c>
      <c r="E108" s="347" t="s">
        <v>840</v>
      </c>
    </row>
    <row r="109" spans="1:5" ht="27.75" customHeight="1" x14ac:dyDescent="0.2">
      <c r="A109" s="324" t="s">
        <v>700</v>
      </c>
      <c r="B109" s="28"/>
      <c r="C109" s="313">
        <v>0</v>
      </c>
      <c r="D109" s="331" t="s">
        <v>840</v>
      </c>
      <c r="E109" s="347" t="s">
        <v>840</v>
      </c>
    </row>
    <row r="110" spans="1:5" ht="27.75" customHeight="1" x14ac:dyDescent="0.2">
      <c r="A110" s="324" t="s">
        <v>701</v>
      </c>
      <c r="B110" s="28"/>
      <c r="C110" s="313">
        <v>0</v>
      </c>
      <c r="D110" s="331" t="s">
        <v>840</v>
      </c>
      <c r="E110" s="347" t="s">
        <v>840</v>
      </c>
    </row>
    <row r="111" spans="1:5" ht="27.75" customHeight="1" x14ac:dyDescent="0.2">
      <c r="A111" s="324" t="s">
        <v>702</v>
      </c>
      <c r="B111" s="28"/>
      <c r="C111" s="313">
        <v>0</v>
      </c>
      <c r="D111" s="331" t="s">
        <v>840</v>
      </c>
      <c r="E111" s="347" t="s">
        <v>840</v>
      </c>
    </row>
    <row r="112" spans="1:5" ht="27.75" customHeight="1" x14ac:dyDescent="0.2">
      <c r="A112" s="324" t="s">
        <v>703</v>
      </c>
      <c r="B112" s="28"/>
      <c r="C112" s="313">
        <v>0</v>
      </c>
      <c r="D112" s="331" t="s">
        <v>840</v>
      </c>
      <c r="E112" s="347" t="s">
        <v>840</v>
      </c>
    </row>
    <row r="113" spans="1:5" ht="27.75" customHeight="1" x14ac:dyDescent="0.2">
      <c r="A113" s="324" t="s">
        <v>704</v>
      </c>
      <c r="B113" s="28"/>
      <c r="C113" s="313">
        <v>0</v>
      </c>
      <c r="D113" s="331" t="s">
        <v>840</v>
      </c>
      <c r="E113" s="347" t="s">
        <v>840</v>
      </c>
    </row>
    <row r="114" spans="1:5" ht="27.75" customHeight="1" x14ac:dyDescent="0.2">
      <c r="A114" s="324" t="s">
        <v>705</v>
      </c>
      <c r="B114" s="28"/>
      <c r="C114" s="313">
        <v>0</v>
      </c>
      <c r="D114" s="331" t="s">
        <v>840</v>
      </c>
      <c r="E114" s="347" t="s">
        <v>840</v>
      </c>
    </row>
    <row r="115" spans="1:5" ht="27.75" customHeight="1" x14ac:dyDescent="0.2">
      <c r="A115" s="324" t="s">
        <v>706</v>
      </c>
      <c r="B115" s="28"/>
      <c r="C115" s="313">
        <v>0</v>
      </c>
      <c r="D115" s="331" t="s">
        <v>840</v>
      </c>
      <c r="E115" s="347" t="s">
        <v>840</v>
      </c>
    </row>
    <row r="116" spans="1:5" ht="27.75" customHeight="1" x14ac:dyDescent="0.2">
      <c r="A116" s="324" t="s">
        <v>707</v>
      </c>
      <c r="B116" s="28"/>
      <c r="C116" s="313">
        <v>0</v>
      </c>
      <c r="D116" s="331" t="s">
        <v>840</v>
      </c>
      <c r="E116" s="347" t="s">
        <v>840</v>
      </c>
    </row>
    <row r="117" spans="1:5" ht="27.75" customHeight="1" x14ac:dyDescent="0.2">
      <c r="A117" s="324" t="s">
        <v>708</v>
      </c>
      <c r="B117" s="28"/>
      <c r="C117" s="313">
        <v>0</v>
      </c>
      <c r="D117" s="331" t="s">
        <v>840</v>
      </c>
      <c r="E117" s="347" t="s">
        <v>840</v>
      </c>
    </row>
    <row r="118" spans="1:5" ht="27.75" customHeight="1" x14ac:dyDescent="0.2">
      <c r="A118" s="324" t="s">
        <v>709</v>
      </c>
      <c r="B118" s="28"/>
      <c r="C118" s="313">
        <v>0</v>
      </c>
      <c r="D118" s="331" t="s">
        <v>840</v>
      </c>
      <c r="E118" s="347" t="s">
        <v>840</v>
      </c>
    </row>
    <row r="119" spans="1:5" ht="27.75" customHeight="1" x14ac:dyDescent="0.2">
      <c r="A119" s="324" t="s">
        <v>710</v>
      </c>
      <c r="B119" s="28"/>
      <c r="C119" s="313">
        <v>0</v>
      </c>
      <c r="D119" s="331" t="s">
        <v>840</v>
      </c>
      <c r="E119" s="347" t="s">
        <v>840</v>
      </c>
    </row>
    <row r="120" spans="1:5" ht="27.75" customHeight="1" x14ac:dyDescent="0.2">
      <c r="A120" s="324" t="s">
        <v>711</v>
      </c>
      <c r="B120" s="28"/>
      <c r="C120" s="313">
        <v>0</v>
      </c>
      <c r="D120" s="331" t="s">
        <v>840</v>
      </c>
      <c r="E120" s="347" t="s">
        <v>840</v>
      </c>
    </row>
    <row r="121" spans="1:5" ht="27.75" customHeight="1" x14ac:dyDescent="0.2">
      <c r="A121" s="324" t="s">
        <v>784</v>
      </c>
      <c r="B121" s="28"/>
      <c r="C121" s="313" t="s">
        <v>845</v>
      </c>
      <c r="D121" s="330">
        <v>0</v>
      </c>
      <c r="E121" s="347" t="s">
        <v>840</v>
      </c>
    </row>
    <row r="122" spans="1:5" ht="27.75" customHeight="1" x14ac:dyDescent="0.2">
      <c r="A122" s="324" t="s">
        <v>791</v>
      </c>
      <c r="B122" s="28"/>
      <c r="C122" s="313" t="s">
        <v>846</v>
      </c>
      <c r="D122" s="331" t="s">
        <v>840</v>
      </c>
      <c r="E122" s="347" t="s">
        <v>840</v>
      </c>
    </row>
    <row r="123" spans="1:5" ht="27.75" customHeight="1" x14ac:dyDescent="0.2">
      <c r="A123" s="324" t="s">
        <v>798</v>
      </c>
      <c r="B123" s="28"/>
      <c r="C123" s="313" t="s">
        <v>846</v>
      </c>
      <c r="D123" s="331" t="s">
        <v>840</v>
      </c>
      <c r="E123" s="347" t="s">
        <v>840</v>
      </c>
    </row>
    <row r="124" spans="1:5" ht="27.75" customHeight="1" x14ac:dyDescent="0.2">
      <c r="A124" s="324" t="s">
        <v>805</v>
      </c>
      <c r="B124" s="28"/>
      <c r="C124" s="313" t="s">
        <v>846</v>
      </c>
      <c r="D124" s="331" t="s">
        <v>840</v>
      </c>
      <c r="E124" s="347" t="s">
        <v>840</v>
      </c>
    </row>
    <row r="125" spans="1:5" ht="27.75" customHeight="1" x14ac:dyDescent="0.2">
      <c r="A125" s="324" t="s">
        <v>812</v>
      </c>
      <c r="B125" s="28"/>
      <c r="C125" s="313" t="s">
        <v>846</v>
      </c>
      <c r="D125" s="331" t="s">
        <v>840</v>
      </c>
      <c r="E125" s="347" t="s">
        <v>840</v>
      </c>
    </row>
    <row r="126" spans="1:5" ht="27.75" customHeight="1" x14ac:dyDescent="0.2">
      <c r="A126" s="324" t="s">
        <v>819</v>
      </c>
      <c r="B126" s="28"/>
      <c r="C126" s="313" t="s">
        <v>846</v>
      </c>
      <c r="D126" s="331" t="s">
        <v>840</v>
      </c>
      <c r="E126" s="347" t="s">
        <v>840</v>
      </c>
    </row>
    <row r="127" spans="1:5" ht="27.75" customHeight="1" x14ac:dyDescent="0.2">
      <c r="A127" s="324" t="s">
        <v>713</v>
      </c>
      <c r="B127" s="28"/>
      <c r="C127" s="313">
        <v>0</v>
      </c>
      <c r="D127" s="331" t="s">
        <v>840</v>
      </c>
      <c r="E127" s="347" t="s">
        <v>840</v>
      </c>
    </row>
    <row r="128" spans="1:5" ht="27.75" customHeight="1" x14ac:dyDescent="0.2">
      <c r="A128" s="324" t="s">
        <v>714</v>
      </c>
      <c r="B128" s="28"/>
      <c r="C128" s="313">
        <v>0</v>
      </c>
      <c r="D128" s="331" t="s">
        <v>840</v>
      </c>
      <c r="E128" s="347" t="s">
        <v>840</v>
      </c>
    </row>
    <row r="129" spans="1:5" ht="27.75" customHeight="1" x14ac:dyDescent="0.2">
      <c r="A129" s="324" t="s">
        <v>715</v>
      </c>
      <c r="B129" s="28"/>
      <c r="C129" s="313">
        <v>0</v>
      </c>
      <c r="D129" s="331" t="s">
        <v>840</v>
      </c>
      <c r="E129" s="347" t="s">
        <v>840</v>
      </c>
    </row>
    <row r="130" spans="1:5" ht="27.75" customHeight="1" x14ac:dyDescent="0.2">
      <c r="A130" s="324" t="s">
        <v>716</v>
      </c>
      <c r="B130" s="28"/>
      <c r="C130" s="313">
        <v>0</v>
      </c>
      <c r="D130" s="331" t="s">
        <v>840</v>
      </c>
      <c r="E130" s="347" t="s">
        <v>840</v>
      </c>
    </row>
    <row r="131" spans="1:5" ht="27.75" customHeight="1" x14ac:dyDescent="0.2">
      <c r="A131" s="324" t="s">
        <v>717</v>
      </c>
      <c r="B131" s="28"/>
      <c r="C131" s="313">
        <v>0</v>
      </c>
      <c r="D131" s="331" t="s">
        <v>840</v>
      </c>
      <c r="E131" s="347" t="s">
        <v>840</v>
      </c>
    </row>
    <row r="132" spans="1:5" ht="27.75" customHeight="1" x14ac:dyDescent="0.2">
      <c r="A132" s="324" t="s">
        <v>718</v>
      </c>
      <c r="B132" s="28"/>
      <c r="C132" s="313">
        <v>0</v>
      </c>
      <c r="D132" s="331" t="s">
        <v>840</v>
      </c>
      <c r="E132" s="347" t="s">
        <v>840</v>
      </c>
    </row>
    <row r="133" spans="1:5" ht="27.75" customHeight="1" x14ac:dyDescent="0.2">
      <c r="A133" s="324" t="s">
        <v>719</v>
      </c>
      <c r="B133" s="28"/>
      <c r="C133" s="313">
        <v>0</v>
      </c>
      <c r="D133" s="331" t="s">
        <v>840</v>
      </c>
      <c r="E133" s="347" t="s">
        <v>840</v>
      </c>
    </row>
    <row r="134" spans="1:5" ht="27.75" customHeight="1" x14ac:dyDescent="0.2">
      <c r="A134" s="324" t="s">
        <v>720</v>
      </c>
      <c r="B134" s="28"/>
      <c r="C134" s="313">
        <v>0</v>
      </c>
      <c r="D134" s="331" t="s">
        <v>840</v>
      </c>
      <c r="E134" s="347" t="s">
        <v>840</v>
      </c>
    </row>
    <row r="135" spans="1:5" ht="27.75" customHeight="1" x14ac:dyDescent="0.2">
      <c r="A135" s="324" t="s">
        <v>721</v>
      </c>
      <c r="B135" s="28"/>
      <c r="C135" s="313">
        <v>0</v>
      </c>
      <c r="D135" s="331" t="s">
        <v>840</v>
      </c>
      <c r="E135" s="347" t="s">
        <v>840</v>
      </c>
    </row>
    <row r="136" spans="1:5" ht="27.75" customHeight="1" x14ac:dyDescent="0.2">
      <c r="A136" s="324" t="s">
        <v>722</v>
      </c>
      <c r="B136" s="28"/>
      <c r="C136" s="313">
        <v>0</v>
      </c>
      <c r="D136" s="331" t="s">
        <v>840</v>
      </c>
      <c r="E136" s="347" t="s">
        <v>840</v>
      </c>
    </row>
    <row r="137" spans="1:5" ht="27.75" customHeight="1" x14ac:dyDescent="0.2">
      <c r="A137" s="324" t="s">
        <v>723</v>
      </c>
      <c r="B137" s="28"/>
      <c r="C137" s="313">
        <v>0</v>
      </c>
      <c r="D137" s="331" t="s">
        <v>840</v>
      </c>
      <c r="E137" s="347" t="s">
        <v>840</v>
      </c>
    </row>
    <row r="138" spans="1:5" ht="27.75" customHeight="1" x14ac:dyDescent="0.2">
      <c r="A138" s="324" t="s">
        <v>724</v>
      </c>
      <c r="B138" s="28"/>
      <c r="C138" s="313">
        <v>0</v>
      </c>
      <c r="D138" s="331" t="s">
        <v>840</v>
      </c>
      <c r="E138" s="347" t="s">
        <v>840</v>
      </c>
    </row>
    <row r="139" spans="1:5" ht="27.75" customHeight="1" x14ac:dyDescent="0.2">
      <c r="A139" s="324" t="s">
        <v>725</v>
      </c>
      <c r="B139" s="28"/>
      <c r="C139" s="313">
        <v>0</v>
      </c>
      <c r="D139" s="331" t="s">
        <v>840</v>
      </c>
      <c r="E139" s="347" t="s">
        <v>840</v>
      </c>
    </row>
    <row r="140" spans="1:5" ht="27.75" customHeight="1" x14ac:dyDescent="0.2">
      <c r="A140" s="324" t="s">
        <v>726</v>
      </c>
      <c r="B140" s="28"/>
      <c r="C140" s="313">
        <v>0</v>
      </c>
      <c r="D140" s="331" t="s">
        <v>840</v>
      </c>
      <c r="E140" s="347" t="s">
        <v>840</v>
      </c>
    </row>
    <row r="141" spans="1:5" ht="27.75" customHeight="1" x14ac:dyDescent="0.2">
      <c r="A141" s="324" t="s">
        <v>727</v>
      </c>
      <c r="B141" s="28"/>
      <c r="C141" s="313">
        <v>0</v>
      </c>
      <c r="D141" s="331" t="s">
        <v>840</v>
      </c>
      <c r="E141" s="347" t="s">
        <v>840</v>
      </c>
    </row>
    <row r="142" spans="1:5" ht="27.75" customHeight="1" x14ac:dyDescent="0.2">
      <c r="A142" s="324" t="s">
        <v>785</v>
      </c>
      <c r="B142" s="28"/>
      <c r="C142" s="313" t="s">
        <v>845</v>
      </c>
      <c r="D142" s="330">
        <v>0</v>
      </c>
      <c r="E142" s="347" t="s">
        <v>840</v>
      </c>
    </row>
    <row r="143" spans="1:5" ht="27.75" customHeight="1" x14ac:dyDescent="0.2">
      <c r="A143" s="324" t="s">
        <v>792</v>
      </c>
      <c r="B143" s="28"/>
      <c r="C143" s="313" t="s">
        <v>846</v>
      </c>
      <c r="D143" s="331" t="s">
        <v>840</v>
      </c>
      <c r="E143" s="347" t="s">
        <v>840</v>
      </c>
    </row>
    <row r="144" spans="1:5" ht="27.75" customHeight="1" x14ac:dyDescent="0.2">
      <c r="A144" s="324" t="s">
        <v>799</v>
      </c>
      <c r="B144" s="28"/>
      <c r="C144" s="313" t="s">
        <v>846</v>
      </c>
      <c r="D144" s="331" t="s">
        <v>840</v>
      </c>
      <c r="E144" s="347" t="s">
        <v>840</v>
      </c>
    </row>
    <row r="145" spans="1:5" ht="27.75" customHeight="1" x14ac:dyDescent="0.2">
      <c r="A145" s="324" t="s">
        <v>806</v>
      </c>
      <c r="B145" s="28"/>
      <c r="C145" s="313" t="s">
        <v>846</v>
      </c>
      <c r="D145" s="331" t="s">
        <v>840</v>
      </c>
      <c r="E145" s="347" t="s">
        <v>840</v>
      </c>
    </row>
    <row r="146" spans="1:5" ht="27.75" customHeight="1" x14ac:dyDescent="0.2">
      <c r="A146" s="324" t="s">
        <v>813</v>
      </c>
      <c r="B146" s="28"/>
      <c r="C146" s="313" t="s">
        <v>846</v>
      </c>
      <c r="D146" s="331" t="s">
        <v>840</v>
      </c>
      <c r="E146" s="347" t="s">
        <v>840</v>
      </c>
    </row>
    <row r="147" spans="1:5" ht="27.75" customHeight="1" x14ac:dyDescent="0.2">
      <c r="A147" s="324" t="s">
        <v>820</v>
      </c>
      <c r="B147" s="28"/>
      <c r="C147" s="313" t="s">
        <v>846</v>
      </c>
      <c r="D147" s="331" t="s">
        <v>840</v>
      </c>
      <c r="E147" s="347" t="s">
        <v>840</v>
      </c>
    </row>
    <row r="148" spans="1:5" ht="27.75" customHeight="1" x14ac:dyDescent="0.2">
      <c r="A148" s="324" t="s">
        <v>729</v>
      </c>
      <c r="B148" s="28"/>
      <c r="C148" s="313">
        <v>0</v>
      </c>
      <c r="D148" s="331" t="s">
        <v>840</v>
      </c>
      <c r="E148" s="347" t="s">
        <v>840</v>
      </c>
    </row>
    <row r="149" spans="1:5" ht="27.75" customHeight="1" x14ac:dyDescent="0.2">
      <c r="A149" s="324" t="s">
        <v>730</v>
      </c>
      <c r="B149" s="28"/>
      <c r="C149" s="313">
        <v>0</v>
      </c>
      <c r="D149" s="331" t="s">
        <v>840</v>
      </c>
      <c r="E149" s="347" t="s">
        <v>840</v>
      </c>
    </row>
    <row r="150" spans="1:5" ht="27.75" customHeight="1" x14ac:dyDescent="0.2">
      <c r="A150" s="324" t="s">
        <v>731</v>
      </c>
      <c r="B150" s="28"/>
      <c r="C150" s="313">
        <v>0</v>
      </c>
      <c r="D150" s="331" t="s">
        <v>840</v>
      </c>
      <c r="E150" s="347" t="s">
        <v>840</v>
      </c>
    </row>
    <row r="151" spans="1:5" ht="27.75" customHeight="1" x14ac:dyDescent="0.2">
      <c r="A151" s="324" t="s">
        <v>732</v>
      </c>
      <c r="B151" s="28"/>
      <c r="C151" s="313">
        <v>0</v>
      </c>
      <c r="D151" s="331" t="s">
        <v>840</v>
      </c>
      <c r="E151" s="347" t="s">
        <v>840</v>
      </c>
    </row>
    <row r="152" spans="1:5" ht="27.75" customHeight="1" x14ac:dyDescent="0.2">
      <c r="A152" s="324" t="s">
        <v>733</v>
      </c>
      <c r="B152" s="28"/>
      <c r="C152" s="313">
        <v>0</v>
      </c>
      <c r="D152" s="331" t="s">
        <v>840</v>
      </c>
      <c r="E152" s="347" t="s">
        <v>840</v>
      </c>
    </row>
    <row r="153" spans="1:5" ht="27.75" customHeight="1" x14ac:dyDescent="0.2">
      <c r="A153" s="324" t="s">
        <v>734</v>
      </c>
      <c r="B153" s="28"/>
      <c r="C153" s="313">
        <v>0</v>
      </c>
      <c r="D153" s="331" t="s">
        <v>840</v>
      </c>
      <c r="E153" s="347" t="s">
        <v>840</v>
      </c>
    </row>
    <row r="154" spans="1:5" ht="27.75" customHeight="1" x14ac:dyDescent="0.2">
      <c r="A154" s="324" t="s">
        <v>735</v>
      </c>
      <c r="B154" s="28"/>
      <c r="C154" s="313">
        <v>0</v>
      </c>
      <c r="D154" s="331" t="s">
        <v>840</v>
      </c>
      <c r="E154" s="347" t="s">
        <v>840</v>
      </c>
    </row>
    <row r="155" spans="1:5" ht="27.75" customHeight="1" x14ac:dyDescent="0.2">
      <c r="A155" s="324" t="s">
        <v>736</v>
      </c>
      <c r="B155" s="28"/>
      <c r="C155" s="313">
        <v>0</v>
      </c>
      <c r="D155" s="331" t="s">
        <v>840</v>
      </c>
      <c r="E155" s="347" t="s">
        <v>840</v>
      </c>
    </row>
    <row r="156" spans="1:5" ht="27.75" customHeight="1" x14ac:dyDescent="0.2">
      <c r="A156" s="324" t="s">
        <v>737</v>
      </c>
      <c r="B156" s="28"/>
      <c r="C156" s="313">
        <v>0</v>
      </c>
      <c r="D156" s="331" t="s">
        <v>840</v>
      </c>
      <c r="E156" s="347" t="s">
        <v>840</v>
      </c>
    </row>
    <row r="157" spans="1:5" ht="27.75" customHeight="1" x14ac:dyDescent="0.2">
      <c r="A157" s="324" t="s">
        <v>738</v>
      </c>
      <c r="B157" s="28"/>
      <c r="C157" s="313">
        <v>0</v>
      </c>
      <c r="D157" s="331" t="s">
        <v>840</v>
      </c>
      <c r="E157" s="347" t="s">
        <v>840</v>
      </c>
    </row>
    <row r="158" spans="1:5" ht="27.75" customHeight="1" x14ac:dyDescent="0.2">
      <c r="A158" s="324" t="s">
        <v>739</v>
      </c>
      <c r="B158" s="28"/>
      <c r="C158" s="313">
        <v>0</v>
      </c>
      <c r="D158" s="331" t="s">
        <v>840</v>
      </c>
      <c r="E158" s="347" t="s">
        <v>840</v>
      </c>
    </row>
    <row r="159" spans="1:5" ht="27.75" customHeight="1" x14ac:dyDescent="0.2">
      <c r="A159" s="324" t="s">
        <v>740</v>
      </c>
      <c r="B159" s="28"/>
      <c r="C159" s="313">
        <v>0</v>
      </c>
      <c r="D159" s="331" t="s">
        <v>840</v>
      </c>
      <c r="E159" s="347" t="s">
        <v>840</v>
      </c>
    </row>
    <row r="160" spans="1:5" ht="27.75" customHeight="1" x14ac:dyDescent="0.2">
      <c r="A160" s="324" t="s">
        <v>741</v>
      </c>
      <c r="B160" s="28"/>
      <c r="C160" s="313">
        <v>0</v>
      </c>
      <c r="D160" s="331" t="s">
        <v>840</v>
      </c>
      <c r="E160" s="347" t="s">
        <v>840</v>
      </c>
    </row>
    <row r="161" spans="1:5" ht="27.75" customHeight="1" x14ac:dyDescent="0.2">
      <c r="A161" s="324" t="s">
        <v>742</v>
      </c>
      <c r="B161" s="28"/>
      <c r="C161" s="313">
        <v>0</v>
      </c>
      <c r="D161" s="331" t="s">
        <v>840</v>
      </c>
      <c r="E161" s="347" t="s">
        <v>840</v>
      </c>
    </row>
    <row r="162" spans="1:5" ht="27.75" customHeight="1" x14ac:dyDescent="0.2">
      <c r="A162" s="324" t="s">
        <v>743</v>
      </c>
      <c r="B162" s="28" t="s">
        <v>840</v>
      </c>
      <c r="C162" s="313">
        <v>0</v>
      </c>
      <c r="D162" s="331" t="s">
        <v>840</v>
      </c>
      <c r="E162" s="347" t="s">
        <v>840</v>
      </c>
    </row>
    <row r="163" spans="1:5" ht="27.75" customHeight="1" x14ac:dyDescent="0.2">
      <c r="A163" s="1" t="s">
        <v>821</v>
      </c>
    </row>
    <row r="164" spans="1:5" ht="27.75" customHeight="1" x14ac:dyDescent="0.2">
      <c r="A164" s="1" t="s">
        <v>822</v>
      </c>
    </row>
  </sheetData>
  <mergeCells count="3">
    <mergeCell ref="B1:C1"/>
    <mergeCell ref="A2:E2"/>
    <mergeCell ref="G4:M5"/>
  </mergeCells>
  <hyperlinks>
    <hyperlink ref="A1" location="Overview!A1" display="Back to Overview" xr:uid="{7433C898-9EAB-4919-B25E-346518398156}"/>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G43"/>
  <sheetViews>
    <sheetView zoomScale="80" zoomScaleNormal="80" workbookViewId="0"/>
  </sheetViews>
  <sheetFormatPr defaultColWidth="9.140625" defaultRowHeight="27.75" customHeight="1" x14ac:dyDescent="0.2"/>
  <cols>
    <col min="1" max="1" width="29.85546875" style="1" customWidth="1"/>
    <col min="2" max="2" width="48.5703125" style="1" customWidth="1"/>
    <col min="3" max="3" width="23.7109375" style="2" customWidth="1"/>
    <col min="4" max="4" width="43.5703125" style="2" customWidth="1"/>
    <col min="5" max="5" width="15.5703125" style="1" customWidth="1"/>
    <col min="6" max="16384" width="9.140625" style="1"/>
  </cols>
  <sheetData>
    <row r="1" spans="1:7" ht="27.75" customHeight="1" x14ac:dyDescent="0.2">
      <c r="A1" s="32" t="s">
        <v>19</v>
      </c>
      <c r="B1" s="2"/>
      <c r="C1" s="1"/>
      <c r="E1" s="7"/>
      <c r="F1" s="3"/>
      <c r="G1" s="3"/>
    </row>
    <row r="2" spans="1:7" s="8" customFormat="1" ht="58.5" customHeight="1" x14ac:dyDescent="0.2">
      <c r="A2" s="382" t="str">
        <f>Overview!B4&amp;" - Effective from "&amp;TEXT(Overview!$D$4,"d mmmm yyyy")&amp;" - Final Nodal charges in UKPN EPN Area (GSP Group_A)"</f>
        <v>Leep Electricity Networks Limited - Effective from 1 April 2026 - Final Nodal charges in UKPN EPN Area (GSP Group_A)</v>
      </c>
      <c r="B2" s="383"/>
      <c r="C2" s="383"/>
      <c r="D2" s="384"/>
    </row>
    <row r="3" spans="1:7" ht="58.5" customHeight="1" x14ac:dyDescent="0.2">
      <c r="A3" s="12" t="s">
        <v>296</v>
      </c>
      <c r="B3" s="12" t="s">
        <v>1</v>
      </c>
      <c r="C3" s="12" t="s">
        <v>273</v>
      </c>
      <c r="D3" s="12" t="s">
        <v>274</v>
      </c>
    </row>
    <row r="4" spans="1:7" ht="24.75" customHeight="1" x14ac:dyDescent="0.2"/>
    <row r="5" spans="1:7" ht="58.5" customHeight="1" x14ac:dyDescent="0.2">
      <c r="A5" s="382" t="str">
        <f>Overview!B4&amp;" - Effective from "&amp;TEXT(Overview!$D$4,"d mmmm yyyy")&amp;" - Final Nodal/Zonal charges in WPD EM Area (GSP Group_B)"</f>
        <v>Leep Electricity Networks Limited - Effective from 1 April 2026 - Final Nodal/Zonal charges in WPD EM Area (GSP Group_B)</v>
      </c>
      <c r="B5" s="383"/>
      <c r="C5" s="383"/>
      <c r="D5" s="384"/>
    </row>
    <row r="6" spans="1:7" ht="58.5" customHeight="1" x14ac:dyDescent="0.2">
      <c r="A6" s="12" t="s">
        <v>296</v>
      </c>
      <c r="B6" s="12" t="s">
        <v>1</v>
      </c>
      <c r="C6" s="12" t="s">
        <v>273</v>
      </c>
      <c r="D6" s="12" t="s">
        <v>274</v>
      </c>
    </row>
    <row r="7" spans="1:7" ht="24.75" customHeight="1" x14ac:dyDescent="0.2"/>
    <row r="8" spans="1:7" ht="58.5" customHeight="1" x14ac:dyDescent="0.2">
      <c r="A8" s="382" t="str">
        <f>Overview!B4&amp;" - Effective from "&amp;TEXT(Overview!$D$4,"d mmmm yyyy")&amp;" - Final Nodal charges in UKPN LPN Area (GSP Group_C)"</f>
        <v>Leep Electricity Networks Limited - Effective from 1 April 2026 - Final Nodal charges in UKPN LPN Area (GSP Group_C)</v>
      </c>
      <c r="B8" s="383"/>
      <c r="C8" s="383"/>
      <c r="D8" s="384"/>
    </row>
    <row r="9" spans="1:7" ht="58.5" customHeight="1" x14ac:dyDescent="0.2">
      <c r="A9" s="12" t="s">
        <v>296</v>
      </c>
      <c r="B9" s="12" t="s">
        <v>1</v>
      </c>
      <c r="C9" s="12" t="s">
        <v>273</v>
      </c>
      <c r="D9" s="12" t="s">
        <v>274</v>
      </c>
    </row>
    <row r="10" spans="1:7" ht="24.75" customHeight="1" x14ac:dyDescent="0.2"/>
    <row r="11" spans="1:7" ht="58.5" customHeight="1" x14ac:dyDescent="0.2">
      <c r="A11" s="382" t="str">
        <f>Overview!B4&amp;" - Effective from "&amp;TEXT(Overview!$D$4,"d mmmm yyyy")&amp;" - Final Nodal/Zonal charges in SP Manweb Area                                                                                                         (GSP Group_D)"</f>
        <v>Leep Electricity Networks Limited - Effective from 1 April 2026 - Final Nodal/Zonal charges in SP Manweb Area                                                                                                         (GSP Group_D)</v>
      </c>
      <c r="B11" s="383"/>
      <c r="C11" s="383"/>
      <c r="D11" s="384"/>
    </row>
    <row r="12" spans="1:7" ht="58.5" customHeight="1" x14ac:dyDescent="0.2">
      <c r="A12" s="12" t="s">
        <v>296</v>
      </c>
      <c r="B12" s="12" t="s">
        <v>1</v>
      </c>
      <c r="C12" s="12" t="s">
        <v>273</v>
      </c>
      <c r="D12" s="12" t="s">
        <v>274</v>
      </c>
    </row>
    <row r="13" spans="1:7" ht="24.75" customHeight="1" x14ac:dyDescent="0.2"/>
    <row r="14" spans="1:7" ht="58.5" customHeight="1" x14ac:dyDescent="0.2">
      <c r="A14" s="382" t="str">
        <f>Overview!B4&amp;" - Effective from "&amp;TEXT(Overview!$D$4,"d mmmm yyyy")&amp;" - Final Nodal/Zonal charges in WPD West Midlands Area                                                                                                                       (GSP Group_E)"</f>
        <v>Leep Electricity Networks Limited - Effective from 1 April 2026 - Final Nodal/Zonal charges in WPD West Midlands Area                                                                                                                       (GSP Group_E)</v>
      </c>
      <c r="B14" s="383"/>
      <c r="C14" s="383"/>
      <c r="D14" s="384"/>
    </row>
    <row r="15" spans="1:7" ht="58.5" customHeight="1" x14ac:dyDescent="0.2">
      <c r="A15" s="12" t="s">
        <v>296</v>
      </c>
      <c r="B15" s="12" t="s">
        <v>1</v>
      </c>
      <c r="C15" s="12" t="s">
        <v>273</v>
      </c>
      <c r="D15" s="12" t="s">
        <v>274</v>
      </c>
    </row>
    <row r="16" spans="1:7" ht="24.75" customHeight="1" x14ac:dyDescent="0.2"/>
    <row r="17" spans="1:4" ht="58.5" customHeight="1" x14ac:dyDescent="0.2">
      <c r="A17" s="382" t="str">
        <f>Overview!B4&amp;" - Effective from "&amp;TEXT(Overview!$D$4,"d mmmm yyyy")&amp;" - Final Nodal/Zonal charges in NPG Northeast Area (GSP Group_F)"</f>
        <v>Leep Electricity Networks Limited - Effective from 1 April 2026 - Final Nodal/Zonal charges in NPG Northeast Area (GSP Group_F)</v>
      </c>
      <c r="B17" s="383"/>
      <c r="C17" s="383"/>
      <c r="D17" s="384"/>
    </row>
    <row r="18" spans="1:4" ht="58.5" customHeight="1" x14ac:dyDescent="0.2">
      <c r="A18" s="12" t="s">
        <v>296</v>
      </c>
      <c r="B18" s="12" t="s">
        <v>1</v>
      </c>
      <c r="C18" s="12" t="s">
        <v>273</v>
      </c>
      <c r="D18" s="12" t="s">
        <v>274</v>
      </c>
    </row>
    <row r="19" spans="1:4" ht="58.5" customHeight="1" x14ac:dyDescent="0.2"/>
    <row r="20" spans="1:4" ht="58.5" customHeight="1" x14ac:dyDescent="0.2">
      <c r="A20" s="382" t="str">
        <f>Overview!B4&amp;" - Effective from "&amp;TEXT(Overview!$D$4,"d mmmm yyyy")&amp;" - Final Nodal/Zonal charges in Electricity North West Area (GSP Group_G)"</f>
        <v>Leep Electricity Networks Limited - Effective from 1 April 2026 - Final Nodal/Zonal charges in Electricity North West Area (GSP Group_G)</v>
      </c>
      <c r="B20" s="383"/>
      <c r="C20" s="383"/>
      <c r="D20" s="384"/>
    </row>
    <row r="21" spans="1:4" ht="58.5" customHeight="1" x14ac:dyDescent="0.2">
      <c r="A21" s="12" t="s">
        <v>296</v>
      </c>
      <c r="B21" s="12" t="s">
        <v>1</v>
      </c>
      <c r="C21" s="12" t="s">
        <v>273</v>
      </c>
      <c r="D21" s="12" t="s">
        <v>274</v>
      </c>
    </row>
    <row r="23" spans="1:4" ht="58.5" customHeight="1" x14ac:dyDescent="0.2">
      <c r="A23" s="382" t="str">
        <f>Overview!B4&amp;" - Effective from "&amp;TEXT(Overview!$D$4,"d mmmm yyyy")&amp;" - Final Nodal charges in SSE SEPN Area (GSP Group_H)"</f>
        <v>Leep Electricity Networks Limited - Effective from 1 April 2026 - Final Nodal charges in SSE SEPN Area (GSP Group_H)</v>
      </c>
      <c r="B23" s="383"/>
      <c r="C23" s="383"/>
      <c r="D23" s="384"/>
    </row>
    <row r="24" spans="1:4" ht="58.5" customHeight="1" x14ac:dyDescent="0.2">
      <c r="A24" s="12" t="s">
        <v>296</v>
      </c>
      <c r="B24" s="12" t="s">
        <v>1</v>
      </c>
      <c r="C24" s="12" t="s">
        <v>273</v>
      </c>
      <c r="D24" s="12" t="s">
        <v>274</v>
      </c>
    </row>
    <row r="25" spans="1:4" ht="24.75" customHeight="1" x14ac:dyDescent="0.2"/>
    <row r="26" spans="1:4" ht="58.5" customHeight="1" x14ac:dyDescent="0.2">
      <c r="A26" s="382" t="str">
        <f>Overview!B4&amp;" - Effective from "&amp;TEXT(Overview!$D$4,"d mmmm yyyy")&amp;" - Final Nodal charges in UKPN SPN Area (GSP Group_J)"</f>
        <v>Leep Electricity Networks Limited - Effective from 1 April 2026 - Final Nodal charges in UKPN SPN Area (GSP Group_J)</v>
      </c>
      <c r="B26" s="383"/>
      <c r="C26" s="383"/>
      <c r="D26" s="384"/>
    </row>
    <row r="27" spans="1:4" ht="58.5" customHeight="1" x14ac:dyDescent="0.2">
      <c r="A27" s="12" t="s">
        <v>296</v>
      </c>
      <c r="B27" s="12" t="s">
        <v>1</v>
      </c>
      <c r="C27" s="12" t="s">
        <v>273</v>
      </c>
      <c r="D27" s="12" t="s">
        <v>274</v>
      </c>
    </row>
    <row r="28" spans="1:4" ht="24.75" customHeight="1" x14ac:dyDescent="0.2"/>
    <row r="29" spans="1:4" ht="58.5" customHeight="1" x14ac:dyDescent="0.2">
      <c r="A29" s="382" t="str">
        <f>Overview!B4&amp;" - Effective from "&amp;TEXT(Overview!$D$4,"d mmmm yyyy")&amp;" - Final Nodal/Zonal charges in WPD South Wales Area (GSP Group_K)"</f>
        <v>Leep Electricity Networks Limited - Effective from 1 April 2026 - Final Nodal/Zonal charges in WPD South Wales Area (GSP Group_K)</v>
      </c>
      <c r="B29" s="383"/>
      <c r="C29" s="383"/>
      <c r="D29" s="384"/>
    </row>
    <row r="30" spans="1:4" ht="58.5" customHeight="1" x14ac:dyDescent="0.2">
      <c r="A30" s="12" t="s">
        <v>296</v>
      </c>
      <c r="B30" s="12" t="s">
        <v>1</v>
      </c>
      <c r="C30" s="12" t="s">
        <v>273</v>
      </c>
      <c r="D30" s="12" t="s">
        <v>274</v>
      </c>
    </row>
    <row r="31" spans="1:4" ht="24.75" customHeight="1" x14ac:dyDescent="0.2"/>
    <row r="32" spans="1:4" ht="58.5" customHeight="1" x14ac:dyDescent="0.2">
      <c r="A32" s="382" t="str">
        <f>Overview!B4&amp;" - Effective from "&amp;TEXT(Overview!$D$4,"d mmmm yyyy")&amp;" - Final Nodal/Zonal charges in WPD South West Area (GSP Group_L)"</f>
        <v>Leep Electricity Networks Limited - Effective from 1 April 2026 - Final Nodal/Zonal charges in WPD South West Area (GSP Group_L)</v>
      </c>
      <c r="B32" s="383"/>
      <c r="C32" s="383"/>
      <c r="D32" s="384"/>
    </row>
    <row r="33" spans="1:4" ht="58.5" customHeight="1" x14ac:dyDescent="0.2">
      <c r="A33" s="12" t="s">
        <v>296</v>
      </c>
      <c r="B33" s="12" t="s">
        <v>1</v>
      </c>
      <c r="C33" s="12" t="s">
        <v>273</v>
      </c>
      <c r="D33" s="12" t="s">
        <v>274</v>
      </c>
    </row>
    <row r="34" spans="1:4" ht="24.75" customHeight="1" x14ac:dyDescent="0.2"/>
    <row r="35" spans="1:4" ht="58.5" customHeight="1" x14ac:dyDescent="0.2">
      <c r="A35" s="382" t="str">
        <f>Overview!B4&amp;" - Effective from "&amp;TEXT(Overview!$D$4,"d mmmm yyyy")&amp;" - Final Nodal/Zonal charges in NPG Yorkshire Area (GSP Group_M)"</f>
        <v>Leep Electricity Networks Limited - Effective from 1 April 2026 - Final Nodal/Zonal charges in NPG Yorkshire Area (GSP Group_M)</v>
      </c>
      <c r="B35" s="383"/>
      <c r="C35" s="383"/>
      <c r="D35" s="384"/>
    </row>
    <row r="36" spans="1:4" ht="58.5" customHeight="1" x14ac:dyDescent="0.2">
      <c r="A36" s="12" t="s">
        <v>296</v>
      </c>
      <c r="B36" s="12" t="s">
        <v>1</v>
      </c>
      <c r="C36" s="12" t="s">
        <v>273</v>
      </c>
      <c r="D36" s="12" t="s">
        <v>274</v>
      </c>
    </row>
    <row r="37" spans="1:4" ht="24.75" customHeight="1" x14ac:dyDescent="0.2"/>
    <row r="38" spans="1:4" ht="58.5" customHeight="1" x14ac:dyDescent="0.2">
      <c r="A38" s="382" t="str">
        <f>Overview!B31&amp;" - Effective from "&amp;Overview!D31&amp;" - Final Nodal/Zonal charges in SP Distribution  Area                                                                                                         (GSP Group_N)"</f>
        <v>Tariffs in NPG Northeast Area (GSP Group_F) - Effective from  - Final Nodal/Zonal charges in SP Distribution  Area                                                                                                         (GSP Group_N)</v>
      </c>
      <c r="B38" s="383"/>
      <c r="C38" s="383"/>
      <c r="D38" s="384"/>
    </row>
    <row r="39" spans="1:4" ht="58.5" customHeight="1" x14ac:dyDescent="0.2">
      <c r="A39" s="12" t="s">
        <v>296</v>
      </c>
      <c r="B39" s="12" t="s">
        <v>1</v>
      </c>
      <c r="C39" s="12" t="s">
        <v>273</v>
      </c>
      <c r="D39" s="12" t="s">
        <v>274</v>
      </c>
    </row>
    <row r="41" spans="1:4" ht="58.5" customHeight="1" x14ac:dyDescent="0.2">
      <c r="A41" s="382" t="str">
        <f>Overview!B22&amp;" - Effective from "&amp;Overview!D22&amp;" - Final Nodal charges in SSE SHEPD Area (GSP Group_P)"</f>
        <v>Charges in SSE SHEPD Area (GSP Group_P) - Effective from  - Final Nodal charges in SSE SHEPD Area (GSP Group_P)</v>
      </c>
      <c r="B41" s="383"/>
      <c r="C41" s="383"/>
      <c r="D41" s="384"/>
    </row>
    <row r="42" spans="1:4" ht="58.5" customHeight="1" x14ac:dyDescent="0.2">
      <c r="A42" s="12" t="s">
        <v>296</v>
      </c>
      <c r="B42" s="12" t="s">
        <v>1</v>
      </c>
      <c r="C42" s="12" t="s">
        <v>273</v>
      </c>
      <c r="D42" s="12" t="s">
        <v>274</v>
      </c>
    </row>
    <row r="43" spans="1:4" ht="24.75" customHeight="1" x14ac:dyDescent="0.2"/>
  </sheetData>
  <sheetProtection selectLockedCells="1" selectUnlockedCells="1"/>
  <mergeCells count="14">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zoomScale="80" zoomScaleNormal="80" workbookViewId="0">
      <selection sqref="A1:B1"/>
    </sheetView>
  </sheetViews>
  <sheetFormatPr defaultColWidth="11.5703125" defaultRowHeight="12.75" x14ac:dyDescent="0.2"/>
  <cols>
    <col min="1" max="1" width="13.85546875" style="22" customWidth="1"/>
    <col min="2" max="2" width="11.5703125" style="22" customWidth="1"/>
    <col min="3" max="3" width="37.42578125" style="22" bestFit="1" customWidth="1"/>
    <col min="4" max="4" width="40.5703125" style="23" bestFit="1" customWidth="1"/>
    <col min="5" max="6" width="4.7109375" style="22" customWidth="1"/>
    <col min="7" max="7" width="29.140625" style="22" bestFit="1" customWidth="1"/>
    <col min="8" max="8" width="11.5703125" style="22"/>
    <col min="9" max="9" width="60.28515625" style="22" customWidth="1"/>
    <col min="10" max="16384" width="11.5703125" style="22"/>
  </cols>
  <sheetData>
    <row r="1" spans="1:2" ht="26.25" customHeight="1" x14ac:dyDescent="0.2">
      <c r="A1" s="525" t="s">
        <v>19</v>
      </c>
      <c r="B1" s="525"/>
    </row>
    <row r="2" spans="1:2" ht="12.75" customHeight="1" x14ac:dyDescent="0.2">
      <c r="A2" s="89"/>
      <c r="B2" s="89"/>
    </row>
    <row r="3" spans="1:2" ht="12.75" customHeight="1" x14ac:dyDescent="0.2">
      <c r="A3" s="89"/>
      <c r="B3" s="89"/>
    </row>
    <row r="4" spans="1:2" ht="12.75" customHeight="1" x14ac:dyDescent="0.2">
      <c r="A4" s="89"/>
      <c r="B4" s="89"/>
    </row>
    <row r="5" spans="1:2" ht="12.75" customHeight="1" x14ac:dyDescent="0.2">
      <c r="A5" s="89"/>
      <c r="B5" s="89"/>
    </row>
    <row r="6" spans="1:2" ht="12.75" customHeight="1" x14ac:dyDescent="0.2">
      <c r="A6" s="89"/>
      <c r="B6" s="89"/>
    </row>
    <row r="7" spans="1:2" ht="12.75" customHeight="1" x14ac:dyDescent="0.2">
      <c r="A7" s="89"/>
      <c r="B7" s="89"/>
    </row>
    <row r="8" spans="1:2" ht="12.75" customHeight="1" x14ac:dyDescent="0.2">
      <c r="A8" s="89"/>
      <c r="B8" s="89"/>
    </row>
    <row r="9" spans="1:2" ht="12.75" customHeight="1" x14ac:dyDescent="0.2">
      <c r="A9" s="89"/>
      <c r="B9" s="89"/>
    </row>
    <row r="10" spans="1:2" ht="12.75" customHeight="1" x14ac:dyDescent="0.2">
      <c r="A10" s="89"/>
      <c r="B10" s="89"/>
    </row>
    <row r="11" spans="1:2" ht="12.75" customHeight="1" x14ac:dyDescent="0.2">
      <c r="A11" s="89"/>
      <c r="B11" s="89"/>
    </row>
    <row r="12" spans="1:2" ht="12.75" customHeight="1" x14ac:dyDescent="0.2">
      <c r="A12" s="89"/>
      <c r="B12" s="89"/>
    </row>
    <row r="13" spans="1:2" ht="12.75" customHeight="1" x14ac:dyDescent="0.2">
      <c r="A13" s="89"/>
      <c r="B13" s="89"/>
    </row>
    <row r="14" spans="1:2" ht="12.75" customHeight="1" x14ac:dyDescent="0.2">
      <c r="A14" s="89"/>
      <c r="B14" s="89"/>
    </row>
    <row r="15" spans="1:2" ht="12.75" customHeight="1" x14ac:dyDescent="0.2">
      <c r="A15" s="89"/>
      <c r="B15" s="89"/>
    </row>
    <row r="16" spans="1:2" ht="12.75" customHeight="1" x14ac:dyDescent="0.2">
      <c r="A16" s="89"/>
      <c r="B16" s="89"/>
    </row>
    <row r="17" spans="1:9" ht="12.75" customHeight="1" x14ac:dyDescent="0.2">
      <c r="A17" s="89"/>
      <c r="B17" s="89"/>
    </row>
    <row r="18" spans="1:9" ht="12.75" customHeight="1" x14ac:dyDescent="0.2">
      <c r="A18" s="89"/>
      <c r="B18" s="89"/>
    </row>
    <row r="19" spans="1:9" ht="12.75" customHeight="1" x14ac:dyDescent="0.2">
      <c r="A19" s="89"/>
      <c r="B19" s="89"/>
    </row>
    <row r="20" spans="1:9" ht="12.75" customHeight="1" x14ac:dyDescent="0.2">
      <c r="A20" s="89"/>
      <c r="B20" s="89"/>
    </row>
    <row r="21" spans="1:9" ht="12.75" customHeight="1" x14ac:dyDescent="0.2">
      <c r="A21" s="89"/>
      <c r="B21" s="89"/>
    </row>
    <row r="22" spans="1:9" ht="12.75" customHeight="1" x14ac:dyDescent="0.2">
      <c r="A22" s="89"/>
      <c r="B22" s="89"/>
    </row>
    <row r="23" spans="1:9" ht="12.75" customHeight="1" x14ac:dyDescent="0.2">
      <c r="A23" s="89"/>
      <c r="B23" s="89"/>
    </row>
    <row r="24" spans="1:9" ht="12.75" customHeight="1" x14ac:dyDescent="0.2">
      <c r="A24" s="89"/>
      <c r="B24" s="89"/>
    </row>
    <row r="25" spans="1:9" ht="12.75" customHeight="1" x14ac:dyDescent="0.2">
      <c r="A25" s="89"/>
      <c r="B25" s="89"/>
    </row>
    <row r="26" spans="1:9" ht="12.75" customHeight="1" x14ac:dyDescent="0.2">
      <c r="A26" s="89"/>
      <c r="B26" s="89"/>
    </row>
    <row r="27" spans="1:9" ht="12.75" customHeight="1" x14ac:dyDescent="0.2">
      <c r="A27" s="89"/>
      <c r="B27" s="89"/>
    </row>
    <row r="28" spans="1:9" s="21" customFormat="1" ht="51" x14ac:dyDescent="0.2">
      <c r="A28" s="33" t="s">
        <v>32</v>
      </c>
      <c r="B28" s="33" t="s">
        <v>33</v>
      </c>
      <c r="C28" s="33" t="s">
        <v>34</v>
      </c>
      <c r="D28" s="33" t="s">
        <v>35</v>
      </c>
      <c r="E28" s="24"/>
      <c r="F28" s="24"/>
      <c r="G28" s="33" t="s">
        <v>255</v>
      </c>
      <c r="H28" s="33" t="s">
        <v>256</v>
      </c>
      <c r="I28" s="33" t="s">
        <v>257</v>
      </c>
    </row>
    <row r="29" spans="1:9" x14ac:dyDescent="0.2">
      <c r="A29" s="55">
        <v>3</v>
      </c>
      <c r="B29" s="56">
        <v>166</v>
      </c>
      <c r="C29" s="57" t="s">
        <v>36</v>
      </c>
      <c r="D29" s="58" t="s">
        <v>37</v>
      </c>
      <c r="H29" s="52">
        <v>40057</v>
      </c>
      <c r="I29" s="53" t="s">
        <v>258</v>
      </c>
    </row>
    <row r="30" spans="1:9" x14ac:dyDescent="0.2">
      <c r="A30" s="55">
        <v>4</v>
      </c>
      <c r="B30" s="56">
        <v>168</v>
      </c>
      <c r="C30" s="57" t="s">
        <v>36</v>
      </c>
      <c r="D30" s="58" t="s">
        <v>37</v>
      </c>
      <c r="G30" s="53" t="s">
        <v>259</v>
      </c>
      <c r="H30" s="52">
        <v>40275</v>
      </c>
      <c r="I30" s="53" t="s">
        <v>263</v>
      </c>
    </row>
    <row r="31" spans="1:9" x14ac:dyDescent="0.2">
      <c r="A31" s="55">
        <v>5</v>
      </c>
      <c r="B31" s="56">
        <v>100</v>
      </c>
      <c r="C31" s="57" t="s">
        <v>38</v>
      </c>
      <c r="D31" s="58" t="s">
        <v>37</v>
      </c>
      <c r="G31" s="22" t="s">
        <v>266</v>
      </c>
      <c r="H31" s="52">
        <v>40347</v>
      </c>
      <c r="I31" s="22" t="s">
        <v>260</v>
      </c>
    </row>
    <row r="32" spans="1:9" x14ac:dyDescent="0.2">
      <c r="A32" s="55">
        <v>6</v>
      </c>
      <c r="B32" s="56">
        <v>257</v>
      </c>
      <c r="C32" s="57" t="s">
        <v>39</v>
      </c>
      <c r="D32" s="58" t="s">
        <v>37</v>
      </c>
      <c r="G32" s="53" t="s">
        <v>267</v>
      </c>
      <c r="H32" s="52">
        <v>41166</v>
      </c>
      <c r="I32" s="53" t="s">
        <v>268</v>
      </c>
    </row>
    <row r="33" spans="1:9" x14ac:dyDescent="0.2">
      <c r="A33" s="55">
        <v>7</v>
      </c>
      <c r="B33" s="56">
        <v>158</v>
      </c>
      <c r="C33" s="57" t="s">
        <v>39</v>
      </c>
      <c r="D33" s="58" t="s">
        <v>37</v>
      </c>
      <c r="G33" s="22" t="s">
        <v>261</v>
      </c>
      <c r="H33" s="52">
        <v>41178</v>
      </c>
      <c r="I33" s="53" t="s">
        <v>262</v>
      </c>
    </row>
    <row r="34" spans="1:9" x14ac:dyDescent="0.2">
      <c r="A34" s="55">
        <v>8</v>
      </c>
      <c r="B34" s="56">
        <v>159</v>
      </c>
      <c r="C34" s="57" t="s">
        <v>39</v>
      </c>
      <c r="D34" s="58" t="s">
        <v>37</v>
      </c>
      <c r="G34" s="53" t="s">
        <v>320</v>
      </c>
      <c r="H34" s="52">
        <v>41758</v>
      </c>
      <c r="I34" s="22" t="s">
        <v>321</v>
      </c>
    </row>
    <row r="35" spans="1:9" x14ac:dyDescent="0.2">
      <c r="A35" s="55">
        <v>9</v>
      </c>
      <c r="B35" s="56">
        <v>1111</v>
      </c>
      <c r="C35" s="57" t="s">
        <v>39</v>
      </c>
      <c r="D35" s="58" t="s">
        <v>37</v>
      </c>
      <c r="G35" s="22" t="s">
        <v>318</v>
      </c>
      <c r="H35" s="52">
        <v>41758</v>
      </c>
      <c r="I35" s="53" t="s">
        <v>319</v>
      </c>
    </row>
    <row r="36" spans="1:9" x14ac:dyDescent="0.2">
      <c r="A36" s="55">
        <v>10</v>
      </c>
      <c r="B36" s="56">
        <v>1104</v>
      </c>
      <c r="C36" s="57" t="s">
        <v>39</v>
      </c>
      <c r="D36" s="58" t="s">
        <v>37</v>
      </c>
      <c r="G36" s="22" t="s">
        <v>318</v>
      </c>
      <c r="H36" s="52">
        <v>41944</v>
      </c>
      <c r="I36" s="53" t="s">
        <v>369</v>
      </c>
    </row>
    <row r="37" spans="1:9" x14ac:dyDescent="0.2">
      <c r="A37" s="55">
        <v>11</v>
      </c>
      <c r="B37" s="56">
        <v>1112</v>
      </c>
      <c r="C37" s="57" t="s">
        <v>39</v>
      </c>
      <c r="D37" s="58" t="s">
        <v>37</v>
      </c>
      <c r="G37" s="22" t="s">
        <v>372</v>
      </c>
      <c r="H37" s="52">
        <v>42081</v>
      </c>
      <c r="I37" s="22" t="s">
        <v>373</v>
      </c>
    </row>
    <row r="38" spans="1:9" x14ac:dyDescent="0.2">
      <c r="A38" s="55">
        <v>12</v>
      </c>
      <c r="B38" s="56">
        <v>1116</v>
      </c>
      <c r="C38" s="57" t="s">
        <v>39</v>
      </c>
      <c r="D38" s="58" t="s">
        <v>37</v>
      </c>
      <c r="G38" s="22" t="s">
        <v>374</v>
      </c>
      <c r="H38" s="52">
        <v>42081</v>
      </c>
      <c r="I38" s="22" t="s">
        <v>375</v>
      </c>
    </row>
    <row r="39" spans="1:9" x14ac:dyDescent="0.2">
      <c r="A39" s="55">
        <v>13</v>
      </c>
      <c r="B39" s="56">
        <v>139</v>
      </c>
      <c r="C39" s="57" t="s">
        <v>40</v>
      </c>
      <c r="D39" s="58" t="s">
        <v>275</v>
      </c>
      <c r="G39" s="22" t="s">
        <v>376</v>
      </c>
      <c r="H39" s="52">
        <v>42081</v>
      </c>
      <c r="I39" s="22" t="s">
        <v>401</v>
      </c>
    </row>
    <row r="40" spans="1:9" x14ac:dyDescent="0.2">
      <c r="A40" s="55">
        <v>15</v>
      </c>
      <c r="B40" s="56">
        <v>152</v>
      </c>
      <c r="C40" s="57" t="s">
        <v>40</v>
      </c>
      <c r="D40" s="58" t="s">
        <v>275</v>
      </c>
      <c r="G40" s="53" t="s">
        <v>371</v>
      </c>
      <c r="H40" s="52">
        <v>42081</v>
      </c>
      <c r="I40" s="53" t="s">
        <v>400</v>
      </c>
    </row>
    <row r="41" spans="1:9" x14ac:dyDescent="0.2">
      <c r="A41" s="55">
        <v>16</v>
      </c>
      <c r="B41" s="56">
        <v>113</v>
      </c>
      <c r="C41" s="57" t="s">
        <v>41</v>
      </c>
      <c r="D41" s="58" t="s">
        <v>276</v>
      </c>
      <c r="G41" s="22" t="s">
        <v>377</v>
      </c>
      <c r="H41" s="52">
        <v>42081</v>
      </c>
      <c r="I41" s="53" t="s">
        <v>378</v>
      </c>
    </row>
    <row r="42" spans="1:9" x14ac:dyDescent="0.2">
      <c r="A42" s="55">
        <v>17</v>
      </c>
      <c r="B42" s="56">
        <v>125</v>
      </c>
      <c r="C42" s="57" t="s">
        <v>41</v>
      </c>
      <c r="D42" s="58" t="s">
        <v>276</v>
      </c>
      <c r="G42" s="22" t="s">
        <v>379</v>
      </c>
      <c r="H42" s="52">
        <v>42081</v>
      </c>
      <c r="I42" s="22" t="s">
        <v>380</v>
      </c>
    </row>
    <row r="43" spans="1:9" x14ac:dyDescent="0.2">
      <c r="A43" s="55">
        <v>18</v>
      </c>
      <c r="B43" s="56">
        <v>126</v>
      </c>
      <c r="C43" s="57" t="s">
        <v>41</v>
      </c>
      <c r="D43" s="58" t="s">
        <v>276</v>
      </c>
      <c r="G43" s="22" t="s">
        <v>379</v>
      </c>
      <c r="H43" s="52">
        <v>42081</v>
      </c>
      <c r="I43" s="22" t="s">
        <v>381</v>
      </c>
    </row>
    <row r="44" spans="1:9" x14ac:dyDescent="0.2">
      <c r="A44" s="55">
        <v>19</v>
      </c>
      <c r="B44" s="56">
        <v>127</v>
      </c>
      <c r="C44" s="57" t="s">
        <v>41</v>
      </c>
      <c r="D44" s="58" t="s">
        <v>276</v>
      </c>
      <c r="G44" s="22" t="s">
        <v>382</v>
      </c>
      <c r="H44" s="52">
        <v>42081</v>
      </c>
      <c r="I44" s="22" t="s">
        <v>383</v>
      </c>
    </row>
    <row r="45" spans="1:9" x14ac:dyDescent="0.2">
      <c r="A45" s="55">
        <v>20</v>
      </c>
      <c r="B45" s="56">
        <v>129</v>
      </c>
      <c r="C45" s="57" t="s">
        <v>41</v>
      </c>
      <c r="D45" s="58" t="s">
        <v>276</v>
      </c>
      <c r="G45" s="22" t="s">
        <v>384</v>
      </c>
      <c r="H45" s="52">
        <v>42081</v>
      </c>
      <c r="I45" s="22" t="s">
        <v>385</v>
      </c>
    </row>
    <row r="46" spans="1:9" x14ac:dyDescent="0.2">
      <c r="A46" s="55">
        <v>21</v>
      </c>
      <c r="B46" s="56">
        <v>130</v>
      </c>
      <c r="C46" s="57" t="s">
        <v>41</v>
      </c>
      <c r="D46" s="58" t="s">
        <v>276</v>
      </c>
      <c r="G46" s="22" t="s">
        <v>386</v>
      </c>
      <c r="H46" s="52">
        <v>42081</v>
      </c>
      <c r="I46" s="22" t="s">
        <v>383</v>
      </c>
    </row>
    <row r="47" spans="1:9" x14ac:dyDescent="0.2">
      <c r="A47" s="55">
        <v>22</v>
      </c>
      <c r="B47" s="56">
        <v>131</v>
      </c>
      <c r="C47" s="57" t="s">
        <v>41</v>
      </c>
      <c r="D47" s="58" t="s">
        <v>276</v>
      </c>
      <c r="G47" s="22" t="s">
        <v>386</v>
      </c>
      <c r="H47" s="52">
        <v>42081</v>
      </c>
      <c r="I47" s="22" t="s">
        <v>387</v>
      </c>
    </row>
    <row r="48" spans="1:9" x14ac:dyDescent="0.2">
      <c r="A48" s="55">
        <v>23</v>
      </c>
      <c r="B48" s="56">
        <v>136</v>
      </c>
      <c r="C48" s="57" t="s">
        <v>42</v>
      </c>
      <c r="D48" s="58" t="s">
        <v>277</v>
      </c>
      <c r="G48" s="22" t="s">
        <v>388</v>
      </c>
      <c r="H48" s="52">
        <v>42081</v>
      </c>
      <c r="I48" s="22" t="s">
        <v>385</v>
      </c>
    </row>
    <row r="49" spans="1:9" x14ac:dyDescent="0.2">
      <c r="A49" s="55">
        <v>24</v>
      </c>
      <c r="B49" s="56">
        <v>137</v>
      </c>
      <c r="C49" s="57" t="s">
        <v>42</v>
      </c>
      <c r="D49" s="58" t="s">
        <v>276</v>
      </c>
      <c r="G49" s="22" t="s">
        <v>389</v>
      </c>
      <c r="H49" s="52">
        <v>42081</v>
      </c>
      <c r="I49" s="22" t="s">
        <v>383</v>
      </c>
    </row>
    <row r="50" spans="1:9" x14ac:dyDescent="0.2">
      <c r="A50" s="55">
        <v>25</v>
      </c>
      <c r="B50" s="56">
        <v>138</v>
      </c>
      <c r="C50" s="57" t="s">
        <v>42</v>
      </c>
      <c r="D50" s="58" t="s">
        <v>276</v>
      </c>
      <c r="G50" s="22" t="s">
        <v>390</v>
      </c>
      <c r="H50" s="52">
        <v>42081</v>
      </c>
      <c r="I50" s="22" t="s">
        <v>391</v>
      </c>
    </row>
    <row r="51" spans="1:9" x14ac:dyDescent="0.2">
      <c r="A51" s="55">
        <v>26</v>
      </c>
      <c r="B51" s="56">
        <v>141</v>
      </c>
      <c r="C51" s="57" t="s">
        <v>42</v>
      </c>
      <c r="D51" s="58" t="s">
        <v>37</v>
      </c>
      <c r="G51" s="22" t="s">
        <v>392</v>
      </c>
      <c r="H51" s="52">
        <v>42081</v>
      </c>
      <c r="I51" s="22" t="s">
        <v>393</v>
      </c>
    </row>
    <row r="52" spans="1:9" x14ac:dyDescent="0.2">
      <c r="A52" s="55">
        <v>28</v>
      </c>
      <c r="B52" s="56">
        <v>143</v>
      </c>
      <c r="C52" s="57" t="s">
        <v>42</v>
      </c>
      <c r="D52" s="58" t="s">
        <v>37</v>
      </c>
      <c r="G52" s="22" t="s">
        <v>394</v>
      </c>
      <c r="H52" s="52">
        <v>42081</v>
      </c>
      <c r="I52" s="22" t="s">
        <v>395</v>
      </c>
    </row>
    <row r="53" spans="1:9" x14ac:dyDescent="0.2">
      <c r="A53" s="55">
        <v>29</v>
      </c>
      <c r="B53" s="56">
        <v>144</v>
      </c>
      <c r="C53" s="57" t="s">
        <v>42</v>
      </c>
      <c r="D53" s="58" t="s">
        <v>275</v>
      </c>
      <c r="G53" s="22" t="s">
        <v>394</v>
      </c>
      <c r="H53" s="52">
        <v>42081</v>
      </c>
      <c r="I53" s="22" t="s">
        <v>396</v>
      </c>
    </row>
    <row r="54" spans="1:9" x14ac:dyDescent="0.2">
      <c r="A54" s="55">
        <v>30</v>
      </c>
      <c r="B54" s="56">
        <v>145</v>
      </c>
      <c r="C54" s="57" t="s">
        <v>42</v>
      </c>
      <c r="D54" s="58" t="s">
        <v>37</v>
      </c>
      <c r="G54" s="22" t="s">
        <v>397</v>
      </c>
      <c r="H54" s="52">
        <v>42081</v>
      </c>
      <c r="I54" s="22" t="s">
        <v>398</v>
      </c>
    </row>
    <row r="55" spans="1:9" x14ac:dyDescent="0.2">
      <c r="A55" s="55">
        <v>31</v>
      </c>
      <c r="B55" s="56">
        <v>146</v>
      </c>
      <c r="C55" s="57" t="s">
        <v>42</v>
      </c>
      <c r="D55" s="58" t="s">
        <v>37</v>
      </c>
      <c r="G55" s="22" t="s">
        <v>397</v>
      </c>
      <c r="H55" s="52">
        <v>42081</v>
      </c>
      <c r="I55" s="22" t="s">
        <v>399</v>
      </c>
    </row>
    <row r="56" spans="1:9" x14ac:dyDescent="0.2">
      <c r="A56" s="55">
        <v>32</v>
      </c>
      <c r="B56" s="56">
        <v>147</v>
      </c>
      <c r="C56" s="57" t="s">
        <v>42</v>
      </c>
      <c r="D56" s="58" t="s">
        <v>37</v>
      </c>
      <c r="G56" s="53" t="s">
        <v>402</v>
      </c>
      <c r="H56" s="52">
        <v>42089</v>
      </c>
      <c r="I56" s="53" t="s">
        <v>403</v>
      </c>
    </row>
    <row r="57" spans="1:9" x14ac:dyDescent="0.2">
      <c r="A57" s="55">
        <v>33</v>
      </c>
      <c r="B57" s="56">
        <v>228</v>
      </c>
      <c r="C57" s="57" t="s">
        <v>42</v>
      </c>
      <c r="D57" s="58" t="s">
        <v>277</v>
      </c>
      <c r="G57" s="53" t="s">
        <v>384</v>
      </c>
      <c r="H57" s="52">
        <v>42166</v>
      </c>
      <c r="I57" s="53" t="s">
        <v>383</v>
      </c>
    </row>
    <row r="58" spans="1:9" x14ac:dyDescent="0.2">
      <c r="A58" s="55">
        <v>34</v>
      </c>
      <c r="B58" s="56">
        <v>149</v>
      </c>
      <c r="C58" s="57" t="s">
        <v>42</v>
      </c>
      <c r="D58" s="58" t="s">
        <v>277</v>
      </c>
      <c r="G58" s="53" t="s">
        <v>388</v>
      </c>
      <c r="H58" s="52">
        <v>42166</v>
      </c>
      <c r="I58" s="53" t="s">
        <v>383</v>
      </c>
    </row>
    <row r="59" spans="1:9" x14ac:dyDescent="0.2">
      <c r="A59" s="55">
        <v>35</v>
      </c>
      <c r="B59" s="56">
        <v>150</v>
      </c>
      <c r="C59" s="57" t="s">
        <v>42</v>
      </c>
      <c r="D59" s="58" t="s">
        <v>37</v>
      </c>
      <c r="G59" s="53" t="s">
        <v>414</v>
      </c>
      <c r="H59" s="52">
        <v>42166</v>
      </c>
      <c r="I59" s="53" t="s">
        <v>89</v>
      </c>
    </row>
    <row r="60" spans="1:9" x14ac:dyDescent="0.2">
      <c r="A60" s="55">
        <v>36</v>
      </c>
      <c r="B60" s="56">
        <v>151</v>
      </c>
      <c r="C60" s="57" t="s">
        <v>42</v>
      </c>
      <c r="D60" s="58" t="s">
        <v>276</v>
      </c>
      <c r="G60" s="53" t="s">
        <v>415</v>
      </c>
      <c r="H60" s="52">
        <v>42166</v>
      </c>
      <c r="I60" s="53" t="s">
        <v>75</v>
      </c>
    </row>
    <row r="61" spans="1:9" x14ac:dyDescent="0.2">
      <c r="A61" s="55">
        <v>37</v>
      </c>
      <c r="B61" s="56">
        <v>153</v>
      </c>
      <c r="C61" s="57" t="s">
        <v>42</v>
      </c>
      <c r="D61" s="58" t="s">
        <v>276</v>
      </c>
      <c r="G61" s="53" t="s">
        <v>416</v>
      </c>
      <c r="H61" s="52">
        <v>42166</v>
      </c>
      <c r="I61" s="53" t="s">
        <v>173</v>
      </c>
    </row>
    <row r="62" spans="1:9" x14ac:dyDescent="0.2">
      <c r="A62" s="55">
        <v>38</v>
      </c>
      <c r="B62" s="56">
        <v>154</v>
      </c>
      <c r="C62" s="57" t="s">
        <v>42</v>
      </c>
      <c r="D62" s="58" t="s">
        <v>37</v>
      </c>
      <c r="G62" s="53" t="s">
        <v>417</v>
      </c>
      <c r="H62" s="52">
        <v>42166</v>
      </c>
      <c r="I62" s="53" t="s">
        <v>172</v>
      </c>
    </row>
    <row r="63" spans="1:9" x14ac:dyDescent="0.2">
      <c r="A63" s="55">
        <v>39</v>
      </c>
      <c r="B63" s="56">
        <v>155</v>
      </c>
      <c r="C63" s="57" t="s">
        <v>42</v>
      </c>
      <c r="D63" s="58" t="s">
        <v>37</v>
      </c>
      <c r="G63" s="53" t="s">
        <v>418</v>
      </c>
      <c r="H63" s="52">
        <v>42166</v>
      </c>
      <c r="I63" s="53" t="s">
        <v>419</v>
      </c>
    </row>
    <row r="64" spans="1:9" x14ac:dyDescent="0.2">
      <c r="A64" s="55">
        <v>40</v>
      </c>
      <c r="B64" s="56">
        <v>157</v>
      </c>
      <c r="C64" s="57" t="s">
        <v>41</v>
      </c>
      <c r="D64" s="58" t="s">
        <v>276</v>
      </c>
      <c r="G64" s="53" t="s">
        <v>420</v>
      </c>
      <c r="H64" s="52">
        <v>42166</v>
      </c>
      <c r="I64" s="53" t="s">
        <v>421</v>
      </c>
    </row>
    <row r="65" spans="1:9" x14ac:dyDescent="0.2">
      <c r="A65" s="55">
        <v>41</v>
      </c>
      <c r="B65" s="56">
        <v>171</v>
      </c>
      <c r="C65" s="57" t="s">
        <v>43</v>
      </c>
      <c r="D65" s="58" t="s">
        <v>276</v>
      </c>
      <c r="G65" s="53" t="s">
        <v>422</v>
      </c>
      <c r="H65" s="52">
        <v>42166</v>
      </c>
      <c r="I65" s="53" t="s">
        <v>423</v>
      </c>
    </row>
    <row r="66" spans="1:9" x14ac:dyDescent="0.2">
      <c r="A66" s="55">
        <v>42</v>
      </c>
      <c r="B66" s="56">
        <v>173</v>
      </c>
      <c r="C66" s="57" t="s">
        <v>44</v>
      </c>
      <c r="D66" s="58" t="s">
        <v>276</v>
      </c>
      <c r="G66" s="53" t="s">
        <v>424</v>
      </c>
      <c r="H66" s="52">
        <v>42166</v>
      </c>
      <c r="I66" s="53" t="s">
        <v>425</v>
      </c>
    </row>
    <row r="67" spans="1:9" x14ac:dyDescent="0.2">
      <c r="A67" s="55">
        <v>43</v>
      </c>
      <c r="B67" s="56">
        <v>174</v>
      </c>
      <c r="C67" s="57" t="s">
        <v>44</v>
      </c>
      <c r="D67" s="58" t="s">
        <v>276</v>
      </c>
      <c r="G67" s="53" t="s">
        <v>426</v>
      </c>
      <c r="H67" s="52">
        <v>42166</v>
      </c>
      <c r="I67" s="53" t="s">
        <v>427</v>
      </c>
    </row>
    <row r="68" spans="1:9" x14ac:dyDescent="0.2">
      <c r="A68" s="55">
        <v>44</v>
      </c>
      <c r="B68" s="56">
        <v>185</v>
      </c>
      <c r="C68" s="57" t="s">
        <v>43</v>
      </c>
      <c r="D68" s="58" t="s">
        <v>276</v>
      </c>
      <c r="G68" s="53" t="s">
        <v>428</v>
      </c>
      <c r="H68" s="52">
        <v>42166</v>
      </c>
      <c r="I68" s="53" t="s">
        <v>429</v>
      </c>
    </row>
    <row r="69" spans="1:9" x14ac:dyDescent="0.2">
      <c r="A69" s="55">
        <v>45</v>
      </c>
      <c r="B69" s="56">
        <v>19</v>
      </c>
      <c r="C69" s="57" t="s">
        <v>45</v>
      </c>
      <c r="D69" s="58" t="s">
        <v>37</v>
      </c>
      <c r="G69" s="53" t="s">
        <v>430</v>
      </c>
      <c r="H69" s="52">
        <v>42166</v>
      </c>
      <c r="I69" s="53" t="s">
        <v>431</v>
      </c>
    </row>
    <row r="70" spans="1:9" x14ac:dyDescent="0.2">
      <c r="A70" s="55">
        <v>46</v>
      </c>
      <c r="B70" s="56">
        <v>78</v>
      </c>
      <c r="C70" s="57" t="s">
        <v>46</v>
      </c>
      <c r="D70" s="58" t="s">
        <v>37</v>
      </c>
      <c r="G70" s="53" t="s">
        <v>432</v>
      </c>
      <c r="H70" s="52">
        <v>42166</v>
      </c>
      <c r="I70" s="53" t="s">
        <v>433</v>
      </c>
    </row>
    <row r="71" spans="1:9" x14ac:dyDescent="0.2">
      <c r="A71" s="55">
        <v>47</v>
      </c>
      <c r="B71" s="56">
        <v>15</v>
      </c>
      <c r="C71" s="57" t="s">
        <v>47</v>
      </c>
      <c r="D71" s="58" t="s">
        <v>37</v>
      </c>
      <c r="G71" s="53" t="s">
        <v>432</v>
      </c>
      <c r="H71" s="52">
        <v>42166</v>
      </c>
      <c r="I71" s="53" t="s">
        <v>434</v>
      </c>
    </row>
    <row r="72" spans="1:9" x14ac:dyDescent="0.2">
      <c r="A72" s="55">
        <v>48</v>
      </c>
      <c r="B72" s="56">
        <v>79</v>
      </c>
      <c r="C72" s="57" t="s">
        <v>48</v>
      </c>
      <c r="D72" s="58" t="s">
        <v>275</v>
      </c>
      <c r="G72" s="53" t="s">
        <v>435</v>
      </c>
      <c r="H72" s="52">
        <v>42166</v>
      </c>
      <c r="I72" s="53" t="s">
        <v>436</v>
      </c>
    </row>
    <row r="73" spans="1:9" x14ac:dyDescent="0.2">
      <c r="A73" s="55">
        <v>49</v>
      </c>
      <c r="B73" s="56">
        <v>128</v>
      </c>
      <c r="C73" s="57" t="s">
        <v>41</v>
      </c>
      <c r="D73" s="58" t="s">
        <v>37</v>
      </c>
      <c r="G73" s="53" t="s">
        <v>435</v>
      </c>
      <c r="H73" s="52">
        <v>42166</v>
      </c>
      <c r="I73" s="53" t="s">
        <v>437</v>
      </c>
    </row>
    <row r="74" spans="1:9" x14ac:dyDescent="0.2">
      <c r="A74" s="55">
        <v>50</v>
      </c>
      <c r="B74" s="56">
        <v>14</v>
      </c>
      <c r="C74" s="57" t="s">
        <v>49</v>
      </c>
      <c r="D74" s="58" t="s">
        <v>37</v>
      </c>
      <c r="G74" s="53" t="s">
        <v>438</v>
      </c>
      <c r="H74" s="52">
        <v>42166</v>
      </c>
      <c r="I74" s="53" t="s">
        <v>439</v>
      </c>
    </row>
    <row r="75" spans="1:9" x14ac:dyDescent="0.2">
      <c r="A75" s="55">
        <v>51</v>
      </c>
      <c r="B75" s="56">
        <v>112</v>
      </c>
      <c r="C75" s="57" t="s">
        <v>50</v>
      </c>
      <c r="D75" s="58">
        <v>1</v>
      </c>
      <c r="G75" s="53" t="s">
        <v>440</v>
      </c>
      <c r="H75" s="52">
        <v>42166</v>
      </c>
      <c r="I75" s="53" t="s">
        <v>441</v>
      </c>
    </row>
    <row r="76" spans="1:9" x14ac:dyDescent="0.2">
      <c r="A76" s="55">
        <v>51</v>
      </c>
      <c r="B76" s="56">
        <v>120</v>
      </c>
      <c r="C76" s="57" t="s">
        <v>50</v>
      </c>
      <c r="D76" s="58">
        <v>2</v>
      </c>
      <c r="G76" s="53" t="s">
        <v>442</v>
      </c>
      <c r="H76" s="52">
        <v>42166</v>
      </c>
      <c r="I76" s="53" t="s">
        <v>443</v>
      </c>
    </row>
    <row r="77" spans="1:9" x14ac:dyDescent="0.2">
      <c r="A77" s="55">
        <v>52</v>
      </c>
      <c r="B77" s="56">
        <v>114</v>
      </c>
      <c r="C77" s="57" t="s">
        <v>51</v>
      </c>
      <c r="D77" s="58" t="s">
        <v>275</v>
      </c>
      <c r="G77" s="53" t="s">
        <v>444</v>
      </c>
      <c r="H77" s="52">
        <v>42166</v>
      </c>
      <c r="I77" s="53" t="s">
        <v>445</v>
      </c>
    </row>
    <row r="78" spans="1:9" x14ac:dyDescent="0.2">
      <c r="A78" s="55">
        <v>53</v>
      </c>
      <c r="B78" s="56">
        <v>115</v>
      </c>
      <c r="C78" s="57" t="s">
        <v>51</v>
      </c>
      <c r="D78" s="58" t="s">
        <v>275</v>
      </c>
      <c r="G78" s="53" t="s">
        <v>446</v>
      </c>
      <c r="H78" s="52">
        <v>42166</v>
      </c>
      <c r="I78" s="53" t="s">
        <v>447</v>
      </c>
    </row>
    <row r="79" spans="1:9" x14ac:dyDescent="0.2">
      <c r="A79" s="55">
        <v>55</v>
      </c>
      <c r="B79" s="56">
        <v>117</v>
      </c>
      <c r="C79" s="57" t="s">
        <v>51</v>
      </c>
      <c r="D79" s="58" t="s">
        <v>275</v>
      </c>
      <c r="G79" s="53" t="s">
        <v>448</v>
      </c>
      <c r="H79" s="52">
        <v>42166</v>
      </c>
      <c r="I79" s="53" t="s">
        <v>449</v>
      </c>
    </row>
    <row r="80" spans="1:9" x14ac:dyDescent="0.2">
      <c r="A80" s="55">
        <v>56</v>
      </c>
      <c r="B80" s="56">
        <v>118</v>
      </c>
      <c r="C80" s="57" t="s">
        <v>51</v>
      </c>
      <c r="D80" s="58" t="s">
        <v>275</v>
      </c>
      <c r="G80" s="53" t="s">
        <v>450</v>
      </c>
      <c r="H80" s="52">
        <v>42166</v>
      </c>
      <c r="I80" s="53" t="s">
        <v>451</v>
      </c>
    </row>
    <row r="81" spans="1:9" x14ac:dyDescent="0.2">
      <c r="A81" s="55">
        <v>57</v>
      </c>
      <c r="B81" s="56">
        <v>119</v>
      </c>
      <c r="C81" s="57" t="s">
        <v>51</v>
      </c>
      <c r="D81" s="58" t="s">
        <v>37</v>
      </c>
      <c r="G81" s="53" t="s">
        <v>452</v>
      </c>
      <c r="H81" s="52">
        <v>42166</v>
      </c>
      <c r="I81" s="53" t="s">
        <v>453</v>
      </c>
    </row>
    <row r="82" spans="1:9" x14ac:dyDescent="0.2">
      <c r="A82" s="55">
        <v>58</v>
      </c>
      <c r="B82" s="56">
        <v>21</v>
      </c>
      <c r="C82" s="57" t="s">
        <v>89</v>
      </c>
      <c r="D82" s="58">
        <v>1</v>
      </c>
      <c r="G82" s="53" t="s">
        <v>452</v>
      </c>
      <c r="H82" s="52">
        <v>42166</v>
      </c>
      <c r="I82" s="53" t="s">
        <v>454</v>
      </c>
    </row>
    <row r="83" spans="1:9" x14ac:dyDescent="0.2">
      <c r="A83" s="55">
        <v>58</v>
      </c>
      <c r="B83" s="56">
        <v>175</v>
      </c>
      <c r="C83" s="57" t="s">
        <v>89</v>
      </c>
      <c r="D83" s="58">
        <v>1</v>
      </c>
      <c r="G83" s="53" t="s">
        <v>455</v>
      </c>
      <c r="H83" s="52">
        <v>42166</v>
      </c>
      <c r="I83" s="53" t="s">
        <v>456</v>
      </c>
    </row>
    <row r="84" spans="1:9" x14ac:dyDescent="0.2">
      <c r="A84" s="55">
        <v>59</v>
      </c>
      <c r="B84" s="56">
        <v>121</v>
      </c>
      <c r="C84" s="57" t="s">
        <v>51</v>
      </c>
      <c r="D84" s="58" t="s">
        <v>275</v>
      </c>
    </row>
    <row r="85" spans="1:9" x14ac:dyDescent="0.2">
      <c r="A85" s="55">
        <v>60</v>
      </c>
      <c r="B85" s="56">
        <v>122</v>
      </c>
      <c r="C85" s="57" t="s">
        <v>51</v>
      </c>
      <c r="D85" s="58" t="s">
        <v>37</v>
      </c>
    </row>
    <row r="86" spans="1:9" x14ac:dyDescent="0.2">
      <c r="A86" s="55">
        <v>62</v>
      </c>
      <c r="B86" s="56">
        <v>1119</v>
      </c>
      <c r="C86" s="57" t="s">
        <v>52</v>
      </c>
      <c r="D86" s="58" t="s">
        <v>278</v>
      </c>
    </row>
    <row r="87" spans="1:9" x14ac:dyDescent="0.2">
      <c r="A87" s="55">
        <v>63</v>
      </c>
      <c r="B87" s="56">
        <v>172</v>
      </c>
      <c r="C87" s="57" t="s">
        <v>44</v>
      </c>
      <c r="D87" s="58" t="s">
        <v>275</v>
      </c>
    </row>
    <row r="88" spans="1:9" x14ac:dyDescent="0.2">
      <c r="A88" s="55">
        <v>64</v>
      </c>
      <c r="B88" s="56">
        <v>1105</v>
      </c>
      <c r="C88" s="57" t="s">
        <v>51</v>
      </c>
      <c r="D88" s="58" t="s">
        <v>37</v>
      </c>
    </row>
    <row r="89" spans="1:9" x14ac:dyDescent="0.2">
      <c r="A89" s="55">
        <v>65</v>
      </c>
      <c r="B89" s="56">
        <v>10</v>
      </c>
      <c r="C89" s="57" t="s">
        <v>53</v>
      </c>
      <c r="D89" s="58" t="s">
        <v>37</v>
      </c>
    </row>
    <row r="90" spans="1:9" x14ac:dyDescent="0.2">
      <c r="A90" s="55">
        <v>66</v>
      </c>
      <c r="B90" s="56">
        <v>1106</v>
      </c>
      <c r="C90" s="57" t="s">
        <v>53</v>
      </c>
      <c r="D90" s="58" t="s">
        <v>37</v>
      </c>
    </row>
    <row r="91" spans="1:9" x14ac:dyDescent="0.2">
      <c r="A91" s="55">
        <v>67</v>
      </c>
      <c r="B91" s="56">
        <v>102</v>
      </c>
      <c r="C91" s="57" t="s">
        <v>54</v>
      </c>
      <c r="D91" s="58" t="s">
        <v>276</v>
      </c>
    </row>
    <row r="92" spans="1:9" x14ac:dyDescent="0.2">
      <c r="A92" s="55">
        <v>71</v>
      </c>
      <c r="B92" s="56">
        <v>109</v>
      </c>
      <c r="C92" s="57" t="s">
        <v>54</v>
      </c>
      <c r="D92" s="58" t="s">
        <v>37</v>
      </c>
    </row>
    <row r="93" spans="1:9" x14ac:dyDescent="0.2">
      <c r="A93" s="55">
        <v>72</v>
      </c>
      <c r="B93" s="56">
        <v>111</v>
      </c>
      <c r="C93" s="57" t="s">
        <v>54</v>
      </c>
      <c r="D93" s="58" t="s">
        <v>37</v>
      </c>
    </row>
    <row r="94" spans="1:9" x14ac:dyDescent="0.2">
      <c r="A94" s="55">
        <v>73</v>
      </c>
      <c r="B94" s="56">
        <v>156</v>
      </c>
      <c r="C94" s="57" t="s">
        <v>54</v>
      </c>
      <c r="D94" s="58" t="s">
        <v>276</v>
      </c>
    </row>
    <row r="95" spans="1:9" x14ac:dyDescent="0.2">
      <c r="A95" s="55">
        <v>74</v>
      </c>
      <c r="B95" s="56">
        <v>17</v>
      </c>
      <c r="C95" s="57" t="s">
        <v>55</v>
      </c>
      <c r="D95" s="58" t="s">
        <v>37</v>
      </c>
    </row>
    <row r="96" spans="1:9" x14ac:dyDescent="0.2">
      <c r="A96" s="55">
        <v>75</v>
      </c>
      <c r="B96" s="56">
        <v>62</v>
      </c>
      <c r="C96" s="57" t="s">
        <v>56</v>
      </c>
      <c r="D96" s="58" t="s">
        <v>37</v>
      </c>
    </row>
    <row r="97" spans="1:4" x14ac:dyDescent="0.2">
      <c r="A97" s="55">
        <v>76</v>
      </c>
      <c r="B97" s="56">
        <v>63</v>
      </c>
      <c r="C97" s="57" t="s">
        <v>56</v>
      </c>
      <c r="D97" s="58" t="s">
        <v>37</v>
      </c>
    </row>
    <row r="98" spans="1:4" x14ac:dyDescent="0.2">
      <c r="A98" s="55">
        <v>77</v>
      </c>
      <c r="B98" s="56">
        <v>134</v>
      </c>
      <c r="C98" s="57" t="s">
        <v>56</v>
      </c>
      <c r="D98" s="58" t="s">
        <v>37</v>
      </c>
    </row>
    <row r="99" spans="1:4" x14ac:dyDescent="0.2">
      <c r="A99" s="55">
        <v>78</v>
      </c>
      <c r="B99" s="56">
        <v>13</v>
      </c>
      <c r="C99" s="57" t="s">
        <v>57</v>
      </c>
      <c r="D99" s="58" t="s">
        <v>37</v>
      </c>
    </row>
    <row r="100" spans="1:4" x14ac:dyDescent="0.2">
      <c r="A100" s="55">
        <v>79</v>
      </c>
      <c r="B100" s="56">
        <v>97</v>
      </c>
      <c r="C100" s="57" t="s">
        <v>58</v>
      </c>
      <c r="D100" s="58">
        <v>2</v>
      </c>
    </row>
    <row r="101" spans="1:4" x14ac:dyDescent="0.2">
      <c r="A101" s="55">
        <v>79</v>
      </c>
      <c r="B101" s="56">
        <v>164</v>
      </c>
      <c r="C101" s="57" t="s">
        <v>58</v>
      </c>
      <c r="D101" s="58">
        <v>1</v>
      </c>
    </row>
    <row r="102" spans="1:4" x14ac:dyDescent="0.2">
      <c r="A102" s="55">
        <v>80</v>
      </c>
      <c r="B102" s="56">
        <v>96</v>
      </c>
      <c r="C102" s="57" t="s">
        <v>59</v>
      </c>
      <c r="D102" s="58" t="s">
        <v>37</v>
      </c>
    </row>
    <row r="103" spans="1:4" x14ac:dyDescent="0.2">
      <c r="A103" s="55">
        <v>81</v>
      </c>
      <c r="B103" s="56">
        <v>60</v>
      </c>
      <c r="C103" s="57" t="s">
        <v>60</v>
      </c>
      <c r="D103" s="58" t="s">
        <v>37</v>
      </c>
    </row>
    <row r="104" spans="1:4" x14ac:dyDescent="0.2">
      <c r="A104" s="55">
        <v>82</v>
      </c>
      <c r="B104" s="56">
        <v>83</v>
      </c>
      <c r="C104" s="57" t="s">
        <v>61</v>
      </c>
      <c r="D104" s="58" t="s">
        <v>37</v>
      </c>
    </row>
    <row r="105" spans="1:4" x14ac:dyDescent="0.2">
      <c r="A105" s="55">
        <v>83</v>
      </c>
      <c r="B105" s="56">
        <v>84</v>
      </c>
      <c r="C105" s="57" t="s">
        <v>61</v>
      </c>
      <c r="D105" s="58" t="s">
        <v>37</v>
      </c>
    </row>
    <row r="106" spans="1:4" x14ac:dyDescent="0.2">
      <c r="A106" s="55">
        <v>84</v>
      </c>
      <c r="B106" s="56">
        <v>85</v>
      </c>
      <c r="C106" s="57" t="s">
        <v>61</v>
      </c>
      <c r="D106" s="58" t="s">
        <v>37</v>
      </c>
    </row>
    <row r="107" spans="1:4" x14ac:dyDescent="0.2">
      <c r="A107" s="55">
        <v>85</v>
      </c>
      <c r="B107" s="56">
        <v>86</v>
      </c>
      <c r="C107" s="57" t="s">
        <v>61</v>
      </c>
      <c r="D107" s="58" t="s">
        <v>37</v>
      </c>
    </row>
    <row r="108" spans="1:4" x14ac:dyDescent="0.2">
      <c r="A108" s="55">
        <v>86</v>
      </c>
      <c r="B108" s="56">
        <v>1107</v>
      </c>
      <c r="C108" s="57" t="s">
        <v>61</v>
      </c>
      <c r="D108" s="58" t="s">
        <v>37</v>
      </c>
    </row>
    <row r="109" spans="1:4" x14ac:dyDescent="0.2">
      <c r="A109" s="55">
        <v>87</v>
      </c>
      <c r="B109" s="56">
        <v>1109</v>
      </c>
      <c r="C109" s="57" t="s">
        <v>61</v>
      </c>
      <c r="D109" s="58" t="s">
        <v>37</v>
      </c>
    </row>
    <row r="110" spans="1:4" x14ac:dyDescent="0.2">
      <c r="A110" s="55">
        <v>88</v>
      </c>
      <c r="B110" s="56">
        <v>1113</v>
      </c>
      <c r="C110" s="57" t="s">
        <v>61</v>
      </c>
      <c r="D110" s="58" t="s">
        <v>37</v>
      </c>
    </row>
    <row r="111" spans="1:4" x14ac:dyDescent="0.2">
      <c r="A111" s="55">
        <v>91</v>
      </c>
      <c r="B111" s="56">
        <v>3</v>
      </c>
      <c r="C111" s="57" t="s">
        <v>62</v>
      </c>
      <c r="D111" s="58" t="s">
        <v>37</v>
      </c>
    </row>
    <row r="112" spans="1:4" x14ac:dyDescent="0.2">
      <c r="A112" s="55">
        <v>92</v>
      </c>
      <c r="B112" s="56">
        <v>4</v>
      </c>
      <c r="C112" s="57" t="s">
        <v>62</v>
      </c>
      <c r="D112" s="58" t="s">
        <v>37</v>
      </c>
    </row>
    <row r="113" spans="1:4" x14ac:dyDescent="0.2">
      <c r="A113" s="55">
        <v>93</v>
      </c>
      <c r="B113" s="56">
        <v>30</v>
      </c>
      <c r="C113" s="57" t="s">
        <v>63</v>
      </c>
      <c r="D113" s="58">
        <v>1</v>
      </c>
    </row>
    <row r="114" spans="1:4" x14ac:dyDescent="0.2">
      <c r="A114" s="55">
        <v>93</v>
      </c>
      <c r="B114" s="56">
        <v>214</v>
      </c>
      <c r="C114" s="57" t="s">
        <v>63</v>
      </c>
      <c r="D114" s="58">
        <v>2</v>
      </c>
    </row>
    <row r="115" spans="1:4" x14ac:dyDescent="0.2">
      <c r="A115" s="55">
        <v>94</v>
      </c>
      <c r="B115" s="56">
        <v>1108</v>
      </c>
      <c r="C115" s="57" t="s">
        <v>62</v>
      </c>
      <c r="D115" s="58" t="s">
        <v>37</v>
      </c>
    </row>
    <row r="116" spans="1:4" x14ac:dyDescent="0.2">
      <c r="A116" s="55">
        <v>95</v>
      </c>
      <c r="B116" s="56">
        <v>1110</v>
      </c>
      <c r="C116" s="57" t="s">
        <v>62</v>
      </c>
      <c r="D116" s="58" t="s">
        <v>37</v>
      </c>
    </row>
    <row r="117" spans="1:4" x14ac:dyDescent="0.2">
      <c r="A117" s="55">
        <v>96</v>
      </c>
      <c r="B117" s="56">
        <v>1114</v>
      </c>
      <c r="C117" s="57" t="s">
        <v>62</v>
      </c>
      <c r="D117" s="58" t="s">
        <v>37</v>
      </c>
    </row>
    <row r="118" spans="1:4" x14ac:dyDescent="0.2">
      <c r="A118" s="55">
        <v>97</v>
      </c>
      <c r="B118" s="56">
        <v>54</v>
      </c>
      <c r="C118" s="57" t="s">
        <v>64</v>
      </c>
      <c r="D118" s="58" t="s">
        <v>37</v>
      </c>
    </row>
    <row r="119" spans="1:4" x14ac:dyDescent="0.2">
      <c r="A119" s="55">
        <v>98</v>
      </c>
      <c r="B119" s="56">
        <v>12</v>
      </c>
      <c r="C119" s="57" t="s">
        <v>65</v>
      </c>
      <c r="D119" s="58" t="s">
        <v>37</v>
      </c>
    </row>
    <row r="120" spans="1:4" x14ac:dyDescent="0.2">
      <c r="A120" s="55">
        <v>99</v>
      </c>
      <c r="B120" s="56">
        <v>75</v>
      </c>
      <c r="C120" s="57" t="s">
        <v>66</v>
      </c>
      <c r="D120" s="58" t="s">
        <v>275</v>
      </c>
    </row>
    <row r="121" spans="1:4" x14ac:dyDescent="0.2">
      <c r="A121" s="55">
        <v>100</v>
      </c>
      <c r="B121" s="56">
        <v>76</v>
      </c>
      <c r="C121" s="57" t="s">
        <v>66</v>
      </c>
      <c r="D121" s="58" t="s">
        <v>275</v>
      </c>
    </row>
    <row r="122" spans="1:4" x14ac:dyDescent="0.2">
      <c r="A122" s="55">
        <v>101</v>
      </c>
      <c r="B122" s="56">
        <v>7</v>
      </c>
      <c r="C122" s="57" t="s">
        <v>67</v>
      </c>
      <c r="D122" s="58" t="s">
        <v>37</v>
      </c>
    </row>
    <row r="123" spans="1:4" x14ac:dyDescent="0.2">
      <c r="A123" s="55">
        <v>102</v>
      </c>
      <c r="B123" s="56">
        <v>8</v>
      </c>
      <c r="C123" s="57" t="s">
        <v>67</v>
      </c>
      <c r="D123" s="58" t="s">
        <v>37</v>
      </c>
    </row>
    <row r="124" spans="1:4" x14ac:dyDescent="0.2">
      <c r="A124" s="55">
        <v>103</v>
      </c>
      <c r="B124" s="56">
        <v>9</v>
      </c>
      <c r="C124" s="57" t="s">
        <v>67</v>
      </c>
      <c r="D124" s="58" t="s">
        <v>37</v>
      </c>
    </row>
    <row r="125" spans="1:4" x14ac:dyDescent="0.2">
      <c r="A125" s="55">
        <v>104</v>
      </c>
      <c r="B125" s="56">
        <v>61</v>
      </c>
      <c r="C125" s="57" t="s">
        <v>68</v>
      </c>
      <c r="D125" s="58" t="s">
        <v>276</v>
      </c>
    </row>
    <row r="126" spans="1:4" x14ac:dyDescent="0.2">
      <c r="A126" s="55">
        <v>105</v>
      </c>
      <c r="B126" s="56">
        <v>65</v>
      </c>
      <c r="C126" s="57" t="s">
        <v>68</v>
      </c>
      <c r="D126" s="58" t="s">
        <v>37</v>
      </c>
    </row>
    <row r="127" spans="1:4" x14ac:dyDescent="0.2">
      <c r="A127" s="55">
        <v>106</v>
      </c>
      <c r="B127" s="56">
        <v>66</v>
      </c>
      <c r="C127" s="57" t="s">
        <v>68</v>
      </c>
      <c r="D127" s="58" t="s">
        <v>276</v>
      </c>
    </row>
    <row r="128" spans="1:4" x14ac:dyDescent="0.2">
      <c r="A128" s="55">
        <v>107</v>
      </c>
      <c r="B128" s="56">
        <v>67</v>
      </c>
      <c r="C128" s="57" t="s">
        <v>68</v>
      </c>
      <c r="D128" s="58" t="s">
        <v>276</v>
      </c>
    </row>
    <row r="129" spans="1:4" x14ac:dyDescent="0.2">
      <c r="A129" s="55">
        <v>108</v>
      </c>
      <c r="B129" s="56">
        <v>68</v>
      </c>
      <c r="C129" s="57" t="s">
        <v>68</v>
      </c>
      <c r="D129" s="58" t="s">
        <v>276</v>
      </c>
    </row>
    <row r="130" spans="1:4" x14ac:dyDescent="0.2">
      <c r="A130" s="55">
        <v>109</v>
      </c>
      <c r="B130" s="56">
        <v>69</v>
      </c>
      <c r="C130" s="57" t="s">
        <v>68</v>
      </c>
      <c r="D130" s="58" t="s">
        <v>37</v>
      </c>
    </row>
    <row r="131" spans="1:4" x14ac:dyDescent="0.2">
      <c r="A131" s="55">
        <v>110</v>
      </c>
      <c r="B131" s="56">
        <v>1348</v>
      </c>
      <c r="C131" s="57" t="s">
        <v>68</v>
      </c>
      <c r="D131" s="58" t="s">
        <v>37</v>
      </c>
    </row>
    <row r="132" spans="1:4" x14ac:dyDescent="0.2">
      <c r="A132" s="55">
        <v>111</v>
      </c>
      <c r="B132" s="56">
        <v>91</v>
      </c>
      <c r="C132" s="57" t="s">
        <v>69</v>
      </c>
      <c r="D132" s="58" t="s">
        <v>37</v>
      </c>
    </row>
    <row r="133" spans="1:4" x14ac:dyDescent="0.2">
      <c r="A133" s="55">
        <v>112</v>
      </c>
      <c r="B133" s="56">
        <v>22</v>
      </c>
      <c r="C133" s="57" t="s">
        <v>70</v>
      </c>
      <c r="D133" s="58" t="s">
        <v>275</v>
      </c>
    </row>
    <row r="134" spans="1:4" x14ac:dyDescent="0.2">
      <c r="A134" s="55">
        <v>113</v>
      </c>
      <c r="B134" s="56">
        <v>23</v>
      </c>
      <c r="C134" s="57" t="s">
        <v>70</v>
      </c>
      <c r="D134" s="58" t="s">
        <v>275</v>
      </c>
    </row>
    <row r="135" spans="1:4" x14ac:dyDescent="0.2">
      <c r="A135" s="55">
        <v>115</v>
      </c>
      <c r="B135" s="56">
        <v>25</v>
      </c>
      <c r="C135" s="57" t="s">
        <v>70</v>
      </c>
      <c r="D135" s="58" t="s">
        <v>37</v>
      </c>
    </row>
    <row r="136" spans="1:4" x14ac:dyDescent="0.2">
      <c r="A136" s="55">
        <v>116</v>
      </c>
      <c r="B136" s="56">
        <v>26</v>
      </c>
      <c r="C136" s="57" t="s">
        <v>70</v>
      </c>
      <c r="D136" s="58" t="s">
        <v>37</v>
      </c>
    </row>
    <row r="137" spans="1:4" x14ac:dyDescent="0.2">
      <c r="A137" s="55">
        <v>117</v>
      </c>
      <c r="B137" s="56">
        <v>1349</v>
      </c>
      <c r="C137" s="57" t="s">
        <v>70</v>
      </c>
      <c r="D137" s="58" t="s">
        <v>37</v>
      </c>
    </row>
    <row r="138" spans="1:4" x14ac:dyDescent="0.2">
      <c r="A138" s="55">
        <v>118</v>
      </c>
      <c r="B138" s="56">
        <v>6</v>
      </c>
      <c r="C138" s="57" t="s">
        <v>71</v>
      </c>
      <c r="D138" s="58" t="s">
        <v>37</v>
      </c>
    </row>
    <row r="139" spans="1:4" x14ac:dyDescent="0.2">
      <c r="A139" s="55">
        <v>119</v>
      </c>
      <c r="B139" s="56">
        <v>1350</v>
      </c>
      <c r="C139" s="57" t="s">
        <v>71</v>
      </c>
      <c r="D139" s="58" t="s">
        <v>37</v>
      </c>
    </row>
    <row r="140" spans="1:4" x14ac:dyDescent="0.2">
      <c r="A140" s="55">
        <v>120</v>
      </c>
      <c r="B140" s="56">
        <v>11</v>
      </c>
      <c r="C140" s="57" t="s">
        <v>44</v>
      </c>
      <c r="D140" s="58" t="s">
        <v>37</v>
      </c>
    </row>
    <row r="141" spans="1:4" x14ac:dyDescent="0.2">
      <c r="A141" s="55">
        <v>121</v>
      </c>
      <c r="B141" s="56">
        <v>26</v>
      </c>
      <c r="C141" s="57" t="s">
        <v>72</v>
      </c>
      <c r="D141" s="58">
        <v>2</v>
      </c>
    </row>
    <row r="142" spans="1:4" x14ac:dyDescent="0.2">
      <c r="A142" s="55">
        <v>121</v>
      </c>
      <c r="B142" s="56">
        <v>224</v>
      </c>
      <c r="C142" s="57" t="s">
        <v>72</v>
      </c>
      <c r="D142" s="58">
        <v>1</v>
      </c>
    </row>
    <row r="143" spans="1:4" x14ac:dyDescent="0.2">
      <c r="A143" s="55">
        <v>122</v>
      </c>
      <c r="B143" s="56">
        <v>201</v>
      </c>
      <c r="C143" s="57" t="s">
        <v>73</v>
      </c>
      <c r="D143" s="58">
        <v>1</v>
      </c>
    </row>
    <row r="144" spans="1:4" x14ac:dyDescent="0.2">
      <c r="A144" s="55">
        <v>122</v>
      </c>
      <c r="B144" s="56">
        <v>245</v>
      </c>
      <c r="C144" s="57" t="s">
        <v>73</v>
      </c>
      <c r="D144" s="58">
        <v>2</v>
      </c>
    </row>
    <row r="145" spans="1:4" x14ac:dyDescent="0.2">
      <c r="A145" s="55">
        <v>123</v>
      </c>
      <c r="B145" s="56">
        <v>1307</v>
      </c>
      <c r="C145" s="57" t="s">
        <v>74</v>
      </c>
      <c r="D145" s="58">
        <v>1</v>
      </c>
    </row>
    <row r="146" spans="1:4" x14ac:dyDescent="0.2">
      <c r="A146" s="55">
        <v>124</v>
      </c>
      <c r="B146" s="56">
        <v>1319</v>
      </c>
      <c r="C146" s="57" t="s">
        <v>74</v>
      </c>
      <c r="D146" s="58">
        <v>1</v>
      </c>
    </row>
    <row r="147" spans="1:4" x14ac:dyDescent="0.2">
      <c r="A147" s="55">
        <v>125</v>
      </c>
      <c r="B147" s="56">
        <v>1315</v>
      </c>
      <c r="C147" s="57" t="s">
        <v>74</v>
      </c>
      <c r="D147" s="58">
        <v>1</v>
      </c>
    </row>
    <row r="148" spans="1:4" x14ac:dyDescent="0.2">
      <c r="A148" s="55">
        <v>126</v>
      </c>
      <c r="B148" s="56">
        <v>1193</v>
      </c>
      <c r="C148" s="57" t="s">
        <v>75</v>
      </c>
      <c r="D148" s="58">
        <v>1</v>
      </c>
    </row>
    <row r="149" spans="1:4" x14ac:dyDescent="0.2">
      <c r="A149" s="55">
        <v>126</v>
      </c>
      <c r="B149" s="56">
        <v>1194</v>
      </c>
      <c r="C149" s="57" t="s">
        <v>75</v>
      </c>
      <c r="D149" s="58">
        <v>2</v>
      </c>
    </row>
    <row r="150" spans="1:4" x14ac:dyDescent="0.2">
      <c r="A150" s="55">
        <v>127</v>
      </c>
      <c r="B150" s="56">
        <v>80</v>
      </c>
      <c r="C150" s="57" t="s">
        <v>76</v>
      </c>
      <c r="D150" s="58" t="s">
        <v>276</v>
      </c>
    </row>
    <row r="151" spans="1:4" x14ac:dyDescent="0.2">
      <c r="A151" s="55">
        <v>127</v>
      </c>
      <c r="B151" s="56">
        <v>148</v>
      </c>
      <c r="C151" s="57" t="s">
        <v>76</v>
      </c>
      <c r="D151" s="58">
        <v>1</v>
      </c>
    </row>
    <row r="152" spans="1:4" x14ac:dyDescent="0.2">
      <c r="A152" s="55">
        <v>127</v>
      </c>
      <c r="B152" s="56">
        <v>221</v>
      </c>
      <c r="C152" s="57" t="s">
        <v>76</v>
      </c>
      <c r="D152" s="58" t="s">
        <v>278</v>
      </c>
    </row>
    <row r="153" spans="1:4" x14ac:dyDescent="0.2">
      <c r="A153" s="55">
        <v>128</v>
      </c>
      <c r="B153" s="56">
        <v>1120</v>
      </c>
      <c r="C153" s="57" t="s">
        <v>77</v>
      </c>
      <c r="D153" s="58">
        <v>1</v>
      </c>
    </row>
    <row r="154" spans="1:4" x14ac:dyDescent="0.2">
      <c r="A154" s="55">
        <v>128</v>
      </c>
      <c r="B154" s="56">
        <v>1121</v>
      </c>
      <c r="C154" s="57" t="s">
        <v>77</v>
      </c>
      <c r="D154" s="58">
        <v>1</v>
      </c>
    </row>
    <row r="155" spans="1:4" x14ac:dyDescent="0.2">
      <c r="A155" s="55">
        <v>128</v>
      </c>
      <c r="B155" s="56">
        <v>1122</v>
      </c>
      <c r="C155" s="57" t="s">
        <v>77</v>
      </c>
      <c r="D155" s="58">
        <v>2</v>
      </c>
    </row>
    <row r="156" spans="1:4" x14ac:dyDescent="0.2">
      <c r="A156" s="55">
        <v>129</v>
      </c>
      <c r="B156" s="56">
        <v>169</v>
      </c>
      <c r="C156" s="57" t="s">
        <v>76</v>
      </c>
      <c r="D156" s="58">
        <v>1</v>
      </c>
    </row>
    <row r="157" spans="1:4" x14ac:dyDescent="0.2">
      <c r="A157" s="55">
        <v>129</v>
      </c>
      <c r="B157" s="56">
        <v>202</v>
      </c>
      <c r="C157" s="57" t="s">
        <v>76</v>
      </c>
      <c r="D157" s="58">
        <v>1</v>
      </c>
    </row>
    <row r="158" spans="1:4" x14ac:dyDescent="0.2">
      <c r="A158" s="55">
        <v>129</v>
      </c>
      <c r="B158" s="56">
        <v>222</v>
      </c>
      <c r="C158" s="57" t="s">
        <v>76</v>
      </c>
      <c r="D158" s="58">
        <v>2</v>
      </c>
    </row>
    <row r="159" spans="1:4" x14ac:dyDescent="0.2">
      <c r="A159" s="55">
        <v>130</v>
      </c>
      <c r="B159" s="56">
        <v>1308</v>
      </c>
      <c r="C159" s="57" t="s">
        <v>78</v>
      </c>
      <c r="D159" s="58">
        <v>1</v>
      </c>
    </row>
    <row r="160" spans="1:4" x14ac:dyDescent="0.2">
      <c r="A160" s="55">
        <v>130</v>
      </c>
      <c r="B160" s="56">
        <v>1309</v>
      </c>
      <c r="C160" s="57" t="s">
        <v>78</v>
      </c>
      <c r="D160" s="58">
        <v>1</v>
      </c>
    </row>
    <row r="161" spans="1:4" x14ac:dyDescent="0.2">
      <c r="A161" s="55">
        <v>130</v>
      </c>
      <c r="B161" s="56">
        <v>1310</v>
      </c>
      <c r="C161" s="57" t="s">
        <v>78</v>
      </c>
      <c r="D161" s="58">
        <v>2</v>
      </c>
    </row>
    <row r="162" spans="1:4" x14ac:dyDescent="0.2">
      <c r="A162" s="55">
        <v>131</v>
      </c>
      <c r="B162" s="56">
        <v>1311</v>
      </c>
      <c r="C162" s="57" t="s">
        <v>78</v>
      </c>
      <c r="D162" s="58">
        <v>1</v>
      </c>
    </row>
    <row r="163" spans="1:4" x14ac:dyDescent="0.2">
      <c r="A163" s="55">
        <v>131</v>
      </c>
      <c r="B163" s="56">
        <v>1312</v>
      </c>
      <c r="C163" s="57" t="s">
        <v>78</v>
      </c>
      <c r="D163" s="58">
        <v>1</v>
      </c>
    </row>
    <row r="164" spans="1:4" x14ac:dyDescent="0.2">
      <c r="A164" s="55">
        <v>131</v>
      </c>
      <c r="B164" s="56">
        <v>1313</v>
      </c>
      <c r="C164" s="57" t="s">
        <v>78</v>
      </c>
      <c r="D164" s="58">
        <v>2</v>
      </c>
    </row>
    <row r="165" spans="1:4" x14ac:dyDescent="0.2">
      <c r="A165" s="55">
        <v>132</v>
      </c>
      <c r="B165" s="56">
        <v>92</v>
      </c>
      <c r="C165" s="57" t="s">
        <v>79</v>
      </c>
      <c r="D165" s="58" t="s">
        <v>275</v>
      </c>
    </row>
    <row r="166" spans="1:4" x14ac:dyDescent="0.2">
      <c r="A166" s="55">
        <v>132</v>
      </c>
      <c r="B166" s="56">
        <v>210</v>
      </c>
      <c r="C166" s="57" t="s">
        <v>79</v>
      </c>
      <c r="D166" s="58">
        <v>2</v>
      </c>
    </row>
    <row r="167" spans="1:4" x14ac:dyDescent="0.2">
      <c r="A167" s="55">
        <v>132</v>
      </c>
      <c r="B167" s="56">
        <v>234</v>
      </c>
      <c r="C167" s="57" t="s">
        <v>79</v>
      </c>
      <c r="D167" s="58" t="s">
        <v>275</v>
      </c>
    </row>
    <row r="168" spans="1:4" x14ac:dyDescent="0.2">
      <c r="A168" s="55">
        <v>132</v>
      </c>
      <c r="B168" s="56">
        <v>236</v>
      </c>
      <c r="C168" s="57" t="s">
        <v>79</v>
      </c>
      <c r="D168" s="58" t="s">
        <v>275</v>
      </c>
    </row>
    <row r="169" spans="1:4" x14ac:dyDescent="0.2">
      <c r="A169" s="55">
        <v>133</v>
      </c>
      <c r="B169" s="56">
        <v>92</v>
      </c>
      <c r="C169" s="57" t="s">
        <v>79</v>
      </c>
      <c r="D169" s="58">
        <v>1</v>
      </c>
    </row>
    <row r="170" spans="1:4" x14ac:dyDescent="0.2">
      <c r="A170" s="55">
        <v>133</v>
      </c>
      <c r="B170" s="56">
        <v>210</v>
      </c>
      <c r="C170" s="57" t="s">
        <v>79</v>
      </c>
      <c r="D170" s="58">
        <v>2</v>
      </c>
    </row>
    <row r="171" spans="1:4" x14ac:dyDescent="0.2">
      <c r="A171" s="55">
        <v>133</v>
      </c>
      <c r="B171" s="56">
        <v>233</v>
      </c>
      <c r="C171" s="57" t="s">
        <v>79</v>
      </c>
      <c r="D171" s="58">
        <v>1</v>
      </c>
    </row>
    <row r="172" spans="1:4" x14ac:dyDescent="0.2">
      <c r="A172" s="55">
        <v>133</v>
      </c>
      <c r="B172" s="56">
        <v>246</v>
      </c>
      <c r="C172" s="57" t="s">
        <v>79</v>
      </c>
      <c r="D172" s="58">
        <v>1</v>
      </c>
    </row>
    <row r="173" spans="1:4" x14ac:dyDescent="0.2">
      <c r="A173" s="55">
        <v>134</v>
      </c>
      <c r="B173" s="56">
        <v>101</v>
      </c>
      <c r="C173" s="57" t="s">
        <v>79</v>
      </c>
      <c r="D173" s="58">
        <v>1</v>
      </c>
    </row>
    <row r="174" spans="1:4" x14ac:dyDescent="0.2">
      <c r="A174" s="55">
        <v>134</v>
      </c>
      <c r="B174" s="56">
        <v>210</v>
      </c>
      <c r="C174" s="57" t="s">
        <v>79</v>
      </c>
      <c r="D174" s="58">
        <v>2</v>
      </c>
    </row>
    <row r="175" spans="1:4" x14ac:dyDescent="0.2">
      <c r="A175" s="55">
        <v>134</v>
      </c>
      <c r="B175" s="56">
        <v>232</v>
      </c>
      <c r="C175" s="57" t="s">
        <v>79</v>
      </c>
      <c r="D175" s="58">
        <v>1</v>
      </c>
    </row>
    <row r="176" spans="1:4" x14ac:dyDescent="0.2">
      <c r="A176" s="55">
        <v>134</v>
      </c>
      <c r="B176" s="56">
        <v>250</v>
      </c>
      <c r="C176" s="57" t="s">
        <v>79</v>
      </c>
      <c r="D176" s="58">
        <v>1</v>
      </c>
    </row>
    <row r="177" spans="1:4" x14ac:dyDescent="0.2">
      <c r="A177" s="55">
        <v>135</v>
      </c>
      <c r="B177" s="56">
        <v>38</v>
      </c>
      <c r="C177" s="57" t="s">
        <v>79</v>
      </c>
      <c r="D177" s="58">
        <v>1</v>
      </c>
    </row>
    <row r="178" spans="1:4" x14ac:dyDescent="0.2">
      <c r="A178" s="55">
        <v>135</v>
      </c>
      <c r="B178" s="56">
        <v>80</v>
      </c>
      <c r="C178" s="57" t="s">
        <v>79</v>
      </c>
      <c r="D178" s="58">
        <v>1</v>
      </c>
    </row>
    <row r="179" spans="1:4" x14ac:dyDescent="0.2">
      <c r="A179" s="55">
        <v>135</v>
      </c>
      <c r="B179" s="56">
        <v>221</v>
      </c>
      <c r="C179" s="57" t="s">
        <v>79</v>
      </c>
      <c r="D179" s="58" t="s">
        <v>278</v>
      </c>
    </row>
    <row r="180" spans="1:4" x14ac:dyDescent="0.2">
      <c r="A180" s="55">
        <v>135</v>
      </c>
      <c r="B180" s="56">
        <v>247</v>
      </c>
      <c r="C180" s="57" t="s">
        <v>79</v>
      </c>
      <c r="D180" s="58">
        <v>1</v>
      </c>
    </row>
    <row r="181" spans="1:4" x14ac:dyDescent="0.2">
      <c r="A181" s="55">
        <v>136</v>
      </c>
      <c r="B181" s="56">
        <v>124</v>
      </c>
      <c r="C181" s="57" t="s">
        <v>79</v>
      </c>
      <c r="D181" s="58">
        <v>1</v>
      </c>
    </row>
    <row r="182" spans="1:4" x14ac:dyDescent="0.2">
      <c r="A182" s="55">
        <v>136</v>
      </c>
      <c r="B182" s="56">
        <v>202</v>
      </c>
      <c r="C182" s="57" t="s">
        <v>79</v>
      </c>
      <c r="D182" s="58">
        <v>1</v>
      </c>
    </row>
    <row r="183" spans="1:4" x14ac:dyDescent="0.2">
      <c r="A183" s="55">
        <v>136</v>
      </c>
      <c r="B183" s="56">
        <v>222</v>
      </c>
      <c r="C183" s="57" t="s">
        <v>79</v>
      </c>
      <c r="D183" s="58">
        <v>2</v>
      </c>
    </row>
    <row r="184" spans="1:4" x14ac:dyDescent="0.2">
      <c r="A184" s="55">
        <v>136</v>
      </c>
      <c r="B184" s="56">
        <v>246</v>
      </c>
      <c r="C184" s="57" t="s">
        <v>79</v>
      </c>
      <c r="D184" s="58">
        <v>1</v>
      </c>
    </row>
    <row r="185" spans="1:4" x14ac:dyDescent="0.2">
      <c r="A185" s="55">
        <v>137</v>
      </c>
      <c r="B185" s="56">
        <v>203</v>
      </c>
      <c r="C185" s="57" t="s">
        <v>79</v>
      </c>
      <c r="D185" s="58" t="s">
        <v>80</v>
      </c>
    </row>
    <row r="186" spans="1:4" x14ac:dyDescent="0.2">
      <c r="A186" s="55">
        <v>137</v>
      </c>
      <c r="B186" s="56">
        <v>222</v>
      </c>
      <c r="C186" s="57" t="s">
        <v>79</v>
      </c>
      <c r="D186" s="58" t="s">
        <v>80</v>
      </c>
    </row>
    <row r="187" spans="1:4" x14ac:dyDescent="0.2">
      <c r="A187" s="55">
        <v>137</v>
      </c>
      <c r="B187" s="56">
        <v>223</v>
      </c>
      <c r="C187" s="57" t="s">
        <v>79</v>
      </c>
      <c r="D187" s="58" t="s">
        <v>80</v>
      </c>
    </row>
    <row r="188" spans="1:4" x14ac:dyDescent="0.2">
      <c r="A188" s="55">
        <v>137</v>
      </c>
      <c r="B188" s="56">
        <v>229</v>
      </c>
      <c r="C188" s="57" t="s">
        <v>79</v>
      </c>
      <c r="D188" s="58" t="s">
        <v>80</v>
      </c>
    </row>
    <row r="189" spans="1:4" x14ac:dyDescent="0.2">
      <c r="A189" s="55">
        <v>138</v>
      </c>
      <c r="B189" s="56">
        <v>5</v>
      </c>
      <c r="C189" s="57" t="s">
        <v>79</v>
      </c>
      <c r="D189" s="58" t="s">
        <v>275</v>
      </c>
    </row>
    <row r="190" spans="1:4" x14ac:dyDescent="0.2">
      <c r="A190" s="55">
        <v>138</v>
      </c>
      <c r="B190" s="56">
        <v>88</v>
      </c>
      <c r="C190" s="57" t="s">
        <v>79</v>
      </c>
      <c r="D190" s="58" t="s">
        <v>275</v>
      </c>
    </row>
    <row r="191" spans="1:4" x14ac:dyDescent="0.2">
      <c r="A191" s="55">
        <v>138</v>
      </c>
      <c r="B191" s="56">
        <v>208</v>
      </c>
      <c r="C191" s="57" t="s">
        <v>79</v>
      </c>
      <c r="D191" s="58">
        <v>2</v>
      </c>
    </row>
    <row r="192" spans="1:4" x14ac:dyDescent="0.2">
      <c r="A192" s="55">
        <v>138</v>
      </c>
      <c r="B192" s="56">
        <v>235</v>
      </c>
      <c r="C192" s="57" t="s">
        <v>79</v>
      </c>
      <c r="D192" s="58" t="s">
        <v>275</v>
      </c>
    </row>
    <row r="193" spans="1:4" x14ac:dyDescent="0.2">
      <c r="A193" s="55">
        <v>140</v>
      </c>
      <c r="B193" s="56">
        <v>1395</v>
      </c>
      <c r="C193" s="57" t="s">
        <v>63</v>
      </c>
      <c r="D193" s="58">
        <v>2</v>
      </c>
    </row>
    <row r="194" spans="1:4" x14ac:dyDescent="0.2">
      <c r="A194" s="55">
        <v>140</v>
      </c>
      <c r="B194" s="56">
        <v>1396</v>
      </c>
      <c r="C194" s="57" t="s">
        <v>63</v>
      </c>
      <c r="D194" s="58">
        <v>1</v>
      </c>
    </row>
    <row r="195" spans="1:4" x14ac:dyDescent="0.2">
      <c r="A195" s="55">
        <v>141</v>
      </c>
      <c r="B195" s="56">
        <v>189</v>
      </c>
      <c r="C195" s="57" t="s">
        <v>81</v>
      </c>
      <c r="D195" s="58">
        <v>1</v>
      </c>
    </row>
    <row r="196" spans="1:4" x14ac:dyDescent="0.2">
      <c r="A196" s="55">
        <v>141</v>
      </c>
      <c r="B196" s="56">
        <v>210</v>
      </c>
      <c r="C196" s="57" t="s">
        <v>81</v>
      </c>
      <c r="D196" s="58">
        <v>2</v>
      </c>
    </row>
    <row r="197" spans="1:4" x14ac:dyDescent="0.2">
      <c r="A197" s="55">
        <v>141</v>
      </c>
      <c r="B197" s="56">
        <v>233</v>
      </c>
      <c r="C197" s="57" t="s">
        <v>81</v>
      </c>
      <c r="D197" s="58">
        <v>1</v>
      </c>
    </row>
    <row r="198" spans="1:4" x14ac:dyDescent="0.2">
      <c r="A198" s="55">
        <v>141</v>
      </c>
      <c r="B198" s="56">
        <v>249</v>
      </c>
      <c r="C198" s="57" t="s">
        <v>81</v>
      </c>
      <c r="D198" s="58">
        <v>1</v>
      </c>
    </row>
    <row r="199" spans="1:4" x14ac:dyDescent="0.2">
      <c r="A199" s="55">
        <v>141</v>
      </c>
      <c r="B199" s="56">
        <v>252</v>
      </c>
      <c r="C199" s="57" t="s">
        <v>81</v>
      </c>
      <c r="D199" s="58">
        <v>1</v>
      </c>
    </row>
    <row r="200" spans="1:4" x14ac:dyDescent="0.2">
      <c r="A200" s="55">
        <v>142</v>
      </c>
      <c r="B200" s="56">
        <v>132</v>
      </c>
      <c r="C200" s="57" t="s">
        <v>81</v>
      </c>
      <c r="D200" s="58">
        <v>1</v>
      </c>
    </row>
    <row r="201" spans="1:4" x14ac:dyDescent="0.2">
      <c r="A201" s="55">
        <v>142</v>
      </c>
      <c r="B201" s="56">
        <v>206</v>
      </c>
      <c r="C201" s="57" t="s">
        <v>81</v>
      </c>
      <c r="D201" s="58">
        <v>2</v>
      </c>
    </row>
    <row r="202" spans="1:4" x14ac:dyDescent="0.2">
      <c r="A202" s="55">
        <v>142</v>
      </c>
      <c r="B202" s="56">
        <v>230</v>
      </c>
      <c r="C202" s="57" t="s">
        <v>81</v>
      </c>
      <c r="D202" s="58">
        <v>1</v>
      </c>
    </row>
    <row r="203" spans="1:4" x14ac:dyDescent="0.2">
      <c r="A203" s="55">
        <v>142</v>
      </c>
      <c r="B203" s="56">
        <v>249</v>
      </c>
      <c r="C203" s="57" t="s">
        <v>81</v>
      </c>
      <c r="D203" s="58">
        <v>1</v>
      </c>
    </row>
    <row r="204" spans="1:4" x14ac:dyDescent="0.2">
      <c r="A204" s="55">
        <v>142</v>
      </c>
      <c r="B204" s="56">
        <v>252</v>
      </c>
      <c r="C204" s="57" t="s">
        <v>81</v>
      </c>
      <c r="D204" s="58">
        <v>1</v>
      </c>
    </row>
    <row r="205" spans="1:4" x14ac:dyDescent="0.2">
      <c r="A205" s="55">
        <v>143</v>
      </c>
      <c r="B205" s="56">
        <v>47</v>
      </c>
      <c r="C205" s="57" t="s">
        <v>66</v>
      </c>
      <c r="D205" s="58" t="s">
        <v>37</v>
      </c>
    </row>
    <row r="206" spans="1:4" x14ac:dyDescent="0.2">
      <c r="A206" s="55">
        <v>144</v>
      </c>
      <c r="B206" s="56">
        <v>93</v>
      </c>
      <c r="C206" s="57" t="s">
        <v>82</v>
      </c>
      <c r="D206" s="58">
        <v>1</v>
      </c>
    </row>
    <row r="207" spans="1:4" x14ac:dyDescent="0.2">
      <c r="A207" s="55">
        <v>144</v>
      </c>
      <c r="B207" s="56">
        <v>208</v>
      </c>
      <c r="C207" s="57" t="s">
        <v>82</v>
      </c>
      <c r="D207" s="58">
        <v>2</v>
      </c>
    </row>
    <row r="208" spans="1:4" x14ac:dyDescent="0.2">
      <c r="A208" s="55">
        <v>144</v>
      </c>
      <c r="B208" s="56">
        <v>239</v>
      </c>
      <c r="C208" s="57" t="s">
        <v>82</v>
      </c>
      <c r="D208" s="58">
        <v>1</v>
      </c>
    </row>
    <row r="209" spans="1:4" x14ac:dyDescent="0.2">
      <c r="A209" s="55">
        <v>144</v>
      </c>
      <c r="B209" s="56">
        <v>243</v>
      </c>
      <c r="C209" s="57" t="s">
        <v>82</v>
      </c>
      <c r="D209" s="58">
        <v>1</v>
      </c>
    </row>
    <row r="210" spans="1:4" x14ac:dyDescent="0.2">
      <c r="A210" s="55">
        <v>144</v>
      </c>
      <c r="B210" s="56">
        <v>248</v>
      </c>
      <c r="C210" s="57" t="s">
        <v>82</v>
      </c>
      <c r="D210" s="58">
        <v>1</v>
      </c>
    </row>
    <row r="211" spans="1:4" x14ac:dyDescent="0.2">
      <c r="A211" s="55">
        <v>144</v>
      </c>
      <c r="B211" s="56">
        <v>251</v>
      </c>
      <c r="C211" s="57" t="s">
        <v>82</v>
      </c>
      <c r="D211" s="58">
        <v>1</v>
      </c>
    </row>
    <row r="212" spans="1:4" x14ac:dyDescent="0.2">
      <c r="A212" s="55">
        <v>145</v>
      </c>
      <c r="B212" s="56">
        <v>210</v>
      </c>
      <c r="C212" s="57" t="s">
        <v>82</v>
      </c>
      <c r="D212" s="58">
        <v>2</v>
      </c>
    </row>
    <row r="213" spans="1:4" x14ac:dyDescent="0.2">
      <c r="A213" s="55">
        <v>145</v>
      </c>
      <c r="B213" s="56">
        <v>249</v>
      </c>
      <c r="C213" s="57" t="s">
        <v>82</v>
      </c>
      <c r="D213" s="58">
        <v>1</v>
      </c>
    </row>
    <row r="214" spans="1:4" x14ac:dyDescent="0.2">
      <c r="A214" s="55">
        <v>145</v>
      </c>
      <c r="B214" s="56">
        <v>92</v>
      </c>
      <c r="C214" s="57" t="s">
        <v>82</v>
      </c>
      <c r="D214" s="58" t="s">
        <v>275</v>
      </c>
    </row>
    <row r="215" spans="1:4" x14ac:dyDescent="0.2">
      <c r="A215" s="55">
        <v>145</v>
      </c>
      <c r="B215" s="56">
        <v>240</v>
      </c>
      <c r="C215" s="57" t="s">
        <v>82</v>
      </c>
      <c r="D215" s="58" t="s">
        <v>275</v>
      </c>
    </row>
    <row r="216" spans="1:4" x14ac:dyDescent="0.2">
      <c r="A216" s="55">
        <v>145</v>
      </c>
      <c r="B216" s="56">
        <v>244</v>
      </c>
      <c r="C216" s="57" t="s">
        <v>82</v>
      </c>
      <c r="D216" s="58" t="s">
        <v>275</v>
      </c>
    </row>
    <row r="217" spans="1:4" x14ac:dyDescent="0.2">
      <c r="A217" s="55">
        <v>145</v>
      </c>
      <c r="B217" s="56">
        <v>252</v>
      </c>
      <c r="C217" s="57" t="s">
        <v>82</v>
      </c>
      <c r="D217" s="58">
        <v>1</v>
      </c>
    </row>
    <row r="218" spans="1:4" x14ac:dyDescent="0.2">
      <c r="A218" s="55">
        <v>146</v>
      </c>
      <c r="B218" s="56">
        <v>73</v>
      </c>
      <c r="C218" s="57" t="s">
        <v>82</v>
      </c>
      <c r="D218" s="58">
        <v>1</v>
      </c>
    </row>
    <row r="219" spans="1:4" x14ac:dyDescent="0.2">
      <c r="A219" s="55">
        <v>146</v>
      </c>
      <c r="B219" s="56">
        <v>93</v>
      </c>
      <c r="C219" s="57" t="s">
        <v>82</v>
      </c>
      <c r="D219" s="58">
        <v>1</v>
      </c>
    </row>
    <row r="220" spans="1:4" x14ac:dyDescent="0.2">
      <c r="A220" s="55">
        <v>146</v>
      </c>
      <c r="B220" s="56">
        <v>208</v>
      </c>
      <c r="C220" s="57" t="s">
        <v>82</v>
      </c>
      <c r="D220" s="58">
        <v>2</v>
      </c>
    </row>
    <row r="221" spans="1:4" x14ac:dyDescent="0.2">
      <c r="A221" s="55">
        <v>146</v>
      </c>
      <c r="B221" s="56">
        <v>239</v>
      </c>
      <c r="C221" s="57" t="s">
        <v>82</v>
      </c>
      <c r="D221" s="58">
        <v>1</v>
      </c>
    </row>
    <row r="222" spans="1:4" x14ac:dyDescent="0.2">
      <c r="A222" s="55">
        <v>146</v>
      </c>
      <c r="B222" s="56">
        <v>248</v>
      </c>
      <c r="C222" s="57" t="s">
        <v>82</v>
      </c>
      <c r="D222" s="58">
        <v>1</v>
      </c>
    </row>
    <row r="223" spans="1:4" x14ac:dyDescent="0.2">
      <c r="A223" s="55">
        <v>146</v>
      </c>
      <c r="B223" s="56">
        <v>251</v>
      </c>
      <c r="C223" s="57" t="s">
        <v>82</v>
      </c>
      <c r="D223" s="58">
        <v>1</v>
      </c>
    </row>
    <row r="224" spans="1:4" x14ac:dyDescent="0.2">
      <c r="A224" s="55">
        <v>147</v>
      </c>
      <c r="B224" s="56">
        <v>99</v>
      </c>
      <c r="C224" s="57" t="s">
        <v>82</v>
      </c>
      <c r="D224" s="58">
        <v>1</v>
      </c>
    </row>
    <row r="225" spans="1:4" x14ac:dyDescent="0.2">
      <c r="A225" s="55">
        <v>147</v>
      </c>
      <c r="B225" s="56">
        <v>206</v>
      </c>
      <c r="C225" s="57" t="s">
        <v>82</v>
      </c>
      <c r="D225" s="58">
        <v>2</v>
      </c>
    </row>
    <row r="226" spans="1:4" x14ac:dyDescent="0.2">
      <c r="A226" s="55">
        <v>147</v>
      </c>
      <c r="B226" s="56">
        <v>238</v>
      </c>
      <c r="C226" s="57" t="s">
        <v>82</v>
      </c>
      <c r="D226" s="58">
        <v>1</v>
      </c>
    </row>
    <row r="227" spans="1:4" x14ac:dyDescent="0.2">
      <c r="A227" s="55">
        <v>147</v>
      </c>
      <c r="B227" s="56">
        <v>242</v>
      </c>
      <c r="C227" s="57" t="s">
        <v>82</v>
      </c>
      <c r="D227" s="58">
        <v>1</v>
      </c>
    </row>
    <row r="228" spans="1:4" x14ac:dyDescent="0.2">
      <c r="A228" s="55">
        <v>147</v>
      </c>
      <c r="B228" s="56">
        <v>249</v>
      </c>
      <c r="C228" s="57" t="s">
        <v>82</v>
      </c>
      <c r="D228" s="58">
        <v>1</v>
      </c>
    </row>
    <row r="229" spans="1:4" x14ac:dyDescent="0.2">
      <c r="A229" s="55">
        <v>147</v>
      </c>
      <c r="B229" s="56">
        <v>252</v>
      </c>
      <c r="C229" s="57" t="s">
        <v>82</v>
      </c>
      <c r="D229" s="58">
        <v>1</v>
      </c>
    </row>
    <row r="230" spans="1:4" x14ac:dyDescent="0.2">
      <c r="A230" s="55">
        <v>148</v>
      </c>
      <c r="B230" s="56">
        <v>1152</v>
      </c>
      <c r="C230" s="57" t="s">
        <v>83</v>
      </c>
      <c r="D230" s="58" t="s">
        <v>278</v>
      </c>
    </row>
    <row r="231" spans="1:4" x14ac:dyDescent="0.2">
      <c r="A231" s="55">
        <v>149</v>
      </c>
      <c r="B231" s="56">
        <v>1394</v>
      </c>
      <c r="C231" s="57" t="s">
        <v>84</v>
      </c>
      <c r="D231" s="58">
        <v>2</v>
      </c>
    </row>
    <row r="232" spans="1:4" x14ac:dyDescent="0.2">
      <c r="A232" s="55">
        <v>150</v>
      </c>
      <c r="B232" s="56">
        <v>42</v>
      </c>
      <c r="C232" s="57" t="s">
        <v>75</v>
      </c>
      <c r="D232" s="58">
        <v>1</v>
      </c>
    </row>
    <row r="233" spans="1:4" x14ac:dyDescent="0.2">
      <c r="A233" s="55">
        <v>150</v>
      </c>
      <c r="B233" s="56">
        <v>207</v>
      </c>
      <c r="C233" s="57" t="s">
        <v>75</v>
      </c>
      <c r="D233" s="58">
        <v>2</v>
      </c>
    </row>
    <row r="234" spans="1:4" x14ac:dyDescent="0.2">
      <c r="A234" s="55">
        <v>151</v>
      </c>
      <c r="B234" s="56">
        <v>43</v>
      </c>
      <c r="C234" s="57" t="s">
        <v>75</v>
      </c>
      <c r="D234" s="58">
        <v>1</v>
      </c>
    </row>
    <row r="235" spans="1:4" x14ac:dyDescent="0.2">
      <c r="A235" s="55">
        <v>151</v>
      </c>
      <c r="B235" s="56">
        <v>210</v>
      </c>
      <c r="C235" s="57" t="s">
        <v>75</v>
      </c>
      <c r="D235" s="58" t="s">
        <v>278</v>
      </c>
    </row>
    <row r="236" spans="1:4" x14ac:dyDescent="0.2">
      <c r="A236" s="55">
        <v>152</v>
      </c>
      <c r="B236" s="56">
        <v>45</v>
      </c>
      <c r="C236" s="57" t="s">
        <v>75</v>
      </c>
      <c r="D236" s="58">
        <v>1</v>
      </c>
    </row>
    <row r="237" spans="1:4" x14ac:dyDescent="0.2">
      <c r="A237" s="55">
        <v>152</v>
      </c>
      <c r="B237" s="56">
        <v>211</v>
      </c>
      <c r="C237" s="57" t="s">
        <v>75</v>
      </c>
      <c r="D237" s="58">
        <v>2</v>
      </c>
    </row>
    <row r="238" spans="1:4" x14ac:dyDescent="0.2">
      <c r="A238" s="55">
        <v>153</v>
      </c>
      <c r="B238" s="56">
        <v>46</v>
      </c>
      <c r="C238" s="57" t="s">
        <v>75</v>
      </c>
      <c r="D238" s="58">
        <v>1</v>
      </c>
    </row>
    <row r="239" spans="1:4" x14ac:dyDescent="0.2">
      <c r="A239" s="55">
        <v>153</v>
      </c>
      <c r="B239" s="56">
        <v>212</v>
      </c>
      <c r="C239" s="57" t="s">
        <v>75</v>
      </c>
      <c r="D239" s="58">
        <v>2</v>
      </c>
    </row>
    <row r="240" spans="1:4" x14ac:dyDescent="0.2">
      <c r="A240" s="55">
        <v>154</v>
      </c>
      <c r="B240" s="56">
        <v>39</v>
      </c>
      <c r="C240" s="57" t="s">
        <v>75</v>
      </c>
      <c r="D240" s="58">
        <v>1</v>
      </c>
    </row>
    <row r="241" spans="1:4" x14ac:dyDescent="0.2">
      <c r="A241" s="55">
        <v>154</v>
      </c>
      <c r="B241" s="56">
        <v>221</v>
      </c>
      <c r="C241" s="57" t="s">
        <v>75</v>
      </c>
      <c r="D241" s="58">
        <v>2</v>
      </c>
    </row>
    <row r="242" spans="1:4" x14ac:dyDescent="0.2">
      <c r="A242" s="55">
        <v>155</v>
      </c>
      <c r="B242" s="56">
        <v>51</v>
      </c>
      <c r="C242" s="57" t="s">
        <v>63</v>
      </c>
      <c r="D242" s="58" t="s">
        <v>275</v>
      </c>
    </row>
    <row r="243" spans="1:4" x14ac:dyDescent="0.2">
      <c r="A243" s="55">
        <v>155</v>
      </c>
      <c r="B243" s="56">
        <v>200</v>
      </c>
      <c r="C243" s="57" t="s">
        <v>63</v>
      </c>
      <c r="D243" s="58" t="s">
        <v>275</v>
      </c>
    </row>
    <row r="244" spans="1:4" x14ac:dyDescent="0.2">
      <c r="A244" s="55">
        <v>156</v>
      </c>
      <c r="B244" s="56">
        <v>1000</v>
      </c>
      <c r="C244" s="57" t="s">
        <v>75</v>
      </c>
      <c r="D244" s="58">
        <v>2</v>
      </c>
    </row>
    <row r="245" spans="1:4" x14ac:dyDescent="0.2">
      <c r="A245" s="55">
        <v>156</v>
      </c>
      <c r="B245" s="56">
        <v>1001</v>
      </c>
      <c r="C245" s="57" t="s">
        <v>75</v>
      </c>
      <c r="D245" s="58">
        <v>1</v>
      </c>
    </row>
    <row r="246" spans="1:4" x14ac:dyDescent="0.2">
      <c r="A246" s="55">
        <v>157</v>
      </c>
      <c r="B246" s="56">
        <v>1002</v>
      </c>
      <c r="C246" s="57" t="s">
        <v>75</v>
      </c>
      <c r="D246" s="58">
        <v>2</v>
      </c>
    </row>
    <row r="247" spans="1:4" x14ac:dyDescent="0.2">
      <c r="A247" s="55">
        <v>157</v>
      </c>
      <c r="B247" s="56">
        <v>1003</v>
      </c>
      <c r="C247" s="57" t="s">
        <v>75</v>
      </c>
      <c r="D247" s="58">
        <v>1</v>
      </c>
    </row>
    <row r="248" spans="1:4" x14ac:dyDescent="0.2">
      <c r="A248" s="55">
        <v>158</v>
      </c>
      <c r="B248" s="56">
        <v>1008</v>
      </c>
      <c r="C248" s="57" t="s">
        <v>75</v>
      </c>
      <c r="D248" s="58">
        <v>2</v>
      </c>
    </row>
    <row r="249" spans="1:4" x14ac:dyDescent="0.2">
      <c r="A249" s="55">
        <v>158</v>
      </c>
      <c r="B249" s="56">
        <v>1009</v>
      </c>
      <c r="C249" s="57" t="s">
        <v>75</v>
      </c>
      <c r="D249" s="58">
        <v>1</v>
      </c>
    </row>
    <row r="250" spans="1:4" x14ac:dyDescent="0.2">
      <c r="A250" s="55">
        <v>159</v>
      </c>
      <c r="B250" s="56">
        <v>28</v>
      </c>
      <c r="C250" s="57" t="s">
        <v>51</v>
      </c>
      <c r="D250" s="58" t="s">
        <v>277</v>
      </c>
    </row>
    <row r="251" spans="1:4" x14ac:dyDescent="0.2">
      <c r="A251" s="55">
        <v>160</v>
      </c>
      <c r="B251" s="56">
        <v>1014</v>
      </c>
      <c r="C251" s="57" t="s">
        <v>75</v>
      </c>
      <c r="D251" s="58">
        <v>2</v>
      </c>
    </row>
    <row r="252" spans="1:4" x14ac:dyDescent="0.2">
      <c r="A252" s="55">
        <v>160</v>
      </c>
      <c r="B252" s="56">
        <v>1015</v>
      </c>
      <c r="C252" s="57" t="s">
        <v>75</v>
      </c>
      <c r="D252" s="58">
        <v>1</v>
      </c>
    </row>
    <row r="253" spans="1:4" x14ac:dyDescent="0.2">
      <c r="A253" s="55">
        <v>161</v>
      </c>
      <c r="B253" s="56">
        <v>1018</v>
      </c>
      <c r="C253" s="57" t="s">
        <v>75</v>
      </c>
      <c r="D253" s="58">
        <v>2</v>
      </c>
    </row>
    <row r="254" spans="1:4" x14ac:dyDescent="0.2">
      <c r="A254" s="55">
        <v>161</v>
      </c>
      <c r="B254" s="56">
        <v>1019</v>
      </c>
      <c r="C254" s="57" t="s">
        <v>75</v>
      </c>
      <c r="D254" s="58">
        <v>1</v>
      </c>
    </row>
    <row r="255" spans="1:4" x14ac:dyDescent="0.2">
      <c r="A255" s="55">
        <v>162</v>
      </c>
      <c r="B255" s="56">
        <v>1020</v>
      </c>
      <c r="C255" s="57" t="s">
        <v>75</v>
      </c>
      <c r="D255" s="58">
        <v>2</v>
      </c>
    </row>
    <row r="256" spans="1:4" x14ac:dyDescent="0.2">
      <c r="A256" s="55">
        <v>162</v>
      </c>
      <c r="B256" s="56">
        <v>1021</v>
      </c>
      <c r="C256" s="57" t="s">
        <v>75</v>
      </c>
      <c r="D256" s="58">
        <v>1</v>
      </c>
    </row>
    <row r="257" spans="1:4" x14ac:dyDescent="0.2">
      <c r="A257" s="55">
        <v>163</v>
      </c>
      <c r="B257" s="56">
        <v>1034</v>
      </c>
      <c r="C257" s="57" t="s">
        <v>75</v>
      </c>
      <c r="D257" s="58">
        <v>2</v>
      </c>
    </row>
    <row r="258" spans="1:4" x14ac:dyDescent="0.2">
      <c r="A258" s="55">
        <v>163</v>
      </c>
      <c r="B258" s="56">
        <v>1035</v>
      </c>
      <c r="C258" s="57" t="s">
        <v>75</v>
      </c>
      <c r="D258" s="58">
        <v>1</v>
      </c>
    </row>
    <row r="259" spans="1:4" x14ac:dyDescent="0.2">
      <c r="A259" s="55">
        <v>164</v>
      </c>
      <c r="B259" s="56">
        <v>1037</v>
      </c>
      <c r="C259" s="57" t="s">
        <v>75</v>
      </c>
      <c r="D259" s="58">
        <v>2</v>
      </c>
    </row>
    <row r="260" spans="1:4" x14ac:dyDescent="0.2">
      <c r="A260" s="55">
        <v>164</v>
      </c>
      <c r="B260" s="56">
        <v>1038</v>
      </c>
      <c r="C260" s="57" t="s">
        <v>75</v>
      </c>
      <c r="D260" s="58">
        <v>1</v>
      </c>
    </row>
    <row r="261" spans="1:4" x14ac:dyDescent="0.2">
      <c r="A261" s="55">
        <v>165</v>
      </c>
      <c r="B261" s="56">
        <v>1039</v>
      </c>
      <c r="C261" s="57" t="s">
        <v>75</v>
      </c>
      <c r="D261" s="58">
        <v>2</v>
      </c>
    </row>
    <row r="262" spans="1:4" x14ac:dyDescent="0.2">
      <c r="A262" s="55">
        <v>165</v>
      </c>
      <c r="B262" s="56">
        <v>1040</v>
      </c>
      <c r="C262" s="57" t="s">
        <v>75</v>
      </c>
      <c r="D262" s="58">
        <v>1</v>
      </c>
    </row>
    <row r="263" spans="1:4" x14ac:dyDescent="0.2">
      <c r="A263" s="55">
        <v>166</v>
      </c>
      <c r="B263" s="56">
        <v>1048</v>
      </c>
      <c r="C263" s="57" t="s">
        <v>75</v>
      </c>
      <c r="D263" s="58">
        <v>2</v>
      </c>
    </row>
    <row r="264" spans="1:4" x14ac:dyDescent="0.2">
      <c r="A264" s="55">
        <v>166</v>
      </c>
      <c r="B264" s="56">
        <v>1049</v>
      </c>
      <c r="C264" s="57" t="s">
        <v>75</v>
      </c>
      <c r="D264" s="58">
        <v>1</v>
      </c>
    </row>
    <row r="265" spans="1:4" x14ac:dyDescent="0.2">
      <c r="A265" s="55">
        <v>167</v>
      </c>
      <c r="B265" s="56">
        <v>1055</v>
      </c>
      <c r="C265" s="57" t="s">
        <v>75</v>
      </c>
      <c r="D265" s="58">
        <v>1</v>
      </c>
    </row>
    <row r="266" spans="1:4" x14ac:dyDescent="0.2">
      <c r="A266" s="55">
        <v>167</v>
      </c>
      <c r="B266" s="56">
        <v>1056</v>
      </c>
      <c r="C266" s="57" t="s">
        <v>75</v>
      </c>
      <c r="D266" s="58">
        <v>2</v>
      </c>
    </row>
    <row r="267" spans="1:4" x14ac:dyDescent="0.2">
      <c r="A267" s="55">
        <v>168</v>
      </c>
      <c r="B267" s="56">
        <v>1057</v>
      </c>
      <c r="C267" s="57" t="s">
        <v>75</v>
      </c>
      <c r="D267" s="58">
        <v>1</v>
      </c>
    </row>
    <row r="268" spans="1:4" x14ac:dyDescent="0.2">
      <c r="A268" s="55">
        <v>168</v>
      </c>
      <c r="B268" s="56">
        <v>1058</v>
      </c>
      <c r="C268" s="57" t="s">
        <v>75</v>
      </c>
      <c r="D268" s="58">
        <v>2</v>
      </c>
    </row>
    <row r="269" spans="1:4" x14ac:dyDescent="0.2">
      <c r="A269" s="55">
        <v>169</v>
      </c>
      <c r="B269" s="56">
        <v>1059</v>
      </c>
      <c r="C269" s="57" t="s">
        <v>75</v>
      </c>
      <c r="D269" s="58">
        <v>1</v>
      </c>
    </row>
    <row r="270" spans="1:4" x14ac:dyDescent="0.2">
      <c r="A270" s="55">
        <v>169</v>
      </c>
      <c r="B270" s="56">
        <v>1060</v>
      </c>
      <c r="C270" s="57" t="s">
        <v>75</v>
      </c>
      <c r="D270" s="58">
        <v>2</v>
      </c>
    </row>
    <row r="271" spans="1:4" x14ac:dyDescent="0.2">
      <c r="A271" s="55">
        <v>170</v>
      </c>
      <c r="B271" s="56">
        <v>1061</v>
      </c>
      <c r="C271" s="57" t="s">
        <v>75</v>
      </c>
      <c r="D271" s="58">
        <v>1</v>
      </c>
    </row>
    <row r="272" spans="1:4" x14ac:dyDescent="0.2">
      <c r="A272" s="55">
        <v>170</v>
      </c>
      <c r="B272" s="56">
        <v>1062</v>
      </c>
      <c r="C272" s="57" t="s">
        <v>75</v>
      </c>
      <c r="D272" s="58">
        <v>2</v>
      </c>
    </row>
    <row r="273" spans="1:4" x14ac:dyDescent="0.2">
      <c r="A273" s="55">
        <v>171</v>
      </c>
      <c r="B273" s="56">
        <v>1063</v>
      </c>
      <c r="C273" s="57" t="s">
        <v>75</v>
      </c>
      <c r="D273" s="58">
        <v>1</v>
      </c>
    </row>
    <row r="274" spans="1:4" x14ac:dyDescent="0.2">
      <c r="A274" s="55">
        <v>171</v>
      </c>
      <c r="B274" s="56">
        <v>1064</v>
      </c>
      <c r="C274" s="57" t="s">
        <v>75</v>
      </c>
      <c r="D274" s="58">
        <v>2</v>
      </c>
    </row>
    <row r="275" spans="1:4" x14ac:dyDescent="0.2">
      <c r="A275" s="55">
        <v>172</v>
      </c>
      <c r="B275" s="56">
        <v>1065</v>
      </c>
      <c r="C275" s="57" t="s">
        <v>75</v>
      </c>
      <c r="D275" s="58">
        <v>1</v>
      </c>
    </row>
    <row r="276" spans="1:4" x14ac:dyDescent="0.2">
      <c r="A276" s="55">
        <v>172</v>
      </c>
      <c r="B276" s="56">
        <v>1066</v>
      </c>
      <c r="C276" s="57" t="s">
        <v>75</v>
      </c>
      <c r="D276" s="58">
        <v>2</v>
      </c>
    </row>
    <row r="277" spans="1:4" x14ac:dyDescent="0.2">
      <c r="A277" s="55">
        <v>173</v>
      </c>
      <c r="B277" s="56">
        <v>1067</v>
      </c>
      <c r="C277" s="57" t="s">
        <v>75</v>
      </c>
      <c r="D277" s="58">
        <v>1</v>
      </c>
    </row>
    <row r="278" spans="1:4" x14ac:dyDescent="0.2">
      <c r="A278" s="55">
        <v>173</v>
      </c>
      <c r="B278" s="56">
        <v>1068</v>
      </c>
      <c r="C278" s="57" t="s">
        <v>75</v>
      </c>
      <c r="D278" s="58">
        <v>2</v>
      </c>
    </row>
    <row r="279" spans="1:4" x14ac:dyDescent="0.2">
      <c r="A279" s="55">
        <v>174</v>
      </c>
      <c r="B279" s="56">
        <v>1071</v>
      </c>
      <c r="C279" s="57" t="s">
        <v>75</v>
      </c>
      <c r="D279" s="58">
        <v>1</v>
      </c>
    </row>
    <row r="280" spans="1:4" x14ac:dyDescent="0.2">
      <c r="A280" s="55">
        <v>174</v>
      </c>
      <c r="B280" s="56">
        <v>1072</v>
      </c>
      <c r="C280" s="57" t="s">
        <v>75</v>
      </c>
      <c r="D280" s="58">
        <v>2</v>
      </c>
    </row>
    <row r="281" spans="1:4" x14ac:dyDescent="0.2">
      <c r="A281" s="55">
        <v>175</v>
      </c>
      <c r="B281" s="56">
        <v>1078</v>
      </c>
      <c r="C281" s="57" t="s">
        <v>75</v>
      </c>
      <c r="D281" s="58">
        <v>1</v>
      </c>
    </row>
    <row r="282" spans="1:4" x14ac:dyDescent="0.2">
      <c r="A282" s="55">
        <v>175</v>
      </c>
      <c r="B282" s="56">
        <v>1079</v>
      </c>
      <c r="C282" s="57" t="s">
        <v>75</v>
      </c>
      <c r="D282" s="58">
        <v>2</v>
      </c>
    </row>
    <row r="283" spans="1:4" x14ac:dyDescent="0.2">
      <c r="A283" s="55">
        <v>176</v>
      </c>
      <c r="B283" s="56">
        <v>1124</v>
      </c>
      <c r="C283" s="57" t="s">
        <v>75</v>
      </c>
      <c r="D283" s="58">
        <v>1</v>
      </c>
    </row>
    <row r="284" spans="1:4" x14ac:dyDescent="0.2">
      <c r="A284" s="55">
        <v>176</v>
      </c>
      <c r="B284" s="56">
        <v>1125</v>
      </c>
      <c r="C284" s="57" t="s">
        <v>75</v>
      </c>
      <c r="D284" s="58">
        <v>2</v>
      </c>
    </row>
    <row r="285" spans="1:4" x14ac:dyDescent="0.2">
      <c r="A285" s="55">
        <v>177</v>
      </c>
      <c r="B285" s="56">
        <v>1126</v>
      </c>
      <c r="C285" s="57" t="s">
        <v>75</v>
      </c>
      <c r="D285" s="58">
        <v>1</v>
      </c>
    </row>
    <row r="286" spans="1:4" x14ac:dyDescent="0.2">
      <c r="A286" s="55">
        <v>177</v>
      </c>
      <c r="B286" s="56">
        <v>1127</v>
      </c>
      <c r="C286" s="57" t="s">
        <v>75</v>
      </c>
      <c r="D286" s="58">
        <v>2</v>
      </c>
    </row>
    <row r="287" spans="1:4" x14ac:dyDescent="0.2">
      <c r="A287" s="55">
        <v>178</v>
      </c>
      <c r="B287" s="56">
        <v>1128</v>
      </c>
      <c r="C287" s="57" t="s">
        <v>85</v>
      </c>
      <c r="D287" s="58">
        <v>1</v>
      </c>
    </row>
    <row r="288" spans="1:4" x14ac:dyDescent="0.2">
      <c r="A288" s="55">
        <v>178</v>
      </c>
      <c r="B288" s="56">
        <v>1129</v>
      </c>
      <c r="C288" s="57" t="s">
        <v>85</v>
      </c>
      <c r="D288" s="58">
        <v>2</v>
      </c>
    </row>
    <row r="289" spans="1:4" x14ac:dyDescent="0.2">
      <c r="A289" s="55">
        <v>179</v>
      </c>
      <c r="B289" s="56">
        <v>1139</v>
      </c>
      <c r="C289" s="57" t="s">
        <v>75</v>
      </c>
      <c r="D289" s="58">
        <v>1</v>
      </c>
    </row>
    <row r="290" spans="1:4" x14ac:dyDescent="0.2">
      <c r="A290" s="55">
        <v>179</v>
      </c>
      <c r="B290" s="56">
        <v>1140</v>
      </c>
      <c r="C290" s="57" t="s">
        <v>75</v>
      </c>
      <c r="D290" s="58">
        <v>2</v>
      </c>
    </row>
    <row r="291" spans="1:4" x14ac:dyDescent="0.2">
      <c r="A291" s="55">
        <v>180</v>
      </c>
      <c r="B291" s="56">
        <v>1141</v>
      </c>
      <c r="C291" s="57" t="s">
        <v>75</v>
      </c>
      <c r="D291" s="58">
        <v>1</v>
      </c>
    </row>
    <row r="292" spans="1:4" x14ac:dyDescent="0.2">
      <c r="A292" s="55">
        <v>180</v>
      </c>
      <c r="B292" s="56">
        <v>1142</v>
      </c>
      <c r="C292" s="57" t="s">
        <v>75</v>
      </c>
      <c r="D292" s="58">
        <v>2</v>
      </c>
    </row>
    <row r="293" spans="1:4" x14ac:dyDescent="0.2">
      <c r="A293" s="55">
        <v>181</v>
      </c>
      <c r="B293" s="56">
        <v>1143</v>
      </c>
      <c r="C293" s="57" t="s">
        <v>75</v>
      </c>
      <c r="D293" s="58">
        <v>1</v>
      </c>
    </row>
    <row r="294" spans="1:4" x14ac:dyDescent="0.2">
      <c r="A294" s="55">
        <v>181</v>
      </c>
      <c r="B294" s="56">
        <v>1144</v>
      </c>
      <c r="C294" s="57" t="s">
        <v>75</v>
      </c>
      <c r="D294" s="58">
        <v>2</v>
      </c>
    </row>
    <row r="295" spans="1:4" x14ac:dyDescent="0.2">
      <c r="A295" s="55">
        <v>182</v>
      </c>
      <c r="B295" s="56">
        <v>1145</v>
      </c>
      <c r="C295" s="57" t="s">
        <v>75</v>
      </c>
      <c r="D295" s="58">
        <v>1</v>
      </c>
    </row>
    <row r="296" spans="1:4" x14ac:dyDescent="0.2">
      <c r="A296" s="55">
        <v>182</v>
      </c>
      <c r="B296" s="56">
        <v>1146</v>
      </c>
      <c r="C296" s="57" t="s">
        <v>75</v>
      </c>
      <c r="D296" s="58">
        <v>2</v>
      </c>
    </row>
    <row r="297" spans="1:4" x14ac:dyDescent="0.2">
      <c r="A297" s="55">
        <v>183</v>
      </c>
      <c r="B297" s="56">
        <v>1147</v>
      </c>
      <c r="C297" s="57" t="s">
        <v>75</v>
      </c>
      <c r="D297" s="58">
        <v>1</v>
      </c>
    </row>
    <row r="298" spans="1:4" x14ac:dyDescent="0.2">
      <c r="A298" s="55">
        <v>183</v>
      </c>
      <c r="B298" s="56">
        <v>1148</v>
      </c>
      <c r="C298" s="57" t="s">
        <v>75</v>
      </c>
      <c r="D298" s="58">
        <v>2</v>
      </c>
    </row>
    <row r="299" spans="1:4" x14ac:dyDescent="0.2">
      <c r="A299" s="55">
        <v>184</v>
      </c>
      <c r="B299" s="56">
        <v>1149</v>
      </c>
      <c r="C299" s="57" t="s">
        <v>75</v>
      </c>
      <c r="D299" s="58">
        <v>1</v>
      </c>
    </row>
    <row r="300" spans="1:4" x14ac:dyDescent="0.2">
      <c r="A300" s="55">
        <v>184</v>
      </c>
      <c r="B300" s="56">
        <v>1150</v>
      </c>
      <c r="C300" s="57" t="s">
        <v>75</v>
      </c>
      <c r="D300" s="58">
        <v>2</v>
      </c>
    </row>
    <row r="301" spans="1:4" x14ac:dyDescent="0.2">
      <c r="A301" s="55">
        <v>185</v>
      </c>
      <c r="B301" s="56">
        <v>1151</v>
      </c>
      <c r="C301" s="57" t="s">
        <v>75</v>
      </c>
      <c r="D301" s="58">
        <v>1</v>
      </c>
    </row>
    <row r="302" spans="1:4" x14ac:dyDescent="0.2">
      <c r="A302" s="55">
        <v>185</v>
      </c>
      <c r="B302" s="56">
        <v>1152</v>
      </c>
      <c r="C302" s="57" t="s">
        <v>75</v>
      </c>
      <c r="D302" s="58">
        <v>2</v>
      </c>
    </row>
    <row r="303" spans="1:4" x14ac:dyDescent="0.2">
      <c r="A303" s="55">
        <v>186</v>
      </c>
      <c r="B303" s="56">
        <v>1153</v>
      </c>
      <c r="C303" s="57" t="s">
        <v>75</v>
      </c>
      <c r="D303" s="58">
        <v>1</v>
      </c>
    </row>
    <row r="304" spans="1:4" x14ac:dyDescent="0.2">
      <c r="A304" s="55">
        <v>186</v>
      </c>
      <c r="B304" s="56">
        <v>1154</v>
      </c>
      <c r="C304" s="57" t="s">
        <v>75</v>
      </c>
      <c r="D304" s="58">
        <v>2</v>
      </c>
    </row>
    <row r="305" spans="1:4" x14ac:dyDescent="0.2">
      <c r="A305" s="55">
        <v>187</v>
      </c>
      <c r="B305" s="56">
        <v>1324</v>
      </c>
      <c r="C305" s="57" t="s">
        <v>75</v>
      </c>
      <c r="D305" s="58">
        <v>2</v>
      </c>
    </row>
    <row r="306" spans="1:4" x14ac:dyDescent="0.2">
      <c r="A306" s="55">
        <v>187</v>
      </c>
      <c r="B306" s="56">
        <v>1325</v>
      </c>
      <c r="C306" s="57" t="s">
        <v>75</v>
      </c>
      <c r="D306" s="58">
        <v>1</v>
      </c>
    </row>
    <row r="307" spans="1:4" x14ac:dyDescent="0.2">
      <c r="A307" s="55">
        <v>188</v>
      </c>
      <c r="B307" s="56">
        <v>1191</v>
      </c>
      <c r="C307" s="57" t="s">
        <v>75</v>
      </c>
      <c r="D307" s="58">
        <v>2</v>
      </c>
    </row>
    <row r="308" spans="1:4" x14ac:dyDescent="0.2">
      <c r="A308" s="55">
        <v>188</v>
      </c>
      <c r="B308" s="56">
        <v>1192</v>
      </c>
      <c r="C308" s="57" t="s">
        <v>75</v>
      </c>
      <c r="D308" s="58">
        <v>1</v>
      </c>
    </row>
    <row r="309" spans="1:4" x14ac:dyDescent="0.2">
      <c r="A309" s="55">
        <v>189</v>
      </c>
      <c r="B309" s="56">
        <v>1233</v>
      </c>
      <c r="C309" s="57" t="s">
        <v>75</v>
      </c>
      <c r="D309" s="58" t="s">
        <v>275</v>
      </c>
    </row>
    <row r="310" spans="1:4" x14ac:dyDescent="0.2">
      <c r="A310" s="55">
        <v>189</v>
      </c>
      <c r="B310" s="56">
        <v>1234</v>
      </c>
      <c r="C310" s="57" t="s">
        <v>75</v>
      </c>
      <c r="D310" s="58" t="s">
        <v>275</v>
      </c>
    </row>
    <row r="311" spans="1:4" x14ac:dyDescent="0.2">
      <c r="A311" s="55">
        <v>190</v>
      </c>
      <c r="B311" s="56">
        <v>1238</v>
      </c>
      <c r="C311" s="57" t="s">
        <v>75</v>
      </c>
      <c r="D311" s="58" t="s">
        <v>275</v>
      </c>
    </row>
    <row r="312" spans="1:4" x14ac:dyDescent="0.2">
      <c r="A312" s="55">
        <v>190</v>
      </c>
      <c r="B312" s="56">
        <v>1239</v>
      </c>
      <c r="C312" s="57" t="s">
        <v>75</v>
      </c>
      <c r="D312" s="58" t="s">
        <v>275</v>
      </c>
    </row>
    <row r="313" spans="1:4" x14ac:dyDescent="0.2">
      <c r="A313" s="55">
        <v>191</v>
      </c>
      <c r="B313" s="56">
        <v>1240</v>
      </c>
      <c r="C313" s="57" t="s">
        <v>75</v>
      </c>
      <c r="D313" s="58" t="s">
        <v>275</v>
      </c>
    </row>
    <row r="314" spans="1:4" x14ac:dyDescent="0.2">
      <c r="A314" s="55">
        <v>191</v>
      </c>
      <c r="B314" s="56">
        <v>1241</v>
      </c>
      <c r="C314" s="57" t="s">
        <v>75</v>
      </c>
      <c r="D314" s="58" t="s">
        <v>275</v>
      </c>
    </row>
    <row r="315" spans="1:4" x14ac:dyDescent="0.2">
      <c r="A315" s="55">
        <v>192</v>
      </c>
      <c r="B315" s="56">
        <v>1242</v>
      </c>
      <c r="C315" s="57" t="s">
        <v>75</v>
      </c>
      <c r="D315" s="58" t="s">
        <v>275</v>
      </c>
    </row>
    <row r="316" spans="1:4" x14ac:dyDescent="0.2">
      <c r="A316" s="55">
        <v>192</v>
      </c>
      <c r="B316" s="56">
        <v>1243</v>
      </c>
      <c r="C316" s="57" t="s">
        <v>75</v>
      </c>
      <c r="D316" s="58" t="s">
        <v>275</v>
      </c>
    </row>
    <row r="317" spans="1:4" x14ac:dyDescent="0.2">
      <c r="A317" s="55">
        <v>193</v>
      </c>
      <c r="B317" s="56">
        <v>1244</v>
      </c>
      <c r="C317" s="57" t="s">
        <v>75</v>
      </c>
      <c r="D317" s="58" t="s">
        <v>275</v>
      </c>
    </row>
    <row r="318" spans="1:4" x14ac:dyDescent="0.2">
      <c r="A318" s="55">
        <v>193</v>
      </c>
      <c r="B318" s="56">
        <v>1245</v>
      </c>
      <c r="C318" s="57" t="s">
        <v>75</v>
      </c>
      <c r="D318" s="58" t="s">
        <v>275</v>
      </c>
    </row>
    <row r="319" spans="1:4" x14ac:dyDescent="0.2">
      <c r="A319" s="55">
        <v>194</v>
      </c>
      <c r="B319" s="56">
        <v>1246</v>
      </c>
      <c r="C319" s="57" t="s">
        <v>75</v>
      </c>
      <c r="D319" s="58" t="s">
        <v>275</v>
      </c>
    </row>
    <row r="320" spans="1:4" x14ac:dyDescent="0.2">
      <c r="A320" s="55">
        <v>194</v>
      </c>
      <c r="B320" s="56">
        <v>1247</v>
      </c>
      <c r="C320" s="57" t="s">
        <v>75</v>
      </c>
      <c r="D320" s="58" t="s">
        <v>275</v>
      </c>
    </row>
    <row r="321" spans="1:4" x14ac:dyDescent="0.2">
      <c r="A321" s="55">
        <v>195</v>
      </c>
      <c r="B321" s="56">
        <v>1248</v>
      </c>
      <c r="C321" s="57" t="s">
        <v>75</v>
      </c>
      <c r="D321" s="58" t="s">
        <v>275</v>
      </c>
    </row>
    <row r="322" spans="1:4" x14ac:dyDescent="0.2">
      <c r="A322" s="55">
        <v>195</v>
      </c>
      <c r="B322" s="56">
        <v>1249</v>
      </c>
      <c r="C322" s="57" t="s">
        <v>75</v>
      </c>
      <c r="D322" s="58" t="s">
        <v>275</v>
      </c>
    </row>
    <row r="323" spans="1:4" x14ac:dyDescent="0.2">
      <c r="A323" s="55">
        <v>196</v>
      </c>
      <c r="B323" s="56">
        <v>1250</v>
      </c>
      <c r="C323" s="57" t="s">
        <v>75</v>
      </c>
      <c r="D323" s="58" t="s">
        <v>275</v>
      </c>
    </row>
    <row r="324" spans="1:4" x14ac:dyDescent="0.2">
      <c r="A324" s="55">
        <v>196</v>
      </c>
      <c r="B324" s="56">
        <v>1251</v>
      </c>
      <c r="C324" s="57" t="s">
        <v>75</v>
      </c>
      <c r="D324" s="58" t="s">
        <v>275</v>
      </c>
    </row>
    <row r="325" spans="1:4" x14ac:dyDescent="0.2">
      <c r="A325" s="55">
        <v>197</v>
      </c>
      <c r="B325" s="56">
        <v>1252</v>
      </c>
      <c r="C325" s="57" t="s">
        <v>75</v>
      </c>
      <c r="D325" s="58" t="s">
        <v>275</v>
      </c>
    </row>
    <row r="326" spans="1:4" x14ac:dyDescent="0.2">
      <c r="A326" s="55">
        <v>197</v>
      </c>
      <c r="B326" s="56">
        <v>1253</v>
      </c>
      <c r="C326" s="57" t="s">
        <v>75</v>
      </c>
      <c r="D326" s="58" t="s">
        <v>275</v>
      </c>
    </row>
    <row r="327" spans="1:4" x14ac:dyDescent="0.2">
      <c r="A327" s="55">
        <v>198</v>
      </c>
      <c r="B327" s="56">
        <v>1254</v>
      </c>
      <c r="C327" s="57" t="s">
        <v>75</v>
      </c>
      <c r="D327" s="58" t="s">
        <v>275</v>
      </c>
    </row>
    <row r="328" spans="1:4" x14ac:dyDescent="0.2">
      <c r="A328" s="55">
        <v>198</v>
      </c>
      <c r="B328" s="56">
        <v>1255</v>
      </c>
      <c r="C328" s="57" t="s">
        <v>75</v>
      </c>
      <c r="D328" s="58" t="s">
        <v>275</v>
      </c>
    </row>
    <row r="329" spans="1:4" x14ac:dyDescent="0.2">
      <c r="A329" s="55">
        <v>199</v>
      </c>
      <c r="B329" s="56">
        <v>1256</v>
      </c>
      <c r="C329" s="57" t="s">
        <v>75</v>
      </c>
      <c r="D329" s="58" t="s">
        <v>275</v>
      </c>
    </row>
    <row r="330" spans="1:4" x14ac:dyDescent="0.2">
      <c r="A330" s="55">
        <v>199</v>
      </c>
      <c r="B330" s="56">
        <v>1257</v>
      </c>
      <c r="C330" s="57" t="s">
        <v>75</v>
      </c>
      <c r="D330" s="58" t="s">
        <v>275</v>
      </c>
    </row>
    <row r="331" spans="1:4" x14ac:dyDescent="0.2">
      <c r="A331" s="55">
        <v>201</v>
      </c>
      <c r="B331" s="56">
        <v>1265</v>
      </c>
      <c r="C331" s="57" t="s">
        <v>75</v>
      </c>
      <c r="D331" s="58" t="s">
        <v>275</v>
      </c>
    </row>
    <row r="332" spans="1:4" x14ac:dyDescent="0.2">
      <c r="A332" s="55">
        <v>201</v>
      </c>
      <c r="B332" s="56">
        <v>1266</v>
      </c>
      <c r="C332" s="57" t="s">
        <v>75</v>
      </c>
      <c r="D332" s="58" t="s">
        <v>275</v>
      </c>
    </row>
    <row r="333" spans="1:4" x14ac:dyDescent="0.2">
      <c r="A333" s="55">
        <v>202</v>
      </c>
      <c r="B333" s="56">
        <v>1267</v>
      </c>
      <c r="C333" s="57" t="s">
        <v>75</v>
      </c>
      <c r="D333" s="58" t="s">
        <v>275</v>
      </c>
    </row>
    <row r="334" spans="1:4" x14ac:dyDescent="0.2">
      <c r="A334" s="55">
        <v>202</v>
      </c>
      <c r="B334" s="56">
        <v>1268</v>
      </c>
      <c r="C334" s="57" t="s">
        <v>75</v>
      </c>
      <c r="D334" s="58" t="s">
        <v>275</v>
      </c>
    </row>
    <row r="335" spans="1:4" x14ac:dyDescent="0.2">
      <c r="A335" s="55">
        <v>203</v>
      </c>
      <c r="B335" s="56">
        <v>1269</v>
      </c>
      <c r="C335" s="57" t="s">
        <v>75</v>
      </c>
      <c r="D335" s="58" t="s">
        <v>275</v>
      </c>
    </row>
    <row r="336" spans="1:4" x14ac:dyDescent="0.2">
      <c r="A336" s="55">
        <v>203</v>
      </c>
      <c r="B336" s="56">
        <v>1270</v>
      </c>
      <c r="C336" s="57" t="s">
        <v>75</v>
      </c>
      <c r="D336" s="58" t="s">
        <v>275</v>
      </c>
    </row>
    <row r="337" spans="1:4" x14ac:dyDescent="0.2">
      <c r="A337" s="55">
        <v>204</v>
      </c>
      <c r="B337" s="56">
        <v>1271</v>
      </c>
      <c r="C337" s="57" t="s">
        <v>75</v>
      </c>
      <c r="D337" s="58" t="s">
        <v>275</v>
      </c>
    </row>
    <row r="338" spans="1:4" x14ac:dyDescent="0.2">
      <c r="A338" s="55">
        <v>204</v>
      </c>
      <c r="B338" s="56">
        <v>1272</v>
      </c>
      <c r="C338" s="57" t="s">
        <v>75</v>
      </c>
      <c r="D338" s="58" t="s">
        <v>275</v>
      </c>
    </row>
    <row r="339" spans="1:4" x14ac:dyDescent="0.2">
      <c r="A339" s="55">
        <v>205</v>
      </c>
      <c r="B339" s="56">
        <v>1273</v>
      </c>
      <c r="C339" s="57" t="s">
        <v>75</v>
      </c>
      <c r="D339" s="58" t="s">
        <v>275</v>
      </c>
    </row>
    <row r="340" spans="1:4" x14ac:dyDescent="0.2">
      <c r="A340" s="55">
        <v>205</v>
      </c>
      <c r="B340" s="56">
        <v>1274</v>
      </c>
      <c r="C340" s="57" t="s">
        <v>75</v>
      </c>
      <c r="D340" s="58" t="s">
        <v>275</v>
      </c>
    </row>
    <row r="341" spans="1:4" x14ac:dyDescent="0.2">
      <c r="A341" s="55">
        <v>206</v>
      </c>
      <c r="B341" s="56">
        <v>1275</v>
      </c>
      <c r="C341" s="57" t="s">
        <v>75</v>
      </c>
      <c r="D341" s="58" t="s">
        <v>275</v>
      </c>
    </row>
    <row r="342" spans="1:4" x14ac:dyDescent="0.2">
      <c r="A342" s="55">
        <v>206</v>
      </c>
      <c r="B342" s="56">
        <v>1276</v>
      </c>
      <c r="C342" s="57" t="s">
        <v>75</v>
      </c>
      <c r="D342" s="58" t="s">
        <v>275</v>
      </c>
    </row>
    <row r="343" spans="1:4" x14ac:dyDescent="0.2">
      <c r="A343" s="55">
        <v>207</v>
      </c>
      <c r="B343" s="56">
        <v>1277</v>
      </c>
      <c r="C343" s="57" t="s">
        <v>75</v>
      </c>
      <c r="D343" s="58" t="s">
        <v>275</v>
      </c>
    </row>
    <row r="344" spans="1:4" x14ac:dyDescent="0.2">
      <c r="A344" s="55">
        <v>207</v>
      </c>
      <c r="B344" s="56">
        <v>1278</v>
      </c>
      <c r="C344" s="57" t="s">
        <v>75</v>
      </c>
      <c r="D344" s="58" t="s">
        <v>275</v>
      </c>
    </row>
    <row r="345" spans="1:4" x14ac:dyDescent="0.2">
      <c r="A345" s="55">
        <v>208</v>
      </c>
      <c r="B345" s="56">
        <v>1279</v>
      </c>
      <c r="C345" s="57" t="s">
        <v>75</v>
      </c>
      <c r="D345" s="58" t="s">
        <v>275</v>
      </c>
    </row>
    <row r="346" spans="1:4" x14ac:dyDescent="0.2">
      <c r="A346" s="55">
        <v>208</v>
      </c>
      <c r="B346" s="56">
        <v>1280</v>
      </c>
      <c r="C346" s="57" t="s">
        <v>75</v>
      </c>
      <c r="D346" s="58" t="s">
        <v>275</v>
      </c>
    </row>
    <row r="347" spans="1:4" x14ac:dyDescent="0.2">
      <c r="A347" s="55">
        <v>209</v>
      </c>
      <c r="B347" s="56">
        <v>1286</v>
      </c>
      <c r="C347" s="57" t="s">
        <v>75</v>
      </c>
      <c r="D347" s="58">
        <v>2</v>
      </c>
    </row>
    <row r="348" spans="1:4" x14ac:dyDescent="0.2">
      <c r="A348" s="55">
        <v>209</v>
      </c>
      <c r="B348" s="56">
        <v>1287</v>
      </c>
      <c r="C348" s="57" t="s">
        <v>75</v>
      </c>
      <c r="D348" s="58">
        <v>1</v>
      </c>
    </row>
    <row r="349" spans="1:4" x14ac:dyDescent="0.2">
      <c r="A349" s="55">
        <v>210</v>
      </c>
      <c r="B349" s="56">
        <v>1293</v>
      </c>
      <c r="C349" s="57" t="s">
        <v>75</v>
      </c>
      <c r="D349" s="58">
        <v>2</v>
      </c>
    </row>
    <row r="350" spans="1:4" x14ac:dyDescent="0.2">
      <c r="A350" s="55">
        <v>210</v>
      </c>
      <c r="B350" s="56">
        <v>1294</v>
      </c>
      <c r="C350" s="57" t="s">
        <v>75</v>
      </c>
      <c r="D350" s="58">
        <v>1</v>
      </c>
    </row>
    <row r="351" spans="1:4" x14ac:dyDescent="0.2">
      <c r="A351" s="55">
        <v>211</v>
      </c>
      <c r="B351" s="56">
        <v>1295</v>
      </c>
      <c r="C351" s="57" t="s">
        <v>75</v>
      </c>
      <c r="D351" s="58">
        <v>2</v>
      </c>
    </row>
    <row r="352" spans="1:4" x14ac:dyDescent="0.2">
      <c r="A352" s="55">
        <v>211</v>
      </c>
      <c r="B352" s="56">
        <v>1296</v>
      </c>
      <c r="C352" s="57" t="s">
        <v>75</v>
      </c>
      <c r="D352" s="58">
        <v>1</v>
      </c>
    </row>
    <row r="353" spans="1:4" x14ac:dyDescent="0.2">
      <c r="A353" s="55">
        <v>212</v>
      </c>
      <c r="B353" s="56">
        <v>1297</v>
      </c>
      <c r="C353" s="57" t="s">
        <v>75</v>
      </c>
      <c r="D353" s="58">
        <v>2</v>
      </c>
    </row>
    <row r="354" spans="1:4" x14ac:dyDescent="0.2">
      <c r="A354" s="55">
        <v>212</v>
      </c>
      <c r="B354" s="56">
        <v>1298</v>
      </c>
      <c r="C354" s="57" t="s">
        <v>75</v>
      </c>
      <c r="D354" s="58">
        <v>1</v>
      </c>
    </row>
    <row r="355" spans="1:4" x14ac:dyDescent="0.2">
      <c r="A355" s="55">
        <v>213</v>
      </c>
      <c r="B355" s="56">
        <v>1299</v>
      </c>
      <c r="C355" s="57" t="s">
        <v>75</v>
      </c>
      <c r="D355" s="58">
        <v>2</v>
      </c>
    </row>
    <row r="356" spans="1:4" x14ac:dyDescent="0.2">
      <c r="A356" s="55">
        <v>213</v>
      </c>
      <c r="B356" s="56">
        <v>1300</v>
      </c>
      <c r="C356" s="57" t="s">
        <v>75</v>
      </c>
      <c r="D356" s="58">
        <v>1</v>
      </c>
    </row>
    <row r="357" spans="1:4" x14ac:dyDescent="0.2">
      <c r="A357" s="55">
        <v>214</v>
      </c>
      <c r="B357" s="56">
        <v>1326</v>
      </c>
      <c r="C357" s="57" t="s">
        <v>75</v>
      </c>
      <c r="D357" s="58">
        <v>2</v>
      </c>
    </row>
    <row r="358" spans="1:4" x14ac:dyDescent="0.2">
      <c r="A358" s="55">
        <v>214</v>
      </c>
      <c r="B358" s="56">
        <v>1327</v>
      </c>
      <c r="C358" s="57" t="s">
        <v>75</v>
      </c>
      <c r="D358" s="58">
        <v>1</v>
      </c>
    </row>
    <row r="359" spans="1:4" x14ac:dyDescent="0.2">
      <c r="A359" s="55">
        <v>215</v>
      </c>
      <c r="B359" s="56">
        <v>1328</v>
      </c>
      <c r="C359" s="57" t="s">
        <v>75</v>
      </c>
      <c r="D359" s="58">
        <v>2</v>
      </c>
    </row>
    <row r="360" spans="1:4" x14ac:dyDescent="0.2">
      <c r="A360" s="55">
        <v>215</v>
      </c>
      <c r="B360" s="56">
        <v>1329</v>
      </c>
      <c r="C360" s="57" t="s">
        <v>75</v>
      </c>
      <c r="D360" s="58">
        <v>1</v>
      </c>
    </row>
    <row r="361" spans="1:4" x14ac:dyDescent="0.2">
      <c r="A361" s="55">
        <v>216</v>
      </c>
      <c r="B361" s="56">
        <v>1330</v>
      </c>
      <c r="C361" s="57" t="s">
        <v>75</v>
      </c>
      <c r="D361" s="58">
        <v>2</v>
      </c>
    </row>
    <row r="362" spans="1:4" x14ac:dyDescent="0.2">
      <c r="A362" s="55">
        <v>216</v>
      </c>
      <c r="B362" s="56">
        <v>1331</v>
      </c>
      <c r="C362" s="57" t="s">
        <v>75</v>
      </c>
      <c r="D362" s="58">
        <v>1</v>
      </c>
    </row>
    <row r="363" spans="1:4" x14ac:dyDescent="0.2">
      <c r="A363" s="55">
        <v>217</v>
      </c>
      <c r="B363" s="56">
        <v>1332</v>
      </c>
      <c r="C363" s="57" t="s">
        <v>75</v>
      </c>
      <c r="D363" s="58">
        <v>2</v>
      </c>
    </row>
    <row r="364" spans="1:4" x14ac:dyDescent="0.2">
      <c r="A364" s="55">
        <v>217</v>
      </c>
      <c r="B364" s="56">
        <v>1333</v>
      </c>
      <c r="C364" s="57" t="s">
        <v>75</v>
      </c>
      <c r="D364" s="58">
        <v>1</v>
      </c>
    </row>
    <row r="365" spans="1:4" x14ac:dyDescent="0.2">
      <c r="A365" s="55">
        <v>218</v>
      </c>
      <c r="B365" s="56">
        <v>1334</v>
      </c>
      <c r="C365" s="57" t="s">
        <v>75</v>
      </c>
      <c r="D365" s="58">
        <v>2</v>
      </c>
    </row>
    <row r="366" spans="1:4" x14ac:dyDescent="0.2">
      <c r="A366" s="55">
        <v>218</v>
      </c>
      <c r="B366" s="56">
        <v>1335</v>
      </c>
      <c r="C366" s="57" t="s">
        <v>75</v>
      </c>
      <c r="D366" s="58">
        <v>1</v>
      </c>
    </row>
    <row r="367" spans="1:4" x14ac:dyDescent="0.2">
      <c r="A367" s="55">
        <v>219</v>
      </c>
      <c r="B367" s="56">
        <v>1336</v>
      </c>
      <c r="C367" s="57" t="s">
        <v>75</v>
      </c>
      <c r="D367" s="58">
        <v>2</v>
      </c>
    </row>
    <row r="368" spans="1:4" x14ac:dyDescent="0.2">
      <c r="A368" s="55">
        <v>219</v>
      </c>
      <c r="B368" s="56">
        <v>1337</v>
      </c>
      <c r="C368" s="57" t="s">
        <v>75</v>
      </c>
      <c r="D368" s="58">
        <v>1</v>
      </c>
    </row>
    <row r="369" spans="1:4" x14ac:dyDescent="0.2">
      <c r="A369" s="55">
        <v>220</v>
      </c>
      <c r="B369" s="56">
        <v>1338</v>
      </c>
      <c r="C369" s="57" t="s">
        <v>75</v>
      </c>
      <c r="D369" s="58">
        <v>2</v>
      </c>
    </row>
    <row r="370" spans="1:4" x14ac:dyDescent="0.2">
      <c r="A370" s="55">
        <v>220</v>
      </c>
      <c r="B370" s="56">
        <v>1339</v>
      </c>
      <c r="C370" s="57" t="s">
        <v>75</v>
      </c>
      <c r="D370" s="58">
        <v>1</v>
      </c>
    </row>
    <row r="371" spans="1:4" x14ac:dyDescent="0.2">
      <c r="A371" s="55">
        <v>221</v>
      </c>
      <c r="B371" s="56">
        <v>1340</v>
      </c>
      <c r="C371" s="57" t="s">
        <v>75</v>
      </c>
      <c r="D371" s="58">
        <v>2</v>
      </c>
    </row>
    <row r="372" spans="1:4" x14ac:dyDescent="0.2">
      <c r="A372" s="55">
        <v>221</v>
      </c>
      <c r="B372" s="56">
        <v>1341</v>
      </c>
      <c r="C372" s="57" t="s">
        <v>75</v>
      </c>
      <c r="D372" s="58">
        <v>1</v>
      </c>
    </row>
    <row r="373" spans="1:4" x14ac:dyDescent="0.2">
      <c r="A373" s="55">
        <v>222</v>
      </c>
      <c r="B373" s="56">
        <v>1342</v>
      </c>
      <c r="C373" s="57" t="s">
        <v>75</v>
      </c>
      <c r="D373" s="58">
        <v>2</v>
      </c>
    </row>
    <row r="374" spans="1:4" x14ac:dyDescent="0.2">
      <c r="A374" s="55">
        <v>222</v>
      </c>
      <c r="B374" s="56">
        <v>1343</v>
      </c>
      <c r="C374" s="57" t="s">
        <v>75</v>
      </c>
      <c r="D374" s="58">
        <v>1</v>
      </c>
    </row>
    <row r="375" spans="1:4" x14ac:dyDescent="0.2">
      <c r="A375" s="55">
        <v>223</v>
      </c>
      <c r="B375" s="56">
        <v>1344</v>
      </c>
      <c r="C375" s="57" t="s">
        <v>75</v>
      </c>
      <c r="D375" s="58">
        <v>2</v>
      </c>
    </row>
    <row r="376" spans="1:4" x14ac:dyDescent="0.2">
      <c r="A376" s="55">
        <v>223</v>
      </c>
      <c r="B376" s="56">
        <v>1345</v>
      </c>
      <c r="C376" s="57" t="s">
        <v>75</v>
      </c>
      <c r="D376" s="58">
        <v>1</v>
      </c>
    </row>
    <row r="377" spans="1:4" x14ac:dyDescent="0.2">
      <c r="A377" s="55">
        <v>224</v>
      </c>
      <c r="B377" s="56">
        <v>1353</v>
      </c>
      <c r="C377" s="57" t="s">
        <v>75</v>
      </c>
      <c r="D377" s="58">
        <v>2</v>
      </c>
    </row>
    <row r="378" spans="1:4" x14ac:dyDescent="0.2">
      <c r="A378" s="55">
        <v>224</v>
      </c>
      <c r="B378" s="56">
        <v>1354</v>
      </c>
      <c r="C378" s="57" t="s">
        <v>75</v>
      </c>
      <c r="D378" s="58">
        <v>1</v>
      </c>
    </row>
    <row r="379" spans="1:4" x14ac:dyDescent="0.2">
      <c r="A379" s="55">
        <v>225</v>
      </c>
      <c r="B379" s="56">
        <v>1355</v>
      </c>
      <c r="C379" s="57" t="s">
        <v>75</v>
      </c>
      <c r="D379" s="58">
        <v>2</v>
      </c>
    </row>
    <row r="380" spans="1:4" x14ac:dyDescent="0.2">
      <c r="A380" s="55">
        <v>225</v>
      </c>
      <c r="B380" s="56">
        <v>1356</v>
      </c>
      <c r="C380" s="57" t="s">
        <v>75</v>
      </c>
      <c r="D380" s="58">
        <v>1</v>
      </c>
    </row>
    <row r="381" spans="1:4" x14ac:dyDescent="0.2">
      <c r="A381" s="55">
        <v>226</v>
      </c>
      <c r="B381" s="56">
        <v>1357</v>
      </c>
      <c r="C381" s="57" t="s">
        <v>75</v>
      </c>
      <c r="D381" s="58">
        <v>2</v>
      </c>
    </row>
    <row r="382" spans="1:4" x14ac:dyDescent="0.2">
      <c r="A382" s="55">
        <v>226</v>
      </c>
      <c r="B382" s="56">
        <v>1358</v>
      </c>
      <c r="C382" s="57" t="s">
        <v>75</v>
      </c>
      <c r="D382" s="58">
        <v>1</v>
      </c>
    </row>
    <row r="383" spans="1:4" x14ac:dyDescent="0.2">
      <c r="A383" s="55">
        <v>227</v>
      </c>
      <c r="B383" s="56">
        <v>1359</v>
      </c>
      <c r="C383" s="57" t="s">
        <v>75</v>
      </c>
      <c r="D383" s="58">
        <v>2</v>
      </c>
    </row>
    <row r="384" spans="1:4" x14ac:dyDescent="0.2">
      <c r="A384" s="55">
        <v>227</v>
      </c>
      <c r="B384" s="56">
        <v>1360</v>
      </c>
      <c r="C384" s="57" t="s">
        <v>75</v>
      </c>
      <c r="D384" s="58">
        <v>1</v>
      </c>
    </row>
    <row r="385" spans="1:4" x14ac:dyDescent="0.2">
      <c r="A385" s="55">
        <v>228</v>
      </c>
      <c r="B385" s="56">
        <v>1361</v>
      </c>
      <c r="C385" s="57" t="s">
        <v>86</v>
      </c>
      <c r="D385" s="58" t="s">
        <v>37</v>
      </c>
    </row>
    <row r="386" spans="1:4" x14ac:dyDescent="0.2">
      <c r="A386" s="55">
        <v>228</v>
      </c>
      <c r="B386" s="56">
        <v>1399</v>
      </c>
      <c r="C386" s="57" t="s">
        <v>86</v>
      </c>
      <c r="D386" s="58" t="s">
        <v>37</v>
      </c>
    </row>
    <row r="387" spans="1:4" x14ac:dyDescent="0.2">
      <c r="A387" s="55">
        <v>229</v>
      </c>
      <c r="B387" s="56">
        <v>1362</v>
      </c>
      <c r="C387" s="57" t="s">
        <v>86</v>
      </c>
      <c r="D387" s="58" t="s">
        <v>37</v>
      </c>
    </row>
    <row r="388" spans="1:4" x14ac:dyDescent="0.2">
      <c r="A388" s="55">
        <v>229</v>
      </c>
      <c r="B388" s="56">
        <v>1400</v>
      </c>
      <c r="C388" s="57" t="s">
        <v>86</v>
      </c>
      <c r="D388" s="58" t="s">
        <v>37</v>
      </c>
    </row>
    <row r="389" spans="1:4" x14ac:dyDescent="0.2">
      <c r="A389" s="55">
        <v>230</v>
      </c>
      <c r="B389" s="56">
        <v>1363</v>
      </c>
      <c r="C389" s="57" t="s">
        <v>75</v>
      </c>
      <c r="D389" s="58" t="s">
        <v>37</v>
      </c>
    </row>
    <row r="390" spans="1:4" x14ac:dyDescent="0.2">
      <c r="A390" s="55">
        <v>230</v>
      </c>
      <c r="B390" s="56">
        <v>1401</v>
      </c>
      <c r="C390" s="57" t="s">
        <v>75</v>
      </c>
      <c r="D390" s="58" t="s">
        <v>37</v>
      </c>
    </row>
    <row r="391" spans="1:4" x14ac:dyDescent="0.2">
      <c r="A391" s="55">
        <v>231</v>
      </c>
      <c r="B391" s="56">
        <v>1371</v>
      </c>
      <c r="C391" s="57" t="s">
        <v>63</v>
      </c>
      <c r="D391" s="58">
        <v>2</v>
      </c>
    </row>
    <row r="392" spans="1:4" x14ac:dyDescent="0.2">
      <c r="A392" s="55">
        <v>231</v>
      </c>
      <c r="B392" s="56">
        <v>1372</v>
      </c>
      <c r="C392" s="57" t="s">
        <v>63</v>
      </c>
      <c r="D392" s="58">
        <v>1</v>
      </c>
    </row>
    <row r="393" spans="1:4" x14ac:dyDescent="0.2">
      <c r="A393" s="55">
        <v>233</v>
      </c>
      <c r="B393" s="56">
        <v>1375</v>
      </c>
      <c r="C393" s="57" t="s">
        <v>63</v>
      </c>
      <c r="D393" s="58">
        <v>2</v>
      </c>
    </row>
    <row r="394" spans="1:4" x14ac:dyDescent="0.2">
      <c r="A394" s="55">
        <v>233</v>
      </c>
      <c r="B394" s="56">
        <v>1376</v>
      </c>
      <c r="C394" s="57" t="s">
        <v>63</v>
      </c>
      <c r="D394" s="58">
        <v>1</v>
      </c>
    </row>
    <row r="395" spans="1:4" x14ac:dyDescent="0.2">
      <c r="A395" s="55">
        <v>234</v>
      </c>
      <c r="B395" s="56">
        <v>1377</v>
      </c>
      <c r="C395" s="57" t="s">
        <v>63</v>
      </c>
      <c r="D395" s="58">
        <v>2</v>
      </c>
    </row>
    <row r="396" spans="1:4" x14ac:dyDescent="0.2">
      <c r="A396" s="55">
        <v>234</v>
      </c>
      <c r="B396" s="56">
        <v>1378</v>
      </c>
      <c r="C396" s="57" t="s">
        <v>63</v>
      </c>
      <c r="D396" s="58">
        <v>1</v>
      </c>
    </row>
    <row r="397" spans="1:4" x14ac:dyDescent="0.2">
      <c r="A397" s="55">
        <v>235</v>
      </c>
      <c r="B397" s="56">
        <v>1379</v>
      </c>
      <c r="C397" s="57" t="s">
        <v>63</v>
      </c>
      <c r="D397" s="58">
        <v>2</v>
      </c>
    </row>
    <row r="398" spans="1:4" x14ac:dyDescent="0.2">
      <c r="A398" s="55">
        <v>235</v>
      </c>
      <c r="B398" s="56">
        <v>1380</v>
      </c>
      <c r="C398" s="57" t="s">
        <v>63</v>
      </c>
      <c r="D398" s="58">
        <v>1</v>
      </c>
    </row>
    <row r="399" spans="1:4" x14ac:dyDescent="0.2">
      <c r="A399" s="55">
        <v>236</v>
      </c>
      <c r="B399" s="56">
        <v>1381</v>
      </c>
      <c r="C399" s="57" t="s">
        <v>63</v>
      </c>
      <c r="D399" s="58">
        <v>2</v>
      </c>
    </row>
    <row r="400" spans="1:4" x14ac:dyDescent="0.2">
      <c r="A400" s="55">
        <v>236</v>
      </c>
      <c r="B400" s="56">
        <v>1382</v>
      </c>
      <c r="C400" s="57" t="s">
        <v>63</v>
      </c>
      <c r="D400" s="58">
        <v>1</v>
      </c>
    </row>
    <row r="401" spans="1:4" x14ac:dyDescent="0.2">
      <c r="A401" s="55">
        <v>237</v>
      </c>
      <c r="B401" s="56">
        <v>1383</v>
      </c>
      <c r="C401" s="57" t="s">
        <v>63</v>
      </c>
      <c r="D401" s="58">
        <v>2</v>
      </c>
    </row>
    <row r="402" spans="1:4" x14ac:dyDescent="0.2">
      <c r="A402" s="55">
        <v>237</v>
      </c>
      <c r="B402" s="56">
        <v>1384</v>
      </c>
      <c r="C402" s="57" t="s">
        <v>63</v>
      </c>
      <c r="D402" s="58">
        <v>1</v>
      </c>
    </row>
    <row r="403" spans="1:4" x14ac:dyDescent="0.2">
      <c r="A403" s="55">
        <v>238</v>
      </c>
      <c r="B403" s="56">
        <v>1385</v>
      </c>
      <c r="C403" s="57" t="s">
        <v>75</v>
      </c>
      <c r="D403" s="58">
        <v>2</v>
      </c>
    </row>
    <row r="404" spans="1:4" x14ac:dyDescent="0.2">
      <c r="A404" s="55">
        <v>238</v>
      </c>
      <c r="B404" s="56">
        <v>1386</v>
      </c>
      <c r="C404" s="57" t="s">
        <v>75</v>
      </c>
      <c r="D404" s="58">
        <v>1</v>
      </c>
    </row>
    <row r="405" spans="1:4" x14ac:dyDescent="0.2">
      <c r="A405" s="55">
        <v>241</v>
      </c>
      <c r="B405" s="56">
        <v>1042</v>
      </c>
      <c r="C405" s="57" t="s">
        <v>87</v>
      </c>
      <c r="D405" s="58">
        <v>2</v>
      </c>
    </row>
    <row r="406" spans="1:4" x14ac:dyDescent="0.2">
      <c r="A406" s="55">
        <v>241</v>
      </c>
      <c r="B406" s="56">
        <v>1043</v>
      </c>
      <c r="C406" s="57" t="s">
        <v>87</v>
      </c>
      <c r="D406" s="58">
        <v>1</v>
      </c>
    </row>
    <row r="407" spans="1:4" x14ac:dyDescent="0.2">
      <c r="A407" s="55">
        <v>242</v>
      </c>
      <c r="B407" s="56">
        <v>44</v>
      </c>
      <c r="C407" s="57" t="s">
        <v>88</v>
      </c>
      <c r="D407" s="58">
        <v>1</v>
      </c>
    </row>
    <row r="408" spans="1:4" x14ac:dyDescent="0.2">
      <c r="A408" s="55">
        <v>242</v>
      </c>
      <c r="B408" s="56">
        <v>208</v>
      </c>
      <c r="C408" s="57" t="s">
        <v>88</v>
      </c>
      <c r="D408" s="58">
        <v>2</v>
      </c>
    </row>
    <row r="409" spans="1:4" x14ac:dyDescent="0.2">
      <c r="A409" s="55">
        <v>243</v>
      </c>
      <c r="B409" s="56">
        <v>21</v>
      </c>
      <c r="C409" s="57" t="s">
        <v>89</v>
      </c>
      <c r="D409" s="58">
        <v>1</v>
      </c>
    </row>
    <row r="410" spans="1:4" x14ac:dyDescent="0.2">
      <c r="A410" s="55">
        <v>243</v>
      </c>
      <c r="B410" s="56">
        <v>231</v>
      </c>
      <c r="C410" s="57" t="s">
        <v>89</v>
      </c>
      <c r="D410" s="58" t="s">
        <v>279</v>
      </c>
    </row>
    <row r="411" spans="1:4" x14ac:dyDescent="0.2">
      <c r="A411" s="55">
        <v>244</v>
      </c>
      <c r="B411" s="56">
        <v>40</v>
      </c>
      <c r="C411" s="57" t="s">
        <v>75</v>
      </c>
      <c r="D411" s="58">
        <v>1</v>
      </c>
    </row>
    <row r="412" spans="1:4" x14ac:dyDescent="0.2">
      <c r="A412" s="55">
        <v>244</v>
      </c>
      <c r="B412" s="56">
        <v>206</v>
      </c>
      <c r="C412" s="57" t="s">
        <v>75</v>
      </c>
      <c r="D412" s="58">
        <v>2</v>
      </c>
    </row>
    <row r="413" spans="1:4" x14ac:dyDescent="0.2">
      <c r="A413" s="55">
        <v>245</v>
      </c>
      <c r="B413" s="56">
        <v>1012</v>
      </c>
      <c r="C413" s="57" t="s">
        <v>88</v>
      </c>
      <c r="D413" s="58">
        <v>2</v>
      </c>
    </row>
    <row r="414" spans="1:4" x14ac:dyDescent="0.2">
      <c r="A414" s="55">
        <v>245</v>
      </c>
      <c r="B414" s="56">
        <v>1013</v>
      </c>
      <c r="C414" s="57" t="s">
        <v>88</v>
      </c>
      <c r="D414" s="58">
        <v>1</v>
      </c>
    </row>
    <row r="415" spans="1:4" x14ac:dyDescent="0.2">
      <c r="A415" s="55">
        <v>246</v>
      </c>
      <c r="B415" s="56">
        <v>160</v>
      </c>
      <c r="C415" s="57" t="s">
        <v>90</v>
      </c>
      <c r="D415" s="58">
        <v>2</v>
      </c>
    </row>
    <row r="416" spans="1:4" x14ac:dyDescent="0.2">
      <c r="A416" s="55">
        <v>246</v>
      </c>
      <c r="B416" s="56">
        <v>276</v>
      </c>
      <c r="C416" s="57" t="s">
        <v>90</v>
      </c>
      <c r="D416" s="58">
        <v>1</v>
      </c>
    </row>
    <row r="417" spans="1:4" x14ac:dyDescent="0.2">
      <c r="A417" s="55">
        <v>246</v>
      </c>
      <c r="B417" s="56">
        <v>277</v>
      </c>
      <c r="C417" s="57" t="s">
        <v>90</v>
      </c>
      <c r="D417" s="58">
        <v>1</v>
      </c>
    </row>
    <row r="418" spans="1:4" x14ac:dyDescent="0.2">
      <c r="A418" s="55">
        <v>247</v>
      </c>
      <c r="B418" s="56">
        <v>1288</v>
      </c>
      <c r="C418" s="57" t="s">
        <v>88</v>
      </c>
      <c r="D418" s="58">
        <v>1</v>
      </c>
    </row>
    <row r="419" spans="1:4" x14ac:dyDescent="0.2">
      <c r="A419" s="55">
        <v>247</v>
      </c>
      <c r="B419" s="56">
        <v>1289</v>
      </c>
      <c r="C419" s="57" t="s">
        <v>88</v>
      </c>
      <c r="D419" s="58">
        <v>2</v>
      </c>
    </row>
    <row r="420" spans="1:4" x14ac:dyDescent="0.2">
      <c r="A420" s="55">
        <v>248</v>
      </c>
      <c r="B420" s="56">
        <v>1174</v>
      </c>
      <c r="C420" s="57" t="s">
        <v>75</v>
      </c>
      <c r="D420" s="58">
        <v>1</v>
      </c>
    </row>
    <row r="421" spans="1:4" x14ac:dyDescent="0.2">
      <c r="A421" s="55">
        <v>248</v>
      </c>
      <c r="B421" s="56">
        <v>1175</v>
      </c>
      <c r="C421" s="57" t="s">
        <v>75</v>
      </c>
      <c r="D421" s="58">
        <v>2</v>
      </c>
    </row>
    <row r="422" spans="1:4" x14ac:dyDescent="0.2">
      <c r="A422" s="55">
        <v>249</v>
      </c>
      <c r="B422" s="56">
        <v>1351</v>
      </c>
      <c r="C422" s="57" t="s">
        <v>88</v>
      </c>
      <c r="D422" s="58">
        <v>2</v>
      </c>
    </row>
    <row r="423" spans="1:4" x14ac:dyDescent="0.2">
      <c r="A423" s="55">
        <v>249</v>
      </c>
      <c r="B423" s="56">
        <v>1352</v>
      </c>
      <c r="C423" s="57" t="s">
        <v>88</v>
      </c>
      <c r="D423" s="58">
        <v>1</v>
      </c>
    </row>
    <row r="424" spans="1:4" x14ac:dyDescent="0.2">
      <c r="A424" s="55">
        <v>250</v>
      </c>
      <c r="B424" s="56">
        <v>206</v>
      </c>
      <c r="C424" s="57" t="s">
        <v>91</v>
      </c>
      <c r="D424" s="58" t="s">
        <v>37</v>
      </c>
    </row>
    <row r="425" spans="1:4" x14ac:dyDescent="0.2">
      <c r="A425" s="55">
        <v>251</v>
      </c>
      <c r="B425" s="56">
        <v>210</v>
      </c>
      <c r="C425" s="57" t="s">
        <v>91</v>
      </c>
      <c r="D425" s="58" t="s">
        <v>37</v>
      </c>
    </row>
    <row r="426" spans="1:4" x14ac:dyDescent="0.2">
      <c r="A426" s="55">
        <v>252</v>
      </c>
      <c r="B426" s="56">
        <v>212</v>
      </c>
      <c r="C426" s="57" t="s">
        <v>91</v>
      </c>
      <c r="D426" s="58" t="s">
        <v>37</v>
      </c>
    </row>
    <row r="427" spans="1:4" x14ac:dyDescent="0.2">
      <c r="A427" s="55">
        <v>253</v>
      </c>
      <c r="B427" s="56">
        <v>1290</v>
      </c>
      <c r="C427" s="57" t="s">
        <v>91</v>
      </c>
      <c r="D427" s="58" t="s">
        <v>37</v>
      </c>
    </row>
    <row r="428" spans="1:4" x14ac:dyDescent="0.2">
      <c r="A428" s="55">
        <v>254</v>
      </c>
      <c r="B428" s="56">
        <v>1316</v>
      </c>
      <c r="C428" s="57" t="s">
        <v>92</v>
      </c>
      <c r="D428" s="58">
        <v>2</v>
      </c>
    </row>
    <row r="429" spans="1:4" x14ac:dyDescent="0.2">
      <c r="A429" s="55">
        <v>254</v>
      </c>
      <c r="B429" s="56">
        <v>1317</v>
      </c>
      <c r="C429" s="57" t="s">
        <v>92</v>
      </c>
      <c r="D429" s="58">
        <v>1</v>
      </c>
    </row>
    <row r="430" spans="1:4" x14ac:dyDescent="0.2">
      <c r="A430" s="55">
        <v>255</v>
      </c>
      <c r="B430" s="56">
        <v>1320</v>
      </c>
      <c r="C430" s="57" t="s">
        <v>93</v>
      </c>
      <c r="D430" s="58">
        <v>2</v>
      </c>
    </row>
    <row r="431" spans="1:4" x14ac:dyDescent="0.2">
      <c r="A431" s="55">
        <v>255</v>
      </c>
      <c r="B431" s="56">
        <v>1321</v>
      </c>
      <c r="C431" s="57" t="s">
        <v>93</v>
      </c>
      <c r="D431" s="58">
        <v>1</v>
      </c>
    </row>
    <row r="432" spans="1:4" x14ac:dyDescent="0.2">
      <c r="A432" s="55">
        <v>257</v>
      </c>
      <c r="B432" s="56">
        <v>57</v>
      </c>
      <c r="C432" s="57" t="s">
        <v>94</v>
      </c>
      <c r="D432" s="58">
        <v>1</v>
      </c>
    </row>
    <row r="433" spans="1:4" x14ac:dyDescent="0.2">
      <c r="A433" s="55">
        <v>257</v>
      </c>
      <c r="B433" s="56">
        <v>196</v>
      </c>
      <c r="C433" s="57" t="s">
        <v>94</v>
      </c>
      <c r="D433" s="58">
        <v>2</v>
      </c>
    </row>
    <row r="434" spans="1:4" x14ac:dyDescent="0.2">
      <c r="A434" s="55">
        <v>258</v>
      </c>
      <c r="B434" s="56">
        <v>56</v>
      </c>
      <c r="C434" s="57" t="s">
        <v>95</v>
      </c>
      <c r="D434" s="58">
        <v>1</v>
      </c>
    </row>
    <row r="435" spans="1:4" x14ac:dyDescent="0.2">
      <c r="A435" s="55">
        <v>258</v>
      </c>
      <c r="B435" s="56">
        <v>195</v>
      </c>
      <c r="C435" s="57" t="s">
        <v>95</v>
      </c>
      <c r="D435" s="58">
        <v>2</v>
      </c>
    </row>
    <row r="436" spans="1:4" x14ac:dyDescent="0.2">
      <c r="A436" s="55">
        <v>259</v>
      </c>
      <c r="B436" s="56">
        <v>94</v>
      </c>
      <c r="C436" s="57" t="s">
        <v>96</v>
      </c>
      <c r="D436" s="58">
        <v>1</v>
      </c>
    </row>
    <row r="437" spans="1:4" x14ac:dyDescent="0.2">
      <c r="A437" s="55">
        <v>259</v>
      </c>
      <c r="B437" s="56">
        <v>167</v>
      </c>
      <c r="C437" s="57" t="s">
        <v>96</v>
      </c>
      <c r="D437" s="58">
        <v>2</v>
      </c>
    </row>
    <row r="438" spans="1:4" x14ac:dyDescent="0.2">
      <c r="A438" s="55">
        <v>260</v>
      </c>
      <c r="B438" s="56">
        <v>59</v>
      </c>
      <c r="C438" s="57" t="s">
        <v>95</v>
      </c>
      <c r="D438" s="58" t="s">
        <v>275</v>
      </c>
    </row>
    <row r="439" spans="1:4" x14ac:dyDescent="0.2">
      <c r="A439" s="55">
        <v>260</v>
      </c>
      <c r="B439" s="56">
        <v>191</v>
      </c>
      <c r="C439" s="57" t="s">
        <v>95</v>
      </c>
      <c r="D439" s="58" t="s">
        <v>275</v>
      </c>
    </row>
    <row r="440" spans="1:4" x14ac:dyDescent="0.2">
      <c r="A440" s="55">
        <v>261</v>
      </c>
      <c r="B440" s="56">
        <v>55</v>
      </c>
      <c r="C440" s="57" t="s">
        <v>95</v>
      </c>
      <c r="D440" s="58">
        <v>1</v>
      </c>
    </row>
    <row r="441" spans="1:4" x14ac:dyDescent="0.2">
      <c r="A441" s="55">
        <v>261</v>
      </c>
      <c r="B441" s="56">
        <v>194</v>
      </c>
      <c r="C441" s="57" t="s">
        <v>95</v>
      </c>
      <c r="D441" s="58" t="s">
        <v>278</v>
      </c>
    </row>
    <row r="442" spans="1:4" x14ac:dyDescent="0.2">
      <c r="A442" s="55">
        <v>262</v>
      </c>
      <c r="B442" s="56">
        <v>57</v>
      </c>
      <c r="C442" s="57" t="s">
        <v>95</v>
      </c>
      <c r="D442" s="58">
        <v>1</v>
      </c>
    </row>
    <row r="443" spans="1:4" x14ac:dyDescent="0.2">
      <c r="A443" s="55">
        <v>262</v>
      </c>
      <c r="B443" s="56">
        <v>196</v>
      </c>
      <c r="C443" s="57" t="s">
        <v>95</v>
      </c>
      <c r="D443" s="58" t="s">
        <v>280</v>
      </c>
    </row>
    <row r="444" spans="1:4" x14ac:dyDescent="0.2">
      <c r="A444" s="55">
        <v>263</v>
      </c>
      <c r="B444" s="56">
        <v>1010</v>
      </c>
      <c r="C444" s="57" t="s">
        <v>95</v>
      </c>
      <c r="D444" s="58">
        <v>2</v>
      </c>
    </row>
    <row r="445" spans="1:4" x14ac:dyDescent="0.2">
      <c r="A445" s="55">
        <v>263</v>
      </c>
      <c r="B445" s="56">
        <v>1011</v>
      </c>
      <c r="C445" s="57" t="s">
        <v>95</v>
      </c>
      <c r="D445" s="58">
        <v>1</v>
      </c>
    </row>
    <row r="446" spans="1:4" x14ac:dyDescent="0.2">
      <c r="A446" s="55">
        <v>264</v>
      </c>
      <c r="B446" s="56">
        <v>1069</v>
      </c>
      <c r="C446" s="57" t="s">
        <v>95</v>
      </c>
      <c r="D446" s="58">
        <v>1</v>
      </c>
    </row>
    <row r="447" spans="1:4" x14ac:dyDescent="0.2">
      <c r="A447" s="55">
        <v>264</v>
      </c>
      <c r="B447" s="56">
        <v>1070</v>
      </c>
      <c r="C447" s="57" t="s">
        <v>95</v>
      </c>
      <c r="D447" s="58">
        <v>2</v>
      </c>
    </row>
    <row r="448" spans="1:4" x14ac:dyDescent="0.2">
      <c r="A448" s="55">
        <v>265</v>
      </c>
      <c r="B448" s="56">
        <v>190</v>
      </c>
      <c r="C448" s="57" t="s">
        <v>97</v>
      </c>
      <c r="D448" s="58" t="s">
        <v>277</v>
      </c>
    </row>
    <row r="449" spans="1:4" x14ac:dyDescent="0.2">
      <c r="A449" s="55">
        <v>266</v>
      </c>
      <c r="B449" s="56">
        <v>191</v>
      </c>
      <c r="C449" s="57" t="s">
        <v>97</v>
      </c>
      <c r="D449" s="58" t="s">
        <v>37</v>
      </c>
    </row>
    <row r="450" spans="1:4" x14ac:dyDescent="0.2">
      <c r="A450" s="55">
        <v>267</v>
      </c>
      <c r="B450" s="56">
        <v>192</v>
      </c>
      <c r="C450" s="57" t="s">
        <v>97</v>
      </c>
      <c r="D450" s="58" t="s">
        <v>37</v>
      </c>
    </row>
    <row r="451" spans="1:4" x14ac:dyDescent="0.2">
      <c r="A451" s="55">
        <v>268</v>
      </c>
      <c r="B451" s="56">
        <v>193</v>
      </c>
      <c r="C451" s="57" t="s">
        <v>97</v>
      </c>
      <c r="D451" s="58" t="s">
        <v>277</v>
      </c>
    </row>
    <row r="452" spans="1:4" x14ac:dyDescent="0.2">
      <c r="A452" s="55">
        <v>269</v>
      </c>
      <c r="B452" s="56">
        <v>194</v>
      </c>
      <c r="C452" s="57" t="s">
        <v>97</v>
      </c>
      <c r="D452" s="58" t="s">
        <v>37</v>
      </c>
    </row>
    <row r="453" spans="1:4" x14ac:dyDescent="0.2">
      <c r="A453" s="55">
        <v>270</v>
      </c>
      <c r="B453" s="56">
        <v>196</v>
      </c>
      <c r="C453" s="57" t="s">
        <v>97</v>
      </c>
      <c r="D453" s="58" t="s">
        <v>277</v>
      </c>
    </row>
    <row r="454" spans="1:4" x14ac:dyDescent="0.2">
      <c r="A454" s="55">
        <v>271</v>
      </c>
      <c r="B454" s="56">
        <v>1088</v>
      </c>
      <c r="C454" s="57" t="s">
        <v>97</v>
      </c>
      <c r="D454" s="58" t="s">
        <v>37</v>
      </c>
    </row>
    <row r="455" spans="1:4" x14ac:dyDescent="0.2">
      <c r="A455" s="55">
        <v>272</v>
      </c>
      <c r="B455" s="56">
        <v>1089</v>
      </c>
      <c r="C455" s="57" t="s">
        <v>97</v>
      </c>
      <c r="D455" s="58" t="s">
        <v>37</v>
      </c>
    </row>
    <row r="456" spans="1:4" x14ac:dyDescent="0.2">
      <c r="A456" s="55">
        <v>273</v>
      </c>
      <c r="B456" s="56">
        <v>1090</v>
      </c>
      <c r="C456" s="57" t="s">
        <v>97</v>
      </c>
      <c r="D456" s="58" t="s">
        <v>37</v>
      </c>
    </row>
    <row r="457" spans="1:4" x14ac:dyDescent="0.2">
      <c r="A457" s="55">
        <v>274</v>
      </c>
      <c r="B457" s="56">
        <v>1115</v>
      </c>
      <c r="C457" s="57" t="s">
        <v>97</v>
      </c>
      <c r="D457" s="58" t="s">
        <v>37</v>
      </c>
    </row>
    <row r="458" spans="1:4" x14ac:dyDescent="0.2">
      <c r="A458" s="55">
        <v>276</v>
      </c>
      <c r="B458" s="56">
        <v>1347</v>
      </c>
      <c r="C458" s="57" t="s">
        <v>97</v>
      </c>
      <c r="D458" s="58" t="s">
        <v>37</v>
      </c>
    </row>
    <row r="459" spans="1:4" x14ac:dyDescent="0.2">
      <c r="A459" s="55">
        <v>277</v>
      </c>
      <c r="B459" s="56">
        <v>52</v>
      </c>
      <c r="C459" s="57" t="s">
        <v>98</v>
      </c>
      <c r="D459" s="58" t="s">
        <v>37</v>
      </c>
    </row>
    <row r="460" spans="1:4" x14ac:dyDescent="0.2">
      <c r="A460" s="55">
        <v>278</v>
      </c>
      <c r="B460" s="56">
        <v>105</v>
      </c>
      <c r="C460" s="57" t="s">
        <v>99</v>
      </c>
      <c r="D460" s="58" t="s">
        <v>37</v>
      </c>
    </row>
    <row r="461" spans="1:4" x14ac:dyDescent="0.2">
      <c r="A461" s="55">
        <v>279</v>
      </c>
      <c r="B461" s="56">
        <v>16</v>
      </c>
      <c r="C461" s="57" t="s">
        <v>100</v>
      </c>
      <c r="D461" s="58" t="s">
        <v>37</v>
      </c>
    </row>
    <row r="462" spans="1:4" x14ac:dyDescent="0.2">
      <c r="A462" s="55">
        <v>280</v>
      </c>
      <c r="B462" s="56">
        <v>170</v>
      </c>
      <c r="C462" s="57" t="s">
        <v>101</v>
      </c>
      <c r="D462" s="58" t="s">
        <v>275</v>
      </c>
    </row>
    <row r="463" spans="1:4" x14ac:dyDescent="0.2">
      <c r="A463" s="55">
        <v>281</v>
      </c>
      <c r="B463" s="56">
        <v>11</v>
      </c>
      <c r="C463" s="57" t="s">
        <v>102</v>
      </c>
      <c r="D463" s="58">
        <v>2</v>
      </c>
    </row>
    <row r="464" spans="1:4" x14ac:dyDescent="0.2">
      <c r="A464" s="55">
        <v>281</v>
      </c>
      <c r="B464" s="56">
        <v>95</v>
      </c>
      <c r="C464" s="57" t="s">
        <v>102</v>
      </c>
      <c r="D464" s="58">
        <v>1</v>
      </c>
    </row>
    <row r="465" spans="1:4" x14ac:dyDescent="0.2">
      <c r="A465" s="55">
        <v>283</v>
      </c>
      <c r="B465" s="56">
        <v>1016</v>
      </c>
      <c r="C465" s="57" t="s">
        <v>103</v>
      </c>
      <c r="D465" s="58">
        <v>1</v>
      </c>
    </row>
    <row r="466" spans="1:4" x14ac:dyDescent="0.2">
      <c r="A466" s="55">
        <v>283</v>
      </c>
      <c r="B466" s="56">
        <v>1017</v>
      </c>
      <c r="C466" s="57" t="s">
        <v>103</v>
      </c>
      <c r="D466" s="58">
        <v>2</v>
      </c>
    </row>
    <row r="467" spans="1:4" x14ac:dyDescent="0.2">
      <c r="A467" s="55">
        <v>284</v>
      </c>
      <c r="B467" s="56">
        <v>177</v>
      </c>
      <c r="C467" s="57" t="s">
        <v>44</v>
      </c>
      <c r="D467" s="58" t="s">
        <v>37</v>
      </c>
    </row>
    <row r="468" spans="1:4" x14ac:dyDescent="0.2">
      <c r="A468" s="55">
        <v>285</v>
      </c>
      <c r="B468" s="56">
        <v>178</v>
      </c>
      <c r="C468" s="57" t="s">
        <v>44</v>
      </c>
      <c r="D468" s="58" t="s">
        <v>275</v>
      </c>
    </row>
    <row r="469" spans="1:4" x14ac:dyDescent="0.2">
      <c r="A469" s="55">
        <v>286</v>
      </c>
      <c r="B469" s="56">
        <v>103</v>
      </c>
      <c r="C469" s="57" t="s">
        <v>104</v>
      </c>
      <c r="D469" s="58" t="s">
        <v>37</v>
      </c>
    </row>
    <row r="470" spans="1:4" x14ac:dyDescent="0.2">
      <c r="A470" s="55">
        <v>287</v>
      </c>
      <c r="B470" s="56">
        <v>1364</v>
      </c>
      <c r="C470" s="57" t="s">
        <v>105</v>
      </c>
      <c r="D470" s="58" t="s">
        <v>37</v>
      </c>
    </row>
    <row r="471" spans="1:4" x14ac:dyDescent="0.2">
      <c r="A471" s="55">
        <v>287</v>
      </c>
      <c r="B471" s="56">
        <v>1402</v>
      </c>
      <c r="C471" s="57" t="s">
        <v>105</v>
      </c>
      <c r="D471" s="58" t="s">
        <v>37</v>
      </c>
    </row>
    <row r="472" spans="1:4" x14ac:dyDescent="0.2">
      <c r="A472" s="55">
        <v>288</v>
      </c>
      <c r="B472" s="56">
        <v>1036</v>
      </c>
      <c r="C472" s="57" t="s">
        <v>106</v>
      </c>
      <c r="D472" s="58" t="s">
        <v>37</v>
      </c>
    </row>
    <row r="473" spans="1:4" x14ac:dyDescent="0.2">
      <c r="A473" s="55">
        <v>289</v>
      </c>
      <c r="B473" s="56">
        <v>1041</v>
      </c>
      <c r="C473" s="57" t="s">
        <v>106</v>
      </c>
      <c r="D473" s="58" t="s">
        <v>37</v>
      </c>
    </row>
    <row r="474" spans="1:4" x14ac:dyDescent="0.2">
      <c r="A474" s="55">
        <v>290</v>
      </c>
      <c r="B474" s="56">
        <v>1050</v>
      </c>
      <c r="C474" s="57" t="s">
        <v>106</v>
      </c>
      <c r="D474" s="58" t="s">
        <v>37</v>
      </c>
    </row>
    <row r="475" spans="1:4" x14ac:dyDescent="0.2">
      <c r="A475" s="55">
        <v>291</v>
      </c>
      <c r="B475" s="56">
        <v>1051</v>
      </c>
      <c r="C475" s="57" t="s">
        <v>106</v>
      </c>
      <c r="D475" s="58" t="s">
        <v>37</v>
      </c>
    </row>
    <row r="476" spans="1:4" x14ac:dyDescent="0.2">
      <c r="A476" s="55">
        <v>292</v>
      </c>
      <c r="B476" s="56">
        <v>1052</v>
      </c>
      <c r="C476" s="57" t="s">
        <v>106</v>
      </c>
      <c r="D476" s="58" t="s">
        <v>37</v>
      </c>
    </row>
    <row r="477" spans="1:4" x14ac:dyDescent="0.2">
      <c r="A477" s="55">
        <v>297</v>
      </c>
      <c r="B477" s="56">
        <v>1367</v>
      </c>
      <c r="C477" s="57" t="s">
        <v>106</v>
      </c>
      <c r="D477" s="58" t="s">
        <v>37</v>
      </c>
    </row>
    <row r="478" spans="1:4" x14ac:dyDescent="0.2">
      <c r="A478" s="55">
        <v>298</v>
      </c>
      <c r="B478" s="56">
        <v>1368</v>
      </c>
      <c r="C478" s="57" t="s">
        <v>106</v>
      </c>
      <c r="D478" s="58" t="s">
        <v>37</v>
      </c>
    </row>
    <row r="479" spans="1:4" x14ac:dyDescent="0.2">
      <c r="A479" s="55">
        <v>299</v>
      </c>
      <c r="B479" s="56">
        <v>1053</v>
      </c>
      <c r="C479" s="57" t="s">
        <v>106</v>
      </c>
      <c r="D479" s="58" t="s">
        <v>37</v>
      </c>
    </row>
    <row r="480" spans="1:4" x14ac:dyDescent="0.2">
      <c r="A480" s="55">
        <v>300</v>
      </c>
      <c r="B480" s="56">
        <v>1080</v>
      </c>
      <c r="C480" s="57" t="s">
        <v>107</v>
      </c>
      <c r="D480" s="58">
        <v>1</v>
      </c>
    </row>
    <row r="481" spans="1:4" x14ac:dyDescent="0.2">
      <c r="A481" s="55">
        <v>300</v>
      </c>
      <c r="B481" s="56">
        <v>1081</v>
      </c>
      <c r="C481" s="57" t="s">
        <v>107</v>
      </c>
      <c r="D481" s="58">
        <v>1</v>
      </c>
    </row>
    <row r="482" spans="1:4" x14ac:dyDescent="0.2">
      <c r="A482" s="55">
        <v>301</v>
      </c>
      <c r="B482" s="56">
        <v>1095</v>
      </c>
      <c r="C482" s="57" t="s">
        <v>108</v>
      </c>
      <c r="D482" s="58">
        <v>1</v>
      </c>
    </row>
    <row r="483" spans="1:4" x14ac:dyDescent="0.2">
      <c r="A483" s="55">
        <v>301</v>
      </c>
      <c r="B483" s="56">
        <v>1096</v>
      </c>
      <c r="C483" s="57" t="s">
        <v>108</v>
      </c>
      <c r="D483" s="58">
        <v>1</v>
      </c>
    </row>
    <row r="484" spans="1:4" x14ac:dyDescent="0.2">
      <c r="A484" s="55">
        <v>302</v>
      </c>
      <c r="B484" s="56">
        <v>1101</v>
      </c>
      <c r="C484" s="57" t="s">
        <v>109</v>
      </c>
      <c r="D484" s="58">
        <v>1</v>
      </c>
    </row>
    <row r="485" spans="1:4" x14ac:dyDescent="0.2">
      <c r="A485" s="55">
        <v>302</v>
      </c>
      <c r="B485" s="56">
        <v>1102</v>
      </c>
      <c r="C485" s="57" t="s">
        <v>109</v>
      </c>
      <c r="D485" s="58">
        <v>1</v>
      </c>
    </row>
    <row r="486" spans="1:4" x14ac:dyDescent="0.2">
      <c r="A486" s="55">
        <v>303</v>
      </c>
      <c r="B486" s="56">
        <v>1054</v>
      </c>
      <c r="C486" s="57" t="s">
        <v>106</v>
      </c>
      <c r="D486" s="58" t="s">
        <v>37</v>
      </c>
    </row>
    <row r="487" spans="1:4" x14ac:dyDescent="0.2">
      <c r="A487" s="55">
        <v>304</v>
      </c>
      <c r="B487" s="56">
        <v>1083</v>
      </c>
      <c r="C487" s="57" t="s">
        <v>106</v>
      </c>
      <c r="D487" s="58" t="s">
        <v>37</v>
      </c>
    </row>
    <row r="488" spans="1:4" x14ac:dyDescent="0.2">
      <c r="A488" s="55">
        <v>305</v>
      </c>
      <c r="B488" s="56">
        <v>1084</v>
      </c>
      <c r="C488" s="57" t="s">
        <v>110</v>
      </c>
      <c r="D488" s="58">
        <v>1</v>
      </c>
    </row>
    <row r="489" spans="1:4" x14ac:dyDescent="0.2">
      <c r="A489" s="55">
        <v>305</v>
      </c>
      <c r="B489" s="56">
        <v>1085</v>
      </c>
      <c r="C489" s="57" t="s">
        <v>110</v>
      </c>
      <c r="D489" s="58">
        <v>2</v>
      </c>
    </row>
    <row r="490" spans="1:4" x14ac:dyDescent="0.2">
      <c r="A490" s="55">
        <v>306</v>
      </c>
      <c r="B490" s="56">
        <v>1086</v>
      </c>
      <c r="C490" s="57" t="s">
        <v>110</v>
      </c>
      <c r="D490" s="58">
        <v>1</v>
      </c>
    </row>
    <row r="491" spans="1:4" x14ac:dyDescent="0.2">
      <c r="A491" s="55">
        <v>306</v>
      </c>
      <c r="B491" s="56">
        <v>1087</v>
      </c>
      <c r="C491" s="57" t="s">
        <v>110</v>
      </c>
      <c r="D491" s="58">
        <v>2</v>
      </c>
    </row>
    <row r="492" spans="1:4" x14ac:dyDescent="0.2">
      <c r="A492" s="55">
        <v>307</v>
      </c>
      <c r="B492" s="56">
        <v>1091</v>
      </c>
      <c r="C492" s="57" t="s">
        <v>110</v>
      </c>
      <c r="D492" s="58">
        <v>1</v>
      </c>
    </row>
    <row r="493" spans="1:4" x14ac:dyDescent="0.2">
      <c r="A493" s="55">
        <v>307</v>
      </c>
      <c r="B493" s="56">
        <v>1092</v>
      </c>
      <c r="C493" s="57" t="s">
        <v>110</v>
      </c>
      <c r="D493" s="58">
        <v>2</v>
      </c>
    </row>
    <row r="494" spans="1:4" x14ac:dyDescent="0.2">
      <c r="A494" s="55">
        <v>308</v>
      </c>
      <c r="B494" s="56">
        <v>1093</v>
      </c>
      <c r="C494" s="57" t="s">
        <v>110</v>
      </c>
      <c r="D494" s="58">
        <v>1</v>
      </c>
    </row>
    <row r="495" spans="1:4" x14ac:dyDescent="0.2">
      <c r="A495" s="55">
        <v>308</v>
      </c>
      <c r="B495" s="56">
        <v>1094</v>
      </c>
      <c r="C495" s="57" t="s">
        <v>110</v>
      </c>
      <c r="D495" s="58">
        <v>2</v>
      </c>
    </row>
    <row r="496" spans="1:4" x14ac:dyDescent="0.2">
      <c r="A496" s="55">
        <v>309</v>
      </c>
      <c r="B496" s="56">
        <v>1098</v>
      </c>
      <c r="C496" s="57" t="s">
        <v>111</v>
      </c>
      <c r="D496" s="58">
        <v>1</v>
      </c>
    </row>
    <row r="497" spans="1:4" x14ac:dyDescent="0.2">
      <c r="A497" s="55">
        <v>309</v>
      </c>
      <c r="B497" s="56">
        <v>1099</v>
      </c>
      <c r="C497" s="57" t="s">
        <v>111</v>
      </c>
      <c r="D497" s="58">
        <v>1</v>
      </c>
    </row>
    <row r="498" spans="1:4" x14ac:dyDescent="0.2">
      <c r="A498" s="55">
        <v>310</v>
      </c>
      <c r="B498" s="56">
        <v>1155</v>
      </c>
      <c r="C498" s="57" t="s">
        <v>112</v>
      </c>
      <c r="D498" s="58">
        <v>2</v>
      </c>
    </row>
    <row r="499" spans="1:4" x14ac:dyDescent="0.2">
      <c r="A499" s="55">
        <v>310</v>
      </c>
      <c r="B499" s="56">
        <v>1156</v>
      </c>
      <c r="C499" s="57" t="s">
        <v>112</v>
      </c>
      <c r="D499" s="58">
        <v>1</v>
      </c>
    </row>
    <row r="500" spans="1:4" x14ac:dyDescent="0.2">
      <c r="A500" s="55">
        <v>312</v>
      </c>
      <c r="B500" s="56">
        <v>1154</v>
      </c>
      <c r="C500" s="57" t="s">
        <v>113</v>
      </c>
      <c r="D500" s="58">
        <v>2</v>
      </c>
    </row>
    <row r="501" spans="1:4" x14ac:dyDescent="0.2">
      <c r="A501" s="55">
        <v>313</v>
      </c>
      <c r="B501" s="56">
        <v>1006</v>
      </c>
      <c r="C501" s="57" t="s">
        <v>114</v>
      </c>
      <c r="D501" s="58" t="s">
        <v>37</v>
      </c>
    </row>
    <row r="502" spans="1:4" x14ac:dyDescent="0.2">
      <c r="A502" s="55">
        <v>314</v>
      </c>
      <c r="B502" s="56">
        <v>104</v>
      </c>
      <c r="C502" s="57" t="s">
        <v>115</v>
      </c>
      <c r="D502" s="58" t="s">
        <v>275</v>
      </c>
    </row>
    <row r="503" spans="1:4" x14ac:dyDescent="0.2">
      <c r="A503" s="55">
        <v>315</v>
      </c>
      <c r="B503" s="56">
        <v>178</v>
      </c>
      <c r="C503" s="57" t="s">
        <v>116</v>
      </c>
      <c r="D503" s="58" t="s">
        <v>275</v>
      </c>
    </row>
    <row r="504" spans="1:4" x14ac:dyDescent="0.2">
      <c r="A504" s="55">
        <v>315</v>
      </c>
      <c r="B504" s="56">
        <v>227</v>
      </c>
      <c r="C504" s="57" t="s">
        <v>116</v>
      </c>
      <c r="D504" s="58" t="s">
        <v>275</v>
      </c>
    </row>
    <row r="505" spans="1:4" x14ac:dyDescent="0.2">
      <c r="A505" s="55">
        <v>316</v>
      </c>
      <c r="B505" s="56">
        <v>53</v>
      </c>
      <c r="C505" s="57" t="s">
        <v>117</v>
      </c>
      <c r="D505" s="58">
        <v>2</v>
      </c>
    </row>
    <row r="506" spans="1:4" x14ac:dyDescent="0.2">
      <c r="A506" s="55">
        <v>316</v>
      </c>
      <c r="B506" s="56">
        <v>198</v>
      </c>
      <c r="C506" s="57" t="s">
        <v>117</v>
      </c>
      <c r="D506" s="58">
        <v>1</v>
      </c>
    </row>
    <row r="507" spans="1:4" x14ac:dyDescent="0.2">
      <c r="A507" s="55">
        <v>317</v>
      </c>
      <c r="B507" s="56">
        <v>70</v>
      </c>
      <c r="C507" s="57" t="s">
        <v>117</v>
      </c>
      <c r="D507" s="58" t="s">
        <v>280</v>
      </c>
    </row>
    <row r="508" spans="1:4" x14ac:dyDescent="0.2">
      <c r="A508" s="55">
        <v>317</v>
      </c>
      <c r="B508" s="56">
        <v>183</v>
      </c>
      <c r="C508" s="57" t="s">
        <v>117</v>
      </c>
      <c r="D508" s="58" t="s">
        <v>281</v>
      </c>
    </row>
    <row r="509" spans="1:4" x14ac:dyDescent="0.2">
      <c r="A509" s="55">
        <v>318</v>
      </c>
      <c r="B509" s="56">
        <v>74</v>
      </c>
      <c r="C509" s="57" t="s">
        <v>117</v>
      </c>
      <c r="D509" s="58">
        <v>1</v>
      </c>
    </row>
    <row r="510" spans="1:4" x14ac:dyDescent="0.2">
      <c r="A510" s="55">
        <v>318</v>
      </c>
      <c r="B510" s="56">
        <v>180</v>
      </c>
      <c r="C510" s="57" t="s">
        <v>117</v>
      </c>
      <c r="D510" s="58">
        <v>1</v>
      </c>
    </row>
    <row r="511" spans="1:4" x14ac:dyDescent="0.2">
      <c r="A511" s="55">
        <v>319</v>
      </c>
      <c r="B511" s="56">
        <v>71</v>
      </c>
      <c r="C511" s="57" t="s">
        <v>118</v>
      </c>
      <c r="D511" s="58" t="s">
        <v>284</v>
      </c>
    </row>
    <row r="512" spans="1:4" x14ac:dyDescent="0.2">
      <c r="A512" s="55">
        <v>319</v>
      </c>
      <c r="B512" s="56">
        <v>183</v>
      </c>
      <c r="C512" s="57" t="s">
        <v>118</v>
      </c>
      <c r="D512" s="58" t="s">
        <v>282</v>
      </c>
    </row>
    <row r="513" spans="1:4" x14ac:dyDescent="0.2">
      <c r="A513" s="55">
        <v>320</v>
      </c>
      <c r="B513" s="56">
        <v>72</v>
      </c>
      <c r="C513" s="57" t="s">
        <v>117</v>
      </c>
      <c r="D513" s="58">
        <v>2</v>
      </c>
    </row>
    <row r="514" spans="1:4" x14ac:dyDescent="0.2">
      <c r="A514" s="55">
        <v>320</v>
      </c>
      <c r="B514" s="56">
        <v>184</v>
      </c>
      <c r="C514" s="57" t="s">
        <v>117</v>
      </c>
      <c r="D514" s="58">
        <v>1</v>
      </c>
    </row>
    <row r="515" spans="1:4" x14ac:dyDescent="0.2">
      <c r="A515" s="55">
        <v>321</v>
      </c>
      <c r="B515" s="56">
        <v>1004</v>
      </c>
      <c r="C515" s="57" t="s">
        <v>117</v>
      </c>
      <c r="D515" s="58">
        <v>1</v>
      </c>
    </row>
    <row r="516" spans="1:4" x14ac:dyDescent="0.2">
      <c r="A516" s="55">
        <v>321</v>
      </c>
      <c r="B516" s="56">
        <v>1005</v>
      </c>
      <c r="C516" s="57" t="s">
        <v>117</v>
      </c>
      <c r="D516" s="58">
        <v>1</v>
      </c>
    </row>
    <row r="517" spans="1:4" x14ac:dyDescent="0.2">
      <c r="A517" s="55">
        <v>322</v>
      </c>
      <c r="B517" s="56">
        <v>1073</v>
      </c>
      <c r="C517" s="57" t="s">
        <v>117</v>
      </c>
      <c r="D517" s="58">
        <v>1</v>
      </c>
    </row>
    <row r="518" spans="1:4" x14ac:dyDescent="0.2">
      <c r="A518" s="55">
        <v>322</v>
      </c>
      <c r="B518" s="56">
        <v>1074</v>
      </c>
      <c r="C518" s="57" t="s">
        <v>117</v>
      </c>
      <c r="D518" s="58">
        <v>1</v>
      </c>
    </row>
    <row r="519" spans="1:4" x14ac:dyDescent="0.2">
      <c r="A519" s="55">
        <v>323</v>
      </c>
      <c r="B519" s="56">
        <v>1284</v>
      </c>
      <c r="C519" s="57" t="s">
        <v>117</v>
      </c>
      <c r="D519" s="58">
        <v>1</v>
      </c>
    </row>
    <row r="520" spans="1:4" x14ac:dyDescent="0.2">
      <c r="A520" s="55">
        <v>323</v>
      </c>
      <c r="B520" s="56">
        <v>1285</v>
      </c>
      <c r="C520" s="57" t="s">
        <v>117</v>
      </c>
      <c r="D520" s="58" t="s">
        <v>283</v>
      </c>
    </row>
    <row r="521" spans="1:4" x14ac:dyDescent="0.2">
      <c r="A521" s="55">
        <v>324</v>
      </c>
      <c r="B521" s="56">
        <v>1007</v>
      </c>
      <c r="C521" s="57" t="s">
        <v>119</v>
      </c>
      <c r="D521" s="58">
        <v>1</v>
      </c>
    </row>
    <row r="522" spans="1:4" x14ac:dyDescent="0.2">
      <c r="A522" s="55">
        <v>325</v>
      </c>
      <c r="B522" s="56">
        <v>183</v>
      </c>
      <c r="C522" s="57" t="s">
        <v>120</v>
      </c>
      <c r="D522" s="58">
        <v>1</v>
      </c>
    </row>
    <row r="523" spans="1:4" x14ac:dyDescent="0.2">
      <c r="A523" s="55">
        <v>325</v>
      </c>
      <c r="B523" s="56">
        <v>186</v>
      </c>
      <c r="C523" s="57" t="s">
        <v>120</v>
      </c>
      <c r="D523" s="58">
        <v>1</v>
      </c>
    </row>
    <row r="524" spans="1:4" x14ac:dyDescent="0.2">
      <c r="A524" s="55">
        <v>325</v>
      </c>
      <c r="B524" s="56">
        <v>206</v>
      </c>
      <c r="C524" s="57" t="s">
        <v>120</v>
      </c>
      <c r="D524" s="58">
        <v>2</v>
      </c>
    </row>
    <row r="525" spans="1:4" x14ac:dyDescent="0.2">
      <c r="A525" s="55">
        <v>326</v>
      </c>
      <c r="B525" s="56">
        <v>184</v>
      </c>
      <c r="C525" s="57" t="s">
        <v>120</v>
      </c>
      <c r="D525" s="58">
        <v>1</v>
      </c>
    </row>
    <row r="526" spans="1:4" x14ac:dyDescent="0.2">
      <c r="A526" s="55">
        <v>326</v>
      </c>
      <c r="B526" s="56">
        <v>187</v>
      </c>
      <c r="C526" s="57" t="s">
        <v>120</v>
      </c>
      <c r="D526" s="58" t="s">
        <v>280</v>
      </c>
    </row>
    <row r="527" spans="1:4" x14ac:dyDescent="0.2">
      <c r="A527" s="55">
        <v>326</v>
      </c>
      <c r="B527" s="56">
        <v>210</v>
      </c>
      <c r="C527" s="57" t="s">
        <v>120</v>
      </c>
      <c r="D527" s="58" t="s">
        <v>280</v>
      </c>
    </row>
    <row r="528" spans="1:4" x14ac:dyDescent="0.2">
      <c r="A528" s="55">
        <v>327</v>
      </c>
      <c r="B528" s="56">
        <v>135</v>
      </c>
      <c r="C528" s="57" t="s">
        <v>120</v>
      </c>
      <c r="D528" s="58">
        <v>1</v>
      </c>
    </row>
    <row r="529" spans="1:4" x14ac:dyDescent="0.2">
      <c r="A529" s="55">
        <v>327</v>
      </c>
      <c r="B529" s="56">
        <v>198</v>
      </c>
      <c r="C529" s="57" t="s">
        <v>120</v>
      </c>
      <c r="D529" s="58">
        <v>1</v>
      </c>
    </row>
    <row r="530" spans="1:4" x14ac:dyDescent="0.2">
      <c r="A530" s="55">
        <v>327</v>
      </c>
      <c r="B530" s="56">
        <v>222</v>
      </c>
      <c r="C530" s="57" t="s">
        <v>120</v>
      </c>
      <c r="D530" s="58">
        <v>2</v>
      </c>
    </row>
    <row r="531" spans="1:4" x14ac:dyDescent="0.2">
      <c r="A531" s="55">
        <v>328</v>
      </c>
      <c r="B531" s="56">
        <v>1022</v>
      </c>
      <c r="C531" s="57" t="s">
        <v>120</v>
      </c>
      <c r="D531" s="58">
        <v>1</v>
      </c>
    </row>
    <row r="532" spans="1:4" x14ac:dyDescent="0.2">
      <c r="A532" s="55">
        <v>328</v>
      </c>
      <c r="B532" s="56">
        <v>1023</v>
      </c>
      <c r="C532" s="57" t="s">
        <v>120</v>
      </c>
      <c r="D532" s="58">
        <v>2</v>
      </c>
    </row>
    <row r="533" spans="1:4" x14ac:dyDescent="0.2">
      <c r="A533" s="55">
        <v>328</v>
      </c>
      <c r="B533" s="56">
        <v>1024</v>
      </c>
      <c r="C533" s="57" t="s">
        <v>120</v>
      </c>
      <c r="D533" s="58">
        <v>1</v>
      </c>
    </row>
    <row r="534" spans="1:4" x14ac:dyDescent="0.2">
      <c r="A534" s="55">
        <v>329</v>
      </c>
      <c r="B534" s="56">
        <v>1027</v>
      </c>
      <c r="C534" s="57" t="s">
        <v>120</v>
      </c>
      <c r="D534" s="58">
        <v>1</v>
      </c>
    </row>
    <row r="535" spans="1:4" x14ac:dyDescent="0.2">
      <c r="A535" s="55">
        <v>329</v>
      </c>
      <c r="B535" s="56">
        <v>1028</v>
      </c>
      <c r="C535" s="57" t="s">
        <v>120</v>
      </c>
      <c r="D535" s="58">
        <v>2</v>
      </c>
    </row>
    <row r="536" spans="1:4" x14ac:dyDescent="0.2">
      <c r="A536" s="55">
        <v>329</v>
      </c>
      <c r="B536" s="56">
        <v>1029</v>
      </c>
      <c r="C536" s="57" t="s">
        <v>120</v>
      </c>
      <c r="D536" s="58">
        <v>1</v>
      </c>
    </row>
    <row r="537" spans="1:4" x14ac:dyDescent="0.2">
      <c r="A537" s="55">
        <v>330</v>
      </c>
      <c r="B537" s="56">
        <v>1075</v>
      </c>
      <c r="C537" s="57" t="s">
        <v>120</v>
      </c>
      <c r="D537" s="58">
        <v>2</v>
      </c>
    </row>
    <row r="538" spans="1:4" x14ac:dyDescent="0.2">
      <c r="A538" s="55">
        <v>330</v>
      </c>
      <c r="B538" s="56">
        <v>1076</v>
      </c>
      <c r="C538" s="57" t="s">
        <v>120</v>
      </c>
      <c r="D538" s="58">
        <v>1</v>
      </c>
    </row>
    <row r="539" spans="1:4" x14ac:dyDescent="0.2">
      <c r="A539" s="55">
        <v>330</v>
      </c>
      <c r="B539" s="56">
        <v>1077</v>
      </c>
      <c r="C539" s="57" t="s">
        <v>120</v>
      </c>
      <c r="D539" s="58">
        <v>2</v>
      </c>
    </row>
    <row r="540" spans="1:4" x14ac:dyDescent="0.2">
      <c r="A540" s="55">
        <v>331</v>
      </c>
      <c r="B540" s="56">
        <v>1167</v>
      </c>
      <c r="C540" s="57" t="s">
        <v>120</v>
      </c>
      <c r="D540" s="58">
        <v>1</v>
      </c>
    </row>
    <row r="541" spans="1:4" x14ac:dyDescent="0.2">
      <c r="A541" s="55">
        <v>331</v>
      </c>
      <c r="B541" s="56">
        <v>1168</v>
      </c>
      <c r="C541" s="57" t="s">
        <v>120</v>
      </c>
      <c r="D541" s="58">
        <v>1</v>
      </c>
    </row>
    <row r="542" spans="1:4" x14ac:dyDescent="0.2">
      <c r="A542" s="55">
        <v>331</v>
      </c>
      <c r="B542" s="56">
        <v>1169</v>
      </c>
      <c r="C542" s="57" t="s">
        <v>120</v>
      </c>
      <c r="D542" s="58">
        <v>2</v>
      </c>
    </row>
    <row r="543" spans="1:4" x14ac:dyDescent="0.2">
      <c r="A543" s="55">
        <v>332</v>
      </c>
      <c r="B543" s="56">
        <v>1235</v>
      </c>
      <c r="C543" s="57" t="s">
        <v>120</v>
      </c>
      <c r="D543" s="58" t="s">
        <v>275</v>
      </c>
    </row>
    <row r="544" spans="1:4" x14ac:dyDescent="0.2">
      <c r="A544" s="55">
        <v>332</v>
      </c>
      <c r="B544" s="56">
        <v>1236</v>
      </c>
      <c r="C544" s="57" t="s">
        <v>120</v>
      </c>
      <c r="D544" s="58" t="s">
        <v>275</v>
      </c>
    </row>
    <row r="545" spans="1:4" x14ac:dyDescent="0.2">
      <c r="A545" s="55">
        <v>332</v>
      </c>
      <c r="B545" s="56">
        <v>1237</v>
      </c>
      <c r="C545" s="57" t="s">
        <v>120</v>
      </c>
      <c r="D545" s="58" t="s">
        <v>275</v>
      </c>
    </row>
    <row r="546" spans="1:4" x14ac:dyDescent="0.2">
      <c r="A546" s="55">
        <v>334</v>
      </c>
      <c r="B546" s="56">
        <v>1131</v>
      </c>
      <c r="C546" s="57" t="s">
        <v>121</v>
      </c>
      <c r="D546" s="58">
        <v>1</v>
      </c>
    </row>
    <row r="547" spans="1:4" x14ac:dyDescent="0.2">
      <c r="A547" s="55">
        <v>334</v>
      </c>
      <c r="B547" s="56">
        <v>1132</v>
      </c>
      <c r="C547" s="57" t="s">
        <v>121</v>
      </c>
      <c r="D547" s="58">
        <v>1</v>
      </c>
    </row>
    <row r="548" spans="1:4" x14ac:dyDescent="0.2">
      <c r="A548" s="55">
        <v>334</v>
      </c>
      <c r="B548" s="56">
        <v>1133</v>
      </c>
      <c r="C548" s="57" t="s">
        <v>121</v>
      </c>
      <c r="D548" s="58">
        <v>2</v>
      </c>
    </row>
    <row r="549" spans="1:4" x14ac:dyDescent="0.2">
      <c r="A549" s="55">
        <v>335</v>
      </c>
      <c r="B549" s="56">
        <v>18</v>
      </c>
      <c r="C549" s="57" t="s">
        <v>122</v>
      </c>
      <c r="D549" s="58">
        <v>1</v>
      </c>
    </row>
    <row r="550" spans="1:4" x14ac:dyDescent="0.2">
      <c r="A550" s="55">
        <v>336</v>
      </c>
      <c r="B550" s="56">
        <v>20</v>
      </c>
      <c r="C550" s="57" t="s">
        <v>123</v>
      </c>
      <c r="D550" s="58" t="s">
        <v>37</v>
      </c>
    </row>
    <row r="551" spans="1:4" x14ac:dyDescent="0.2">
      <c r="A551" s="55">
        <v>337</v>
      </c>
      <c r="B551" s="56">
        <v>82</v>
      </c>
      <c r="C551" s="57" t="s">
        <v>123</v>
      </c>
      <c r="D551" s="58" t="s">
        <v>37</v>
      </c>
    </row>
    <row r="552" spans="1:4" x14ac:dyDescent="0.2">
      <c r="A552" s="55">
        <v>338</v>
      </c>
      <c r="B552" s="56">
        <v>1365</v>
      </c>
      <c r="C552" s="57" t="s">
        <v>124</v>
      </c>
      <c r="D552" s="58">
        <v>2</v>
      </c>
    </row>
    <row r="553" spans="1:4" x14ac:dyDescent="0.2">
      <c r="A553" s="55">
        <v>338</v>
      </c>
      <c r="B553" s="56">
        <v>1366</v>
      </c>
      <c r="C553" s="57" t="s">
        <v>124</v>
      </c>
      <c r="D553" s="58">
        <v>1</v>
      </c>
    </row>
    <row r="554" spans="1:4" x14ac:dyDescent="0.2">
      <c r="A554" s="55">
        <v>339</v>
      </c>
      <c r="B554" s="56">
        <v>1025</v>
      </c>
      <c r="C554" s="57" t="s">
        <v>125</v>
      </c>
      <c r="D554" s="58" t="s">
        <v>37</v>
      </c>
    </row>
    <row r="555" spans="1:4" x14ac:dyDescent="0.2">
      <c r="A555" s="55">
        <v>340</v>
      </c>
      <c r="B555" s="56">
        <v>1030</v>
      </c>
      <c r="C555" s="57" t="s">
        <v>125</v>
      </c>
      <c r="D555" s="58" t="s">
        <v>37</v>
      </c>
    </row>
    <row r="556" spans="1:4" x14ac:dyDescent="0.2">
      <c r="A556" s="55">
        <v>341</v>
      </c>
      <c r="B556" s="56">
        <v>1032</v>
      </c>
      <c r="C556" s="57" t="s">
        <v>125</v>
      </c>
      <c r="D556" s="58" t="s">
        <v>37</v>
      </c>
    </row>
    <row r="557" spans="1:4" x14ac:dyDescent="0.2">
      <c r="A557" s="55">
        <v>342</v>
      </c>
      <c r="B557" s="56">
        <v>1123</v>
      </c>
      <c r="C557" s="57" t="s">
        <v>126</v>
      </c>
      <c r="D557" s="58">
        <v>2</v>
      </c>
    </row>
    <row r="558" spans="1:4" x14ac:dyDescent="0.2">
      <c r="A558" s="55">
        <v>343</v>
      </c>
      <c r="B558" s="56">
        <v>1134</v>
      </c>
      <c r="C558" s="57" t="s">
        <v>127</v>
      </c>
      <c r="D558" s="58">
        <v>2</v>
      </c>
    </row>
    <row r="559" spans="1:4" x14ac:dyDescent="0.2">
      <c r="A559" s="55">
        <v>344</v>
      </c>
      <c r="B559" s="56">
        <v>1135</v>
      </c>
      <c r="C559" s="57" t="s">
        <v>128</v>
      </c>
      <c r="D559" s="58">
        <v>1</v>
      </c>
    </row>
    <row r="560" spans="1:4" x14ac:dyDescent="0.2">
      <c r="A560" s="55">
        <v>344</v>
      </c>
      <c r="B560" s="56">
        <v>1136</v>
      </c>
      <c r="C560" s="57" t="s">
        <v>128</v>
      </c>
      <c r="D560" s="58" t="s">
        <v>37</v>
      </c>
    </row>
    <row r="561" spans="1:4" x14ac:dyDescent="0.2">
      <c r="A561" s="55">
        <v>344</v>
      </c>
      <c r="B561" s="56">
        <v>1137</v>
      </c>
      <c r="C561" s="57" t="s">
        <v>128</v>
      </c>
      <c r="D561" s="58">
        <v>2</v>
      </c>
    </row>
    <row r="562" spans="1:4" x14ac:dyDescent="0.2">
      <c r="A562" s="55">
        <v>345</v>
      </c>
      <c r="B562" s="56">
        <v>1138</v>
      </c>
      <c r="C562" s="57" t="s">
        <v>129</v>
      </c>
      <c r="D562" s="58">
        <v>2</v>
      </c>
    </row>
    <row r="563" spans="1:4" x14ac:dyDescent="0.2">
      <c r="A563" s="55">
        <v>346</v>
      </c>
      <c r="B563" s="56">
        <v>1130</v>
      </c>
      <c r="C563" s="57" t="s">
        <v>130</v>
      </c>
      <c r="D563" s="58" t="s">
        <v>277</v>
      </c>
    </row>
    <row r="564" spans="1:4" x14ac:dyDescent="0.2">
      <c r="A564" s="55">
        <v>347</v>
      </c>
      <c r="B564" s="56">
        <v>48</v>
      </c>
      <c r="C564" s="57" t="s">
        <v>131</v>
      </c>
      <c r="D564" s="58" t="s">
        <v>37</v>
      </c>
    </row>
    <row r="565" spans="1:4" x14ac:dyDescent="0.2">
      <c r="A565" s="55">
        <v>348</v>
      </c>
      <c r="B565" s="56">
        <v>49</v>
      </c>
      <c r="C565" s="57" t="s">
        <v>131</v>
      </c>
      <c r="D565" s="58" t="s">
        <v>37</v>
      </c>
    </row>
    <row r="566" spans="1:4" x14ac:dyDescent="0.2">
      <c r="A566" s="55">
        <v>349</v>
      </c>
      <c r="B566" s="56">
        <v>50</v>
      </c>
      <c r="C566" s="57" t="s">
        <v>75</v>
      </c>
      <c r="D566" s="58">
        <v>1</v>
      </c>
    </row>
    <row r="567" spans="1:4" x14ac:dyDescent="0.2">
      <c r="A567" s="55">
        <v>349</v>
      </c>
      <c r="B567" s="56">
        <v>222</v>
      </c>
      <c r="C567" s="57" t="s">
        <v>75</v>
      </c>
      <c r="D567" s="58">
        <v>2</v>
      </c>
    </row>
    <row r="568" spans="1:4" x14ac:dyDescent="0.2">
      <c r="A568" s="55">
        <v>350</v>
      </c>
      <c r="B568" s="56">
        <v>1047</v>
      </c>
      <c r="C568" s="57" t="s">
        <v>132</v>
      </c>
      <c r="D568" s="58" t="s">
        <v>37</v>
      </c>
    </row>
    <row r="569" spans="1:4" x14ac:dyDescent="0.2">
      <c r="A569" s="55">
        <v>351</v>
      </c>
      <c r="B569" s="56">
        <v>1082</v>
      </c>
      <c r="C569" s="57" t="s">
        <v>133</v>
      </c>
      <c r="D569" s="58">
        <v>1</v>
      </c>
    </row>
    <row r="570" spans="1:4" x14ac:dyDescent="0.2">
      <c r="A570" s="55">
        <v>352</v>
      </c>
      <c r="B570" s="56">
        <v>1097</v>
      </c>
      <c r="C570" s="57" t="s">
        <v>134</v>
      </c>
      <c r="D570" s="58">
        <v>1</v>
      </c>
    </row>
    <row r="571" spans="1:4" x14ac:dyDescent="0.2">
      <c r="A571" s="55">
        <v>353</v>
      </c>
      <c r="B571" s="56">
        <v>1103</v>
      </c>
      <c r="C571" s="57" t="s">
        <v>135</v>
      </c>
      <c r="D571" s="58">
        <v>1</v>
      </c>
    </row>
    <row r="572" spans="1:4" x14ac:dyDescent="0.2">
      <c r="A572" s="55">
        <v>354</v>
      </c>
      <c r="B572" s="56">
        <v>64</v>
      </c>
      <c r="C572" s="57" t="s">
        <v>51</v>
      </c>
      <c r="D572" s="58" t="s">
        <v>275</v>
      </c>
    </row>
    <row r="573" spans="1:4" x14ac:dyDescent="0.2">
      <c r="A573" s="55">
        <v>355</v>
      </c>
      <c r="B573" s="56">
        <v>1392</v>
      </c>
      <c r="C573" s="57" t="s">
        <v>136</v>
      </c>
      <c r="D573" s="58">
        <v>1</v>
      </c>
    </row>
    <row r="574" spans="1:4" x14ac:dyDescent="0.2">
      <c r="A574" s="55">
        <v>355</v>
      </c>
      <c r="B574" s="56">
        <v>1393</v>
      </c>
      <c r="C574" s="57" t="s">
        <v>136</v>
      </c>
      <c r="D574" s="58">
        <v>1</v>
      </c>
    </row>
    <row r="575" spans="1:4" x14ac:dyDescent="0.2">
      <c r="A575" s="55">
        <v>357</v>
      </c>
      <c r="B575" s="56">
        <v>1200</v>
      </c>
      <c r="C575" s="57" t="s">
        <v>137</v>
      </c>
      <c r="D575" s="58" t="s">
        <v>275</v>
      </c>
    </row>
    <row r="576" spans="1:4" x14ac:dyDescent="0.2">
      <c r="A576" s="55">
        <v>357</v>
      </c>
      <c r="B576" s="56">
        <v>1201</v>
      </c>
      <c r="C576" s="57" t="s">
        <v>137</v>
      </c>
      <c r="D576" s="58" t="s">
        <v>275</v>
      </c>
    </row>
    <row r="577" spans="1:4" x14ac:dyDescent="0.2">
      <c r="A577" s="55">
        <v>358</v>
      </c>
      <c r="B577" s="56">
        <v>1202</v>
      </c>
      <c r="C577" s="57" t="s">
        <v>137</v>
      </c>
      <c r="D577" s="58" t="s">
        <v>275</v>
      </c>
    </row>
    <row r="578" spans="1:4" x14ac:dyDescent="0.2">
      <c r="A578" s="55">
        <v>358</v>
      </c>
      <c r="B578" s="56">
        <v>1203</v>
      </c>
      <c r="C578" s="57" t="s">
        <v>137</v>
      </c>
      <c r="D578" s="58" t="s">
        <v>275</v>
      </c>
    </row>
    <row r="579" spans="1:4" x14ac:dyDescent="0.2">
      <c r="A579" s="55">
        <v>359</v>
      </c>
      <c r="B579" s="56">
        <v>1204</v>
      </c>
      <c r="C579" s="57" t="s">
        <v>137</v>
      </c>
      <c r="D579" s="58" t="s">
        <v>275</v>
      </c>
    </row>
    <row r="580" spans="1:4" x14ac:dyDescent="0.2">
      <c r="A580" s="55">
        <v>359</v>
      </c>
      <c r="B580" s="56">
        <v>1205</v>
      </c>
      <c r="C580" s="57" t="s">
        <v>137</v>
      </c>
      <c r="D580" s="58" t="s">
        <v>275</v>
      </c>
    </row>
    <row r="581" spans="1:4" x14ac:dyDescent="0.2">
      <c r="A581" s="55">
        <v>360</v>
      </c>
      <c r="B581" s="56">
        <v>1206</v>
      </c>
      <c r="C581" s="57" t="s">
        <v>137</v>
      </c>
      <c r="D581" s="58" t="s">
        <v>275</v>
      </c>
    </row>
    <row r="582" spans="1:4" x14ac:dyDescent="0.2">
      <c r="A582" s="55">
        <v>360</v>
      </c>
      <c r="B582" s="56">
        <v>1207</v>
      </c>
      <c r="C582" s="57" t="s">
        <v>137</v>
      </c>
      <c r="D582" s="58" t="s">
        <v>275</v>
      </c>
    </row>
    <row r="583" spans="1:4" x14ac:dyDescent="0.2">
      <c r="A583" s="55">
        <v>361</v>
      </c>
      <c r="B583" s="56">
        <v>1208</v>
      </c>
      <c r="C583" s="57" t="s">
        <v>137</v>
      </c>
      <c r="D583" s="58" t="s">
        <v>275</v>
      </c>
    </row>
    <row r="584" spans="1:4" x14ac:dyDescent="0.2">
      <c r="A584" s="55">
        <v>361</v>
      </c>
      <c r="B584" s="56">
        <v>1209</v>
      </c>
      <c r="C584" s="57" t="s">
        <v>137</v>
      </c>
      <c r="D584" s="58" t="s">
        <v>275</v>
      </c>
    </row>
    <row r="585" spans="1:4" x14ac:dyDescent="0.2">
      <c r="A585" s="55">
        <v>362</v>
      </c>
      <c r="B585" s="56">
        <v>1210</v>
      </c>
      <c r="C585" s="57" t="s">
        <v>137</v>
      </c>
      <c r="D585" s="58" t="s">
        <v>275</v>
      </c>
    </row>
    <row r="586" spans="1:4" x14ac:dyDescent="0.2">
      <c r="A586" s="55">
        <v>362</v>
      </c>
      <c r="B586" s="56">
        <v>1211</v>
      </c>
      <c r="C586" s="57" t="s">
        <v>137</v>
      </c>
      <c r="D586" s="58" t="s">
        <v>275</v>
      </c>
    </row>
    <row r="587" spans="1:4" x14ac:dyDescent="0.2">
      <c r="A587" s="55">
        <v>363</v>
      </c>
      <c r="B587" s="56">
        <v>1212</v>
      </c>
      <c r="C587" s="57" t="s">
        <v>137</v>
      </c>
      <c r="D587" s="58" t="s">
        <v>275</v>
      </c>
    </row>
    <row r="588" spans="1:4" x14ac:dyDescent="0.2">
      <c r="A588" s="55">
        <v>363</v>
      </c>
      <c r="B588" s="56">
        <v>1213</v>
      </c>
      <c r="C588" s="57" t="s">
        <v>137</v>
      </c>
      <c r="D588" s="58" t="s">
        <v>275</v>
      </c>
    </row>
    <row r="589" spans="1:4" x14ac:dyDescent="0.2">
      <c r="A589" s="55">
        <v>364</v>
      </c>
      <c r="B589" s="56">
        <v>1214</v>
      </c>
      <c r="C589" s="57" t="s">
        <v>137</v>
      </c>
      <c r="D589" s="58" t="s">
        <v>275</v>
      </c>
    </row>
    <row r="590" spans="1:4" x14ac:dyDescent="0.2">
      <c r="A590" s="55">
        <v>364</v>
      </c>
      <c r="B590" s="56">
        <v>1215</v>
      </c>
      <c r="C590" s="57" t="s">
        <v>137</v>
      </c>
      <c r="D590" s="58" t="s">
        <v>275</v>
      </c>
    </row>
    <row r="591" spans="1:4" x14ac:dyDescent="0.2">
      <c r="A591" s="55">
        <v>365</v>
      </c>
      <c r="B591" s="56">
        <v>1216</v>
      </c>
      <c r="C591" s="57" t="s">
        <v>137</v>
      </c>
      <c r="D591" s="58" t="s">
        <v>275</v>
      </c>
    </row>
    <row r="592" spans="1:4" x14ac:dyDescent="0.2">
      <c r="A592" s="55">
        <v>365</v>
      </c>
      <c r="B592" s="56">
        <v>1217</v>
      </c>
      <c r="C592" s="57" t="s">
        <v>137</v>
      </c>
      <c r="D592" s="58" t="s">
        <v>275</v>
      </c>
    </row>
    <row r="593" spans="1:4" x14ac:dyDescent="0.2">
      <c r="A593" s="55">
        <v>366</v>
      </c>
      <c r="B593" s="56">
        <v>1218</v>
      </c>
      <c r="C593" s="57" t="s">
        <v>137</v>
      </c>
      <c r="D593" s="58" t="s">
        <v>275</v>
      </c>
    </row>
    <row r="594" spans="1:4" x14ac:dyDescent="0.2">
      <c r="A594" s="55">
        <v>366</v>
      </c>
      <c r="B594" s="56">
        <v>1219</v>
      </c>
      <c r="C594" s="57" t="s">
        <v>137</v>
      </c>
      <c r="D594" s="58" t="s">
        <v>275</v>
      </c>
    </row>
    <row r="595" spans="1:4" x14ac:dyDescent="0.2">
      <c r="A595" s="55">
        <v>367</v>
      </c>
      <c r="B595" s="56">
        <v>1220</v>
      </c>
      <c r="C595" s="57" t="s">
        <v>137</v>
      </c>
      <c r="D595" s="58" t="s">
        <v>275</v>
      </c>
    </row>
    <row r="596" spans="1:4" x14ac:dyDescent="0.2">
      <c r="A596" s="55">
        <v>367</v>
      </c>
      <c r="B596" s="56">
        <v>1221</v>
      </c>
      <c r="C596" s="57" t="s">
        <v>137</v>
      </c>
      <c r="D596" s="58" t="s">
        <v>275</v>
      </c>
    </row>
    <row r="597" spans="1:4" x14ac:dyDescent="0.2">
      <c r="A597" s="55">
        <v>368</v>
      </c>
      <c r="B597" s="56">
        <v>1222</v>
      </c>
      <c r="C597" s="57" t="s">
        <v>137</v>
      </c>
      <c r="D597" s="58" t="s">
        <v>275</v>
      </c>
    </row>
    <row r="598" spans="1:4" x14ac:dyDescent="0.2">
      <c r="A598" s="55">
        <v>368</v>
      </c>
      <c r="B598" s="56">
        <v>1223</v>
      </c>
      <c r="C598" s="57" t="s">
        <v>137</v>
      </c>
      <c r="D598" s="58" t="s">
        <v>275</v>
      </c>
    </row>
    <row r="599" spans="1:4" x14ac:dyDescent="0.2">
      <c r="A599" s="55">
        <v>369</v>
      </c>
      <c r="B599" s="56">
        <v>1224</v>
      </c>
      <c r="C599" s="57" t="s">
        <v>137</v>
      </c>
      <c r="D599" s="58" t="s">
        <v>275</v>
      </c>
    </row>
    <row r="600" spans="1:4" x14ac:dyDescent="0.2">
      <c r="A600" s="55">
        <v>369</v>
      </c>
      <c r="B600" s="56">
        <v>1225</v>
      </c>
      <c r="C600" s="57" t="s">
        <v>137</v>
      </c>
      <c r="D600" s="58" t="s">
        <v>275</v>
      </c>
    </row>
    <row r="601" spans="1:4" x14ac:dyDescent="0.2">
      <c r="A601" s="55">
        <v>370</v>
      </c>
      <c r="B601" s="56">
        <v>1226</v>
      </c>
      <c r="C601" s="57" t="s">
        <v>137</v>
      </c>
      <c r="D601" s="58" t="s">
        <v>275</v>
      </c>
    </row>
    <row r="602" spans="1:4" x14ac:dyDescent="0.2">
      <c r="A602" s="55">
        <v>370</v>
      </c>
      <c r="B602" s="56">
        <v>1227</v>
      </c>
      <c r="C602" s="57" t="s">
        <v>137</v>
      </c>
      <c r="D602" s="58" t="s">
        <v>275</v>
      </c>
    </row>
    <row r="603" spans="1:4" x14ac:dyDescent="0.2">
      <c r="A603" s="55">
        <v>371</v>
      </c>
      <c r="B603" s="56">
        <v>1228</v>
      </c>
      <c r="C603" s="57" t="s">
        <v>137</v>
      </c>
      <c r="D603" s="58" t="s">
        <v>275</v>
      </c>
    </row>
    <row r="604" spans="1:4" x14ac:dyDescent="0.2">
      <c r="A604" s="55">
        <v>371</v>
      </c>
      <c r="B604" s="56">
        <v>1229</v>
      </c>
      <c r="C604" s="57" t="s">
        <v>137</v>
      </c>
      <c r="D604" s="58" t="s">
        <v>275</v>
      </c>
    </row>
    <row r="605" spans="1:4" x14ac:dyDescent="0.2">
      <c r="A605" s="55">
        <v>372</v>
      </c>
      <c r="B605" s="56">
        <v>1180</v>
      </c>
      <c r="C605" s="57" t="s">
        <v>117</v>
      </c>
      <c r="D605" s="58">
        <v>1</v>
      </c>
    </row>
    <row r="606" spans="1:4" x14ac:dyDescent="0.2">
      <c r="A606" s="55">
        <v>372</v>
      </c>
      <c r="B606" s="56">
        <v>1181</v>
      </c>
      <c r="C606" s="57" t="s">
        <v>117</v>
      </c>
      <c r="D606" s="58">
        <v>1</v>
      </c>
    </row>
    <row r="607" spans="1:4" x14ac:dyDescent="0.2">
      <c r="A607" s="55">
        <v>373</v>
      </c>
      <c r="B607" s="56">
        <v>31</v>
      </c>
      <c r="C607" s="57" t="s">
        <v>63</v>
      </c>
      <c r="D607" s="58">
        <v>1</v>
      </c>
    </row>
    <row r="608" spans="1:4" x14ac:dyDescent="0.2">
      <c r="A608" s="55">
        <v>373</v>
      </c>
      <c r="B608" s="56">
        <v>213</v>
      </c>
      <c r="C608" s="57" t="s">
        <v>63</v>
      </c>
      <c r="D608" s="58">
        <v>2</v>
      </c>
    </row>
    <row r="609" spans="1:4" x14ac:dyDescent="0.2">
      <c r="A609" s="55">
        <v>374</v>
      </c>
      <c r="B609" s="56">
        <v>30</v>
      </c>
      <c r="C609" s="57" t="s">
        <v>63</v>
      </c>
      <c r="D609" s="58">
        <v>1</v>
      </c>
    </row>
    <row r="610" spans="1:4" x14ac:dyDescent="0.2">
      <c r="A610" s="55">
        <v>374</v>
      </c>
      <c r="B610" s="56">
        <v>214</v>
      </c>
      <c r="C610" s="57" t="s">
        <v>63</v>
      </c>
      <c r="D610" s="58">
        <v>2</v>
      </c>
    </row>
    <row r="611" spans="1:4" x14ac:dyDescent="0.2">
      <c r="A611" s="55">
        <v>375</v>
      </c>
      <c r="B611" s="56">
        <v>32</v>
      </c>
      <c r="C611" s="57" t="s">
        <v>63</v>
      </c>
      <c r="D611" s="58">
        <v>1</v>
      </c>
    </row>
    <row r="612" spans="1:4" x14ac:dyDescent="0.2">
      <c r="A612" s="55">
        <v>375</v>
      </c>
      <c r="B612" s="56">
        <v>215</v>
      </c>
      <c r="C612" s="57" t="s">
        <v>63</v>
      </c>
      <c r="D612" s="58">
        <v>2</v>
      </c>
    </row>
    <row r="613" spans="1:4" x14ac:dyDescent="0.2">
      <c r="A613" s="55">
        <v>376</v>
      </c>
      <c r="B613" s="56">
        <v>34</v>
      </c>
      <c r="C613" s="57" t="s">
        <v>63</v>
      </c>
      <c r="D613" s="58">
        <v>1</v>
      </c>
    </row>
    <row r="614" spans="1:4" x14ac:dyDescent="0.2">
      <c r="A614" s="55">
        <v>376</v>
      </c>
      <c r="B614" s="56">
        <v>216</v>
      </c>
      <c r="C614" s="57" t="s">
        <v>63</v>
      </c>
      <c r="D614" s="58">
        <v>2</v>
      </c>
    </row>
    <row r="615" spans="1:4" x14ac:dyDescent="0.2">
      <c r="A615" s="55">
        <v>377</v>
      </c>
      <c r="B615" s="56">
        <v>35</v>
      </c>
      <c r="C615" s="57" t="s">
        <v>63</v>
      </c>
      <c r="D615" s="58">
        <v>1</v>
      </c>
    </row>
    <row r="616" spans="1:4" x14ac:dyDescent="0.2">
      <c r="A616" s="55">
        <v>377</v>
      </c>
      <c r="B616" s="56">
        <v>217</v>
      </c>
      <c r="C616" s="57" t="s">
        <v>63</v>
      </c>
      <c r="D616" s="58">
        <v>2</v>
      </c>
    </row>
    <row r="617" spans="1:4" x14ac:dyDescent="0.2">
      <c r="A617" s="55">
        <v>378</v>
      </c>
      <c r="B617" s="56">
        <v>36</v>
      </c>
      <c r="C617" s="57" t="s">
        <v>63</v>
      </c>
      <c r="D617" s="58">
        <v>1</v>
      </c>
    </row>
    <row r="618" spans="1:4" x14ac:dyDescent="0.2">
      <c r="A618" s="55">
        <v>378</v>
      </c>
      <c r="B618" s="56">
        <v>218</v>
      </c>
      <c r="C618" s="57" t="s">
        <v>63</v>
      </c>
      <c r="D618" s="58">
        <v>2</v>
      </c>
    </row>
    <row r="619" spans="1:4" x14ac:dyDescent="0.2">
      <c r="A619" s="55">
        <v>380</v>
      </c>
      <c r="B619" s="56">
        <v>37</v>
      </c>
      <c r="C619" s="57" t="s">
        <v>63</v>
      </c>
      <c r="D619" s="58">
        <v>1</v>
      </c>
    </row>
    <row r="620" spans="1:4" x14ac:dyDescent="0.2">
      <c r="A620" s="55">
        <v>380</v>
      </c>
      <c r="B620" s="56">
        <v>220</v>
      </c>
      <c r="C620" s="57" t="s">
        <v>63</v>
      </c>
      <c r="D620" s="58">
        <v>2</v>
      </c>
    </row>
    <row r="621" spans="1:4" x14ac:dyDescent="0.2">
      <c r="A621" s="55">
        <v>381</v>
      </c>
      <c r="B621" s="56">
        <v>1170</v>
      </c>
      <c r="C621" s="57" t="s">
        <v>63</v>
      </c>
      <c r="D621" s="58">
        <v>2</v>
      </c>
    </row>
    <row r="622" spans="1:4" x14ac:dyDescent="0.2">
      <c r="A622" s="55">
        <v>381</v>
      </c>
      <c r="B622" s="56">
        <v>1171</v>
      </c>
      <c r="C622" s="57" t="s">
        <v>63</v>
      </c>
      <c r="D622" s="58">
        <v>1</v>
      </c>
    </row>
    <row r="623" spans="1:4" x14ac:dyDescent="0.2">
      <c r="A623" s="55">
        <v>382</v>
      </c>
      <c r="B623" s="56">
        <v>1172</v>
      </c>
      <c r="C623" s="57" t="s">
        <v>63</v>
      </c>
      <c r="D623" s="58">
        <v>2</v>
      </c>
    </row>
    <row r="624" spans="1:4" x14ac:dyDescent="0.2">
      <c r="A624" s="55">
        <v>382</v>
      </c>
      <c r="B624" s="56">
        <v>1173</v>
      </c>
      <c r="C624" s="57" t="s">
        <v>63</v>
      </c>
      <c r="D624" s="58">
        <v>1</v>
      </c>
    </row>
    <row r="625" spans="1:4" x14ac:dyDescent="0.2">
      <c r="A625" s="55">
        <v>384</v>
      </c>
      <c r="B625" s="56">
        <v>1185</v>
      </c>
      <c r="C625" s="57" t="s">
        <v>75</v>
      </c>
      <c r="D625" s="58">
        <v>1</v>
      </c>
    </row>
    <row r="626" spans="1:4" x14ac:dyDescent="0.2">
      <c r="A626" s="55">
        <v>384</v>
      </c>
      <c r="B626" s="56">
        <v>1186</v>
      </c>
      <c r="C626" s="57" t="s">
        <v>75</v>
      </c>
      <c r="D626" s="58">
        <v>2</v>
      </c>
    </row>
    <row r="627" spans="1:4" x14ac:dyDescent="0.2">
      <c r="A627" s="55">
        <v>385</v>
      </c>
      <c r="B627" s="56">
        <v>1260</v>
      </c>
      <c r="C627" s="57" t="s">
        <v>63</v>
      </c>
      <c r="D627" s="58" t="s">
        <v>275</v>
      </c>
    </row>
    <row r="628" spans="1:4" x14ac:dyDescent="0.2">
      <c r="A628" s="55">
        <v>385</v>
      </c>
      <c r="B628" s="56">
        <v>1261</v>
      </c>
      <c r="C628" s="57" t="s">
        <v>63</v>
      </c>
      <c r="D628" s="58" t="s">
        <v>275</v>
      </c>
    </row>
    <row r="629" spans="1:4" x14ac:dyDescent="0.2">
      <c r="A629" s="55">
        <v>386</v>
      </c>
      <c r="B629" s="56">
        <v>1184</v>
      </c>
      <c r="C629" s="57" t="s">
        <v>44</v>
      </c>
      <c r="D629" s="58" t="s">
        <v>37</v>
      </c>
    </row>
    <row r="630" spans="1:4" x14ac:dyDescent="0.2">
      <c r="A630" s="55">
        <v>387</v>
      </c>
      <c r="B630" s="56">
        <v>1183</v>
      </c>
      <c r="C630" s="57" t="s">
        <v>68</v>
      </c>
      <c r="D630" s="58" t="s">
        <v>37</v>
      </c>
    </row>
    <row r="631" spans="1:4" x14ac:dyDescent="0.2">
      <c r="A631" s="55">
        <v>388</v>
      </c>
      <c r="B631" s="56">
        <v>1262</v>
      </c>
      <c r="C631" s="57" t="s">
        <v>63</v>
      </c>
      <c r="D631" s="58" t="s">
        <v>275</v>
      </c>
    </row>
    <row r="632" spans="1:4" x14ac:dyDescent="0.2">
      <c r="A632" s="55">
        <v>388</v>
      </c>
      <c r="B632" s="56">
        <v>1263</v>
      </c>
      <c r="C632" s="57" t="s">
        <v>63</v>
      </c>
      <c r="D632" s="58" t="s">
        <v>275</v>
      </c>
    </row>
    <row r="633" spans="1:4" x14ac:dyDescent="0.2">
      <c r="A633" s="55">
        <v>389</v>
      </c>
      <c r="B633" s="56">
        <v>1182</v>
      </c>
      <c r="C633" s="57" t="s">
        <v>54</v>
      </c>
      <c r="D633" s="58" t="s">
        <v>37</v>
      </c>
    </row>
    <row r="634" spans="1:4" x14ac:dyDescent="0.2">
      <c r="A634" s="55">
        <v>390</v>
      </c>
      <c r="B634" s="56">
        <v>1291</v>
      </c>
      <c r="C634" s="57" t="s">
        <v>63</v>
      </c>
      <c r="D634" s="58">
        <v>2</v>
      </c>
    </row>
    <row r="635" spans="1:4" x14ac:dyDescent="0.2">
      <c r="A635" s="55">
        <v>390</v>
      </c>
      <c r="B635" s="56">
        <v>1292</v>
      </c>
      <c r="C635" s="57" t="s">
        <v>63</v>
      </c>
      <c r="D635" s="58">
        <v>1</v>
      </c>
    </row>
    <row r="636" spans="1:4" x14ac:dyDescent="0.2">
      <c r="A636" s="55">
        <v>391</v>
      </c>
      <c r="B636" s="56">
        <v>29</v>
      </c>
      <c r="C636" s="57" t="s">
        <v>138</v>
      </c>
      <c r="D636" s="58" t="s">
        <v>37</v>
      </c>
    </row>
    <row r="637" spans="1:4" x14ac:dyDescent="0.2">
      <c r="A637" s="55">
        <v>392</v>
      </c>
      <c r="B637" s="56">
        <v>90</v>
      </c>
      <c r="C637" s="57" t="s">
        <v>139</v>
      </c>
      <c r="D637" s="58">
        <v>1</v>
      </c>
    </row>
    <row r="638" spans="1:4" x14ac:dyDescent="0.2">
      <c r="A638" s="55">
        <v>393</v>
      </c>
      <c r="B638" s="56">
        <v>1</v>
      </c>
      <c r="C638" s="57" t="s">
        <v>140</v>
      </c>
      <c r="D638" s="58">
        <v>1</v>
      </c>
    </row>
    <row r="639" spans="1:4" x14ac:dyDescent="0.2">
      <c r="A639" s="55">
        <v>394</v>
      </c>
      <c r="B639" s="56">
        <v>1176</v>
      </c>
      <c r="C639" s="57" t="s">
        <v>96</v>
      </c>
      <c r="D639" s="58">
        <v>1</v>
      </c>
    </row>
    <row r="640" spans="1:4" x14ac:dyDescent="0.2">
      <c r="A640" s="55">
        <v>394</v>
      </c>
      <c r="B640" s="56">
        <v>1177</v>
      </c>
      <c r="C640" s="57" t="s">
        <v>96</v>
      </c>
      <c r="D640" s="58">
        <v>2</v>
      </c>
    </row>
    <row r="641" spans="1:4" x14ac:dyDescent="0.2">
      <c r="A641" s="55">
        <v>395</v>
      </c>
      <c r="B641" s="56">
        <v>1044</v>
      </c>
      <c r="C641" s="57" t="s">
        <v>141</v>
      </c>
      <c r="D641" s="58">
        <v>2</v>
      </c>
    </row>
    <row r="642" spans="1:4" x14ac:dyDescent="0.2">
      <c r="A642" s="55">
        <v>395</v>
      </c>
      <c r="B642" s="56">
        <v>1045</v>
      </c>
      <c r="C642" s="57" t="s">
        <v>141</v>
      </c>
      <c r="D642" s="58">
        <v>1</v>
      </c>
    </row>
    <row r="643" spans="1:4" x14ac:dyDescent="0.2">
      <c r="A643" s="55">
        <v>395</v>
      </c>
      <c r="B643" s="56">
        <v>1046</v>
      </c>
      <c r="C643" s="57" t="s">
        <v>141</v>
      </c>
      <c r="D643" s="58">
        <v>1</v>
      </c>
    </row>
    <row r="644" spans="1:4" x14ac:dyDescent="0.2">
      <c r="A644" s="55">
        <v>396</v>
      </c>
      <c r="B644" s="56">
        <v>1323</v>
      </c>
      <c r="C644" s="57" t="s">
        <v>73</v>
      </c>
      <c r="D644" s="58">
        <v>1</v>
      </c>
    </row>
    <row r="645" spans="1:4" x14ac:dyDescent="0.2">
      <c r="A645" s="55">
        <v>397</v>
      </c>
      <c r="B645" s="56">
        <v>1346</v>
      </c>
      <c r="C645" s="57" t="s">
        <v>142</v>
      </c>
      <c r="D645" s="58">
        <v>1</v>
      </c>
    </row>
    <row r="646" spans="1:4" x14ac:dyDescent="0.2">
      <c r="A646" s="55">
        <v>398</v>
      </c>
      <c r="B646" s="56">
        <v>72</v>
      </c>
      <c r="C646" s="57" t="s">
        <v>143</v>
      </c>
      <c r="D646" s="58">
        <v>2</v>
      </c>
    </row>
    <row r="647" spans="1:4" x14ac:dyDescent="0.2">
      <c r="A647" s="55">
        <v>399</v>
      </c>
      <c r="B647" s="56">
        <v>27</v>
      </c>
      <c r="C647" s="57" t="s">
        <v>144</v>
      </c>
      <c r="D647" s="58" t="s">
        <v>283</v>
      </c>
    </row>
    <row r="648" spans="1:4" x14ac:dyDescent="0.2">
      <c r="A648" s="55">
        <v>400</v>
      </c>
      <c r="B648" s="56">
        <v>58</v>
      </c>
      <c r="C648" s="57" t="s">
        <v>95</v>
      </c>
      <c r="D648" s="58">
        <v>1</v>
      </c>
    </row>
    <row r="649" spans="1:4" x14ac:dyDescent="0.2">
      <c r="A649" s="55">
        <v>400</v>
      </c>
      <c r="B649" s="56">
        <v>190</v>
      </c>
      <c r="C649" s="57" t="s">
        <v>95</v>
      </c>
      <c r="D649" s="58" t="s">
        <v>280</v>
      </c>
    </row>
    <row r="650" spans="1:4" x14ac:dyDescent="0.2">
      <c r="A650" s="55">
        <v>401</v>
      </c>
      <c r="B650" s="56">
        <v>1157</v>
      </c>
      <c r="C650" s="57" t="s">
        <v>145</v>
      </c>
      <c r="D650" s="58" t="s">
        <v>37</v>
      </c>
    </row>
    <row r="651" spans="1:4" x14ac:dyDescent="0.2">
      <c r="A651" s="55">
        <v>403</v>
      </c>
      <c r="B651" s="56">
        <v>1178</v>
      </c>
      <c r="C651" s="57" t="s">
        <v>50</v>
      </c>
      <c r="D651" s="58">
        <v>1</v>
      </c>
    </row>
    <row r="652" spans="1:4" x14ac:dyDescent="0.2">
      <c r="A652" s="55">
        <v>403</v>
      </c>
      <c r="B652" s="56">
        <v>1179</v>
      </c>
      <c r="C652" s="57" t="s">
        <v>50</v>
      </c>
      <c r="D652" s="58">
        <v>2</v>
      </c>
    </row>
    <row r="653" spans="1:4" x14ac:dyDescent="0.2">
      <c r="A653" s="55">
        <v>404</v>
      </c>
      <c r="B653" s="56">
        <v>1161</v>
      </c>
      <c r="C653" s="57" t="s">
        <v>146</v>
      </c>
      <c r="D653" s="58">
        <v>2</v>
      </c>
    </row>
    <row r="654" spans="1:4" x14ac:dyDescent="0.2">
      <c r="A654" s="55">
        <v>404</v>
      </c>
      <c r="B654" s="56">
        <v>1162</v>
      </c>
      <c r="C654" s="57" t="s">
        <v>146</v>
      </c>
      <c r="D654" s="58">
        <v>1</v>
      </c>
    </row>
    <row r="655" spans="1:4" x14ac:dyDescent="0.2">
      <c r="A655" s="55">
        <v>405</v>
      </c>
      <c r="B655" s="56">
        <v>1163</v>
      </c>
      <c r="C655" s="57" t="s">
        <v>147</v>
      </c>
      <c r="D655" s="58" t="s">
        <v>37</v>
      </c>
    </row>
    <row r="656" spans="1:4" x14ac:dyDescent="0.2">
      <c r="A656" s="55">
        <v>406</v>
      </c>
      <c r="B656" s="56">
        <v>77</v>
      </c>
      <c r="C656" s="57" t="s">
        <v>148</v>
      </c>
      <c r="D656" s="58" t="s">
        <v>37</v>
      </c>
    </row>
    <row r="657" spans="1:4" x14ac:dyDescent="0.2">
      <c r="A657" s="55">
        <v>407</v>
      </c>
      <c r="B657" s="56">
        <v>81</v>
      </c>
      <c r="C657" s="57" t="s">
        <v>149</v>
      </c>
      <c r="D657" s="58" t="s">
        <v>37</v>
      </c>
    </row>
    <row r="658" spans="1:4" x14ac:dyDescent="0.2">
      <c r="A658" s="55">
        <v>408</v>
      </c>
      <c r="B658" s="56">
        <v>87</v>
      </c>
      <c r="C658" s="57" t="s">
        <v>150</v>
      </c>
      <c r="D658" s="58" t="s">
        <v>37</v>
      </c>
    </row>
    <row r="659" spans="1:4" x14ac:dyDescent="0.2">
      <c r="A659" s="55">
        <v>409</v>
      </c>
      <c r="B659" s="56">
        <v>89</v>
      </c>
      <c r="C659" s="57" t="s">
        <v>151</v>
      </c>
      <c r="D659" s="58" t="s">
        <v>37</v>
      </c>
    </row>
    <row r="660" spans="1:4" x14ac:dyDescent="0.2">
      <c r="A660" s="55">
        <v>410</v>
      </c>
      <c r="B660" s="56">
        <v>98</v>
      </c>
      <c r="C660" s="57" t="s">
        <v>152</v>
      </c>
      <c r="D660" s="58" t="s">
        <v>37</v>
      </c>
    </row>
    <row r="661" spans="1:4" x14ac:dyDescent="0.2">
      <c r="A661" s="55">
        <v>411</v>
      </c>
      <c r="B661" s="56">
        <v>106</v>
      </c>
      <c r="C661" s="57" t="s">
        <v>153</v>
      </c>
      <c r="D661" s="58" t="s">
        <v>37</v>
      </c>
    </row>
    <row r="662" spans="1:4" x14ac:dyDescent="0.2">
      <c r="A662" s="55">
        <v>412</v>
      </c>
      <c r="B662" s="56">
        <v>107</v>
      </c>
      <c r="C662" s="57" t="s">
        <v>154</v>
      </c>
      <c r="D662" s="58" t="s">
        <v>37</v>
      </c>
    </row>
    <row r="663" spans="1:4" x14ac:dyDescent="0.2">
      <c r="A663" s="55">
        <v>413</v>
      </c>
      <c r="B663" s="56">
        <v>108</v>
      </c>
      <c r="C663" s="57" t="s">
        <v>155</v>
      </c>
      <c r="D663" s="58" t="s">
        <v>37</v>
      </c>
    </row>
    <row r="664" spans="1:4" x14ac:dyDescent="0.2">
      <c r="A664" s="55">
        <v>414</v>
      </c>
      <c r="B664" s="56">
        <v>110</v>
      </c>
      <c r="C664" s="57" t="s">
        <v>156</v>
      </c>
      <c r="D664" s="58" t="s">
        <v>37</v>
      </c>
    </row>
    <row r="665" spans="1:4" x14ac:dyDescent="0.2">
      <c r="A665" s="55">
        <v>415</v>
      </c>
      <c r="B665" s="56">
        <v>165</v>
      </c>
      <c r="C665" s="57" t="s">
        <v>157</v>
      </c>
      <c r="D665" s="58" t="s">
        <v>37</v>
      </c>
    </row>
    <row r="666" spans="1:4" x14ac:dyDescent="0.2">
      <c r="A666" s="55">
        <v>416</v>
      </c>
      <c r="B666" s="56">
        <v>179</v>
      </c>
      <c r="C666" s="57" t="s">
        <v>158</v>
      </c>
      <c r="D666" s="58" t="s">
        <v>37</v>
      </c>
    </row>
    <row r="667" spans="1:4" x14ac:dyDescent="0.2">
      <c r="A667" s="55">
        <v>417</v>
      </c>
      <c r="B667" s="56">
        <v>209</v>
      </c>
      <c r="C667" s="57" t="s">
        <v>159</v>
      </c>
      <c r="D667" s="58" t="s">
        <v>37</v>
      </c>
    </row>
    <row r="668" spans="1:4" x14ac:dyDescent="0.2">
      <c r="A668" s="55">
        <v>418</v>
      </c>
      <c r="B668" s="56">
        <v>188</v>
      </c>
      <c r="C668" s="57" t="s">
        <v>160</v>
      </c>
      <c r="D668" s="58" t="s">
        <v>37</v>
      </c>
    </row>
    <row r="669" spans="1:4" x14ac:dyDescent="0.2">
      <c r="A669" s="55">
        <v>419</v>
      </c>
      <c r="B669" s="56">
        <v>176</v>
      </c>
      <c r="C669" s="57" t="s">
        <v>161</v>
      </c>
      <c r="D669" s="58" t="s">
        <v>37</v>
      </c>
    </row>
    <row r="670" spans="1:4" x14ac:dyDescent="0.2">
      <c r="A670" s="55">
        <v>420</v>
      </c>
      <c r="B670" s="56">
        <v>253</v>
      </c>
      <c r="C670" s="57" t="s">
        <v>162</v>
      </c>
      <c r="D670" s="58" t="s">
        <v>37</v>
      </c>
    </row>
    <row r="671" spans="1:4" x14ac:dyDescent="0.2">
      <c r="A671" s="55">
        <v>421</v>
      </c>
      <c r="B671" s="56">
        <v>222</v>
      </c>
      <c r="C671" s="57" t="s">
        <v>163</v>
      </c>
      <c r="D671" s="58" t="s">
        <v>37</v>
      </c>
    </row>
    <row r="672" spans="1:4" x14ac:dyDescent="0.2">
      <c r="A672" s="55">
        <v>422</v>
      </c>
      <c r="B672" s="56">
        <v>254</v>
      </c>
      <c r="C672" s="57" t="s">
        <v>164</v>
      </c>
      <c r="D672" s="58" t="s">
        <v>37</v>
      </c>
    </row>
    <row r="673" spans="1:4" x14ac:dyDescent="0.2">
      <c r="A673" s="55">
        <v>423</v>
      </c>
      <c r="B673" s="56">
        <v>255</v>
      </c>
      <c r="C673" s="57" t="s">
        <v>165</v>
      </c>
      <c r="D673" s="58" t="s">
        <v>37</v>
      </c>
    </row>
    <row r="674" spans="1:4" x14ac:dyDescent="0.2">
      <c r="A674" s="55">
        <v>424</v>
      </c>
      <c r="B674" s="56">
        <v>256</v>
      </c>
      <c r="C674" s="57" t="s">
        <v>166</v>
      </c>
      <c r="D674" s="58" t="s">
        <v>37</v>
      </c>
    </row>
    <row r="675" spans="1:4" x14ac:dyDescent="0.2">
      <c r="A675" s="55">
        <v>425</v>
      </c>
      <c r="B675" s="56">
        <v>1100</v>
      </c>
      <c r="C675" s="57" t="s">
        <v>167</v>
      </c>
      <c r="D675" s="58">
        <v>2</v>
      </c>
    </row>
    <row r="676" spans="1:4" x14ac:dyDescent="0.2">
      <c r="A676" s="55">
        <v>426</v>
      </c>
      <c r="B676" s="56">
        <v>1189</v>
      </c>
      <c r="C676" s="57" t="s">
        <v>75</v>
      </c>
      <c r="D676" s="58">
        <v>1</v>
      </c>
    </row>
    <row r="677" spans="1:4" x14ac:dyDescent="0.2">
      <c r="A677" s="55">
        <v>426</v>
      </c>
      <c r="B677" s="56">
        <v>1190</v>
      </c>
      <c r="C677" s="57" t="s">
        <v>75</v>
      </c>
      <c r="D677" s="58">
        <v>2</v>
      </c>
    </row>
    <row r="678" spans="1:4" x14ac:dyDescent="0.2">
      <c r="A678" s="55">
        <v>427</v>
      </c>
      <c r="B678" s="56">
        <v>1118</v>
      </c>
      <c r="C678" s="57" t="s">
        <v>168</v>
      </c>
      <c r="D678" s="58">
        <v>1</v>
      </c>
    </row>
    <row r="679" spans="1:4" x14ac:dyDescent="0.2">
      <c r="A679" s="55">
        <v>427</v>
      </c>
      <c r="B679" s="56">
        <v>1119</v>
      </c>
      <c r="C679" s="57" t="s">
        <v>168</v>
      </c>
      <c r="D679" s="58" t="s">
        <v>278</v>
      </c>
    </row>
    <row r="680" spans="1:4" x14ac:dyDescent="0.2">
      <c r="A680" s="55">
        <v>428</v>
      </c>
      <c r="B680" s="56">
        <v>258</v>
      </c>
      <c r="C680" s="57" t="s">
        <v>169</v>
      </c>
      <c r="D680" s="58" t="s">
        <v>170</v>
      </c>
    </row>
    <row r="681" spans="1:4" x14ac:dyDescent="0.2">
      <c r="A681" s="55">
        <v>428</v>
      </c>
      <c r="B681" s="56">
        <v>259</v>
      </c>
      <c r="C681" s="57" t="s">
        <v>169</v>
      </c>
      <c r="D681" s="58" t="s">
        <v>170</v>
      </c>
    </row>
    <row r="682" spans="1:4" x14ac:dyDescent="0.2">
      <c r="A682" s="55">
        <v>429</v>
      </c>
      <c r="B682" s="56">
        <v>260</v>
      </c>
      <c r="C682" s="57" t="s">
        <v>171</v>
      </c>
      <c r="D682" s="58" t="s">
        <v>170</v>
      </c>
    </row>
    <row r="683" spans="1:4" x14ac:dyDescent="0.2">
      <c r="A683" s="55">
        <v>429</v>
      </c>
      <c r="B683" s="56">
        <v>261</v>
      </c>
      <c r="C683" s="57" t="s">
        <v>171</v>
      </c>
      <c r="D683" s="58" t="s">
        <v>170</v>
      </c>
    </row>
    <row r="684" spans="1:4" x14ac:dyDescent="0.2">
      <c r="A684" s="55">
        <v>430</v>
      </c>
      <c r="B684" s="56">
        <v>264</v>
      </c>
      <c r="C684" s="57" t="s">
        <v>172</v>
      </c>
      <c r="D684" s="58" t="s">
        <v>170</v>
      </c>
    </row>
    <row r="685" spans="1:4" x14ac:dyDescent="0.2">
      <c r="A685" s="55">
        <v>430</v>
      </c>
      <c r="B685" s="56">
        <v>265</v>
      </c>
      <c r="C685" s="57" t="s">
        <v>172</v>
      </c>
      <c r="D685" s="58" t="s">
        <v>170</v>
      </c>
    </row>
    <row r="686" spans="1:4" x14ac:dyDescent="0.2">
      <c r="A686" s="55">
        <v>431</v>
      </c>
      <c r="B686" s="56">
        <v>262</v>
      </c>
      <c r="C686" s="57" t="s">
        <v>173</v>
      </c>
      <c r="D686" s="58" t="s">
        <v>170</v>
      </c>
    </row>
    <row r="687" spans="1:4" x14ac:dyDescent="0.2">
      <c r="A687" s="55">
        <v>431</v>
      </c>
      <c r="B687" s="56">
        <v>263</v>
      </c>
      <c r="C687" s="57" t="s">
        <v>173</v>
      </c>
      <c r="D687" s="58" t="s">
        <v>170</v>
      </c>
    </row>
    <row r="688" spans="1:4" x14ac:dyDescent="0.2">
      <c r="A688" s="55">
        <v>432</v>
      </c>
      <c r="B688" s="56">
        <v>1397</v>
      </c>
      <c r="C688" s="57" t="s">
        <v>75</v>
      </c>
      <c r="D688" s="58">
        <v>1</v>
      </c>
    </row>
    <row r="689" spans="1:4" x14ac:dyDescent="0.2">
      <c r="A689" s="55">
        <v>432</v>
      </c>
      <c r="B689" s="56">
        <v>1398</v>
      </c>
      <c r="C689" s="57" t="s">
        <v>75</v>
      </c>
      <c r="D689" s="58">
        <v>2</v>
      </c>
    </row>
    <row r="690" spans="1:4" x14ac:dyDescent="0.2">
      <c r="A690" s="55">
        <v>434</v>
      </c>
      <c r="B690" s="56">
        <v>269</v>
      </c>
      <c r="C690" s="57" t="s">
        <v>174</v>
      </c>
      <c r="D690" s="58" t="s">
        <v>275</v>
      </c>
    </row>
    <row r="691" spans="1:4" x14ac:dyDescent="0.2">
      <c r="A691" s="55">
        <v>435</v>
      </c>
      <c r="B691" s="56">
        <v>270</v>
      </c>
      <c r="C691" s="57" t="s">
        <v>175</v>
      </c>
      <c r="D691" s="58">
        <v>1</v>
      </c>
    </row>
    <row r="692" spans="1:4" x14ac:dyDescent="0.2">
      <c r="A692" s="55">
        <v>435</v>
      </c>
      <c r="B692" s="56">
        <v>271</v>
      </c>
      <c r="C692" s="57" t="s">
        <v>175</v>
      </c>
      <c r="D692" s="58">
        <v>1</v>
      </c>
    </row>
    <row r="693" spans="1:4" x14ac:dyDescent="0.2">
      <c r="A693" s="55">
        <v>435</v>
      </c>
      <c r="B693" s="56">
        <v>272</v>
      </c>
      <c r="C693" s="57" t="s">
        <v>175</v>
      </c>
      <c r="D693" s="58">
        <v>2</v>
      </c>
    </row>
    <row r="694" spans="1:4" x14ac:dyDescent="0.2">
      <c r="A694" s="55">
        <v>436</v>
      </c>
      <c r="B694" s="56">
        <v>273</v>
      </c>
      <c r="C694" s="57" t="s">
        <v>176</v>
      </c>
      <c r="D694" s="58">
        <v>1</v>
      </c>
    </row>
    <row r="695" spans="1:4" x14ac:dyDescent="0.2">
      <c r="A695" s="55">
        <v>436</v>
      </c>
      <c r="B695" s="56">
        <v>274</v>
      </c>
      <c r="C695" s="57" t="s">
        <v>176</v>
      </c>
      <c r="D695" s="58">
        <v>1</v>
      </c>
    </row>
    <row r="696" spans="1:4" x14ac:dyDescent="0.2">
      <c r="A696" s="55">
        <v>436</v>
      </c>
      <c r="B696" s="56">
        <v>275</v>
      </c>
      <c r="C696" s="57" t="s">
        <v>176</v>
      </c>
      <c r="D696" s="58">
        <v>2</v>
      </c>
    </row>
    <row r="697" spans="1:4" x14ac:dyDescent="0.2">
      <c r="A697" s="55">
        <v>437</v>
      </c>
      <c r="B697" s="56">
        <v>1403</v>
      </c>
      <c r="C697" s="57" t="s">
        <v>177</v>
      </c>
      <c r="D697" s="58">
        <v>2</v>
      </c>
    </row>
    <row r="698" spans="1:4" x14ac:dyDescent="0.2">
      <c r="A698" s="55">
        <v>437</v>
      </c>
      <c r="B698" s="56">
        <v>1404</v>
      </c>
      <c r="C698" s="57" t="s">
        <v>177</v>
      </c>
      <c r="D698" s="58">
        <v>1</v>
      </c>
    </row>
    <row r="699" spans="1:4" x14ac:dyDescent="0.2">
      <c r="A699" s="55">
        <v>437</v>
      </c>
      <c r="B699" s="56">
        <v>1405</v>
      </c>
      <c r="C699" s="57" t="s">
        <v>177</v>
      </c>
      <c r="D699" s="58">
        <v>1</v>
      </c>
    </row>
    <row r="700" spans="1:4" x14ac:dyDescent="0.2">
      <c r="A700" s="55">
        <v>439</v>
      </c>
      <c r="B700" s="56">
        <v>346</v>
      </c>
      <c r="C700" s="57" t="s">
        <v>178</v>
      </c>
      <c r="D700" s="58">
        <v>2</v>
      </c>
    </row>
    <row r="701" spans="1:4" x14ac:dyDescent="0.2">
      <c r="A701" s="55">
        <v>439</v>
      </c>
      <c r="B701" s="56">
        <v>349</v>
      </c>
      <c r="C701" s="57" t="s">
        <v>178</v>
      </c>
      <c r="D701" s="58">
        <v>1</v>
      </c>
    </row>
    <row r="702" spans="1:4" x14ac:dyDescent="0.2">
      <c r="A702" s="55">
        <v>440</v>
      </c>
      <c r="B702" s="56">
        <v>210</v>
      </c>
      <c r="C702" s="57" t="s">
        <v>179</v>
      </c>
      <c r="D702" s="58">
        <v>2</v>
      </c>
    </row>
    <row r="703" spans="1:4" x14ac:dyDescent="0.2">
      <c r="A703" s="55">
        <v>440</v>
      </c>
      <c r="B703" s="56">
        <v>347</v>
      </c>
      <c r="C703" s="57" t="s">
        <v>179</v>
      </c>
      <c r="D703" s="58" t="s">
        <v>275</v>
      </c>
    </row>
    <row r="704" spans="1:4" x14ac:dyDescent="0.2">
      <c r="A704" s="55">
        <v>440</v>
      </c>
      <c r="B704" s="56">
        <v>348</v>
      </c>
      <c r="C704" s="57" t="s">
        <v>179</v>
      </c>
      <c r="D704" s="58" t="s">
        <v>275</v>
      </c>
    </row>
    <row r="705" spans="1:4" x14ac:dyDescent="0.2">
      <c r="A705" s="55">
        <v>441</v>
      </c>
      <c r="B705" s="56">
        <v>206</v>
      </c>
      <c r="C705" s="57" t="s">
        <v>79</v>
      </c>
      <c r="D705" s="58">
        <v>2</v>
      </c>
    </row>
    <row r="706" spans="1:4" x14ac:dyDescent="0.2">
      <c r="A706" s="55">
        <v>441</v>
      </c>
      <c r="B706" s="56">
        <v>350</v>
      </c>
      <c r="C706" s="57" t="s">
        <v>79</v>
      </c>
      <c r="D706" s="58">
        <v>1</v>
      </c>
    </row>
    <row r="707" spans="1:4" x14ac:dyDescent="0.2">
      <c r="A707" s="55">
        <v>441</v>
      </c>
      <c r="B707" s="56">
        <v>351</v>
      </c>
      <c r="C707" s="57" t="s">
        <v>79</v>
      </c>
      <c r="D707" s="58">
        <v>1</v>
      </c>
    </row>
    <row r="708" spans="1:4" x14ac:dyDescent="0.2">
      <c r="A708" s="55">
        <v>441</v>
      </c>
      <c r="B708" s="56">
        <v>352</v>
      </c>
      <c r="C708" s="57" t="s">
        <v>79</v>
      </c>
      <c r="D708" s="58">
        <v>1</v>
      </c>
    </row>
    <row r="709" spans="1:4" x14ac:dyDescent="0.2">
      <c r="A709" s="55">
        <v>442</v>
      </c>
      <c r="B709" s="56">
        <v>356</v>
      </c>
      <c r="C709" s="57" t="s">
        <v>75</v>
      </c>
      <c r="D709" s="58" t="s">
        <v>275</v>
      </c>
    </row>
    <row r="710" spans="1:4" x14ac:dyDescent="0.2">
      <c r="A710" s="55">
        <v>442</v>
      </c>
      <c r="B710" s="56">
        <v>357</v>
      </c>
      <c r="C710" s="57" t="s">
        <v>75</v>
      </c>
      <c r="D710" s="58" t="s">
        <v>275</v>
      </c>
    </row>
    <row r="711" spans="1:4" x14ac:dyDescent="0.2">
      <c r="A711" s="55">
        <v>443</v>
      </c>
      <c r="B711" s="56">
        <v>358</v>
      </c>
      <c r="C711" s="57" t="s">
        <v>117</v>
      </c>
      <c r="D711" s="58">
        <v>1</v>
      </c>
    </row>
    <row r="712" spans="1:4" x14ac:dyDescent="0.2">
      <c r="A712" s="55">
        <v>443</v>
      </c>
      <c r="B712" s="56">
        <v>359</v>
      </c>
      <c r="C712" s="57" t="s">
        <v>117</v>
      </c>
      <c r="D712" s="58" t="s">
        <v>280</v>
      </c>
    </row>
    <row r="713" spans="1:4" x14ac:dyDescent="0.2">
      <c r="A713" s="55">
        <v>444</v>
      </c>
      <c r="B713" s="56">
        <v>208</v>
      </c>
      <c r="C713" s="57" t="s">
        <v>120</v>
      </c>
      <c r="D713" s="58">
        <v>2</v>
      </c>
    </row>
    <row r="714" spans="1:4" x14ac:dyDescent="0.2">
      <c r="A714" s="55">
        <v>444</v>
      </c>
      <c r="B714" s="56">
        <v>358</v>
      </c>
      <c r="C714" s="57" t="s">
        <v>120</v>
      </c>
      <c r="D714" s="58" t="s">
        <v>283</v>
      </c>
    </row>
    <row r="715" spans="1:4" x14ac:dyDescent="0.2">
      <c r="A715" s="55">
        <v>444</v>
      </c>
      <c r="B715" s="56">
        <v>360</v>
      </c>
      <c r="C715" s="57" t="s">
        <v>120</v>
      </c>
      <c r="D715" s="58" t="s">
        <v>283</v>
      </c>
    </row>
    <row r="716" spans="1:4" x14ac:dyDescent="0.2">
      <c r="A716" s="55">
        <v>445</v>
      </c>
      <c r="B716" s="56">
        <v>1406</v>
      </c>
      <c r="C716" s="57" t="s">
        <v>180</v>
      </c>
      <c r="D716" s="58">
        <v>1</v>
      </c>
    </row>
    <row r="717" spans="1:4" x14ac:dyDescent="0.2">
      <c r="A717" s="55">
        <v>445</v>
      </c>
      <c r="B717" s="56">
        <v>1407</v>
      </c>
      <c r="C717" s="57" t="s">
        <v>180</v>
      </c>
      <c r="D717" s="58">
        <v>2</v>
      </c>
    </row>
    <row r="718" spans="1:4" x14ac:dyDescent="0.2">
      <c r="A718" s="55">
        <v>446</v>
      </c>
      <c r="B718" s="56">
        <v>1408</v>
      </c>
      <c r="C718" s="57" t="s">
        <v>180</v>
      </c>
      <c r="D718" s="58">
        <v>1</v>
      </c>
    </row>
    <row r="719" spans="1:4" x14ac:dyDescent="0.2">
      <c r="A719" s="55">
        <v>446</v>
      </c>
      <c r="B719" s="56">
        <v>1409</v>
      </c>
      <c r="C719" s="57" t="s">
        <v>180</v>
      </c>
      <c r="D719" s="58">
        <v>2</v>
      </c>
    </row>
    <row r="720" spans="1:4" x14ac:dyDescent="0.2">
      <c r="A720" s="55">
        <v>447</v>
      </c>
      <c r="B720" s="56">
        <v>206</v>
      </c>
      <c r="C720" s="57" t="s">
        <v>91</v>
      </c>
      <c r="D720" s="58">
        <v>2</v>
      </c>
    </row>
    <row r="721" spans="1:4" x14ac:dyDescent="0.2">
      <c r="A721" s="55">
        <v>448</v>
      </c>
      <c r="B721" s="56">
        <v>1125</v>
      </c>
      <c r="C721" s="57" t="s">
        <v>91</v>
      </c>
      <c r="D721" s="58">
        <v>2</v>
      </c>
    </row>
    <row r="722" spans="1:4" x14ac:dyDescent="0.2">
      <c r="A722" s="55">
        <v>449</v>
      </c>
      <c r="B722" s="56">
        <v>1127</v>
      </c>
      <c r="C722" s="57" t="s">
        <v>91</v>
      </c>
      <c r="D722" s="58">
        <v>2</v>
      </c>
    </row>
    <row r="723" spans="1:4" x14ac:dyDescent="0.2">
      <c r="A723" s="55">
        <v>450</v>
      </c>
      <c r="B723" s="56">
        <v>1129</v>
      </c>
      <c r="C723" s="57" t="s">
        <v>91</v>
      </c>
      <c r="D723" s="58">
        <v>2</v>
      </c>
    </row>
    <row r="724" spans="1:4" x14ac:dyDescent="0.2">
      <c r="A724" s="55">
        <v>451</v>
      </c>
      <c r="B724" s="56">
        <v>1140</v>
      </c>
      <c r="C724" s="57" t="s">
        <v>91</v>
      </c>
      <c r="D724" s="58">
        <v>2</v>
      </c>
    </row>
    <row r="725" spans="1:4" x14ac:dyDescent="0.2">
      <c r="A725" s="55">
        <v>452</v>
      </c>
      <c r="B725" s="56">
        <v>1142</v>
      </c>
      <c r="C725" s="57" t="s">
        <v>91</v>
      </c>
      <c r="D725" s="58">
        <v>2</v>
      </c>
    </row>
    <row r="726" spans="1:4" x14ac:dyDescent="0.2">
      <c r="A726" s="55">
        <v>453</v>
      </c>
      <c r="B726" s="56">
        <v>1144</v>
      </c>
      <c r="C726" s="57" t="s">
        <v>91</v>
      </c>
      <c r="D726" s="58">
        <v>2</v>
      </c>
    </row>
    <row r="727" spans="1:4" x14ac:dyDescent="0.2">
      <c r="A727" s="55">
        <v>454</v>
      </c>
      <c r="B727" s="56">
        <v>1146</v>
      </c>
      <c r="C727" s="57" t="s">
        <v>91</v>
      </c>
      <c r="D727" s="58">
        <v>2</v>
      </c>
    </row>
    <row r="728" spans="1:4" x14ac:dyDescent="0.2">
      <c r="A728" s="55">
        <v>455</v>
      </c>
      <c r="B728" s="56">
        <v>1148</v>
      </c>
      <c r="C728" s="57" t="s">
        <v>91</v>
      </c>
      <c r="D728" s="58">
        <v>2</v>
      </c>
    </row>
    <row r="729" spans="1:4" x14ac:dyDescent="0.2">
      <c r="A729" s="55">
        <v>456</v>
      </c>
      <c r="B729" s="56">
        <v>1150</v>
      </c>
      <c r="C729" s="57" t="s">
        <v>91</v>
      </c>
      <c r="D729" s="58">
        <v>2</v>
      </c>
    </row>
    <row r="730" spans="1:4" x14ac:dyDescent="0.2">
      <c r="A730" s="55">
        <v>459</v>
      </c>
      <c r="B730" s="56">
        <v>1398</v>
      </c>
      <c r="C730" s="57" t="s">
        <v>91</v>
      </c>
      <c r="D730" s="58">
        <v>2</v>
      </c>
    </row>
    <row r="731" spans="1:4" x14ac:dyDescent="0.2">
      <c r="A731" s="55">
        <v>460</v>
      </c>
      <c r="B731" s="56">
        <v>361</v>
      </c>
      <c r="C731" s="57" t="s">
        <v>181</v>
      </c>
      <c r="D731" s="58" t="s">
        <v>37</v>
      </c>
    </row>
    <row r="732" spans="1:4" x14ac:dyDescent="0.2">
      <c r="A732" s="55">
        <v>461</v>
      </c>
      <c r="B732" s="56">
        <v>361</v>
      </c>
      <c r="C732" s="57" t="s">
        <v>181</v>
      </c>
      <c r="D732" s="58" t="s">
        <v>37</v>
      </c>
    </row>
    <row r="733" spans="1:4" x14ac:dyDescent="0.2">
      <c r="A733" s="55">
        <v>462</v>
      </c>
      <c r="B733" s="56">
        <v>362</v>
      </c>
      <c r="C733" s="57" t="s">
        <v>182</v>
      </c>
      <c r="D733" s="58" t="s">
        <v>37</v>
      </c>
    </row>
    <row r="734" spans="1:4" x14ac:dyDescent="0.2">
      <c r="A734" s="55">
        <v>463</v>
      </c>
      <c r="B734" s="56">
        <v>363</v>
      </c>
      <c r="C734" s="57" t="s">
        <v>183</v>
      </c>
      <c r="D734" s="58" t="s">
        <v>37</v>
      </c>
    </row>
    <row r="735" spans="1:4" x14ac:dyDescent="0.2">
      <c r="A735" s="55">
        <v>464</v>
      </c>
      <c r="B735" s="56">
        <v>364</v>
      </c>
      <c r="C735" s="57" t="s">
        <v>184</v>
      </c>
      <c r="D735" s="58">
        <v>1</v>
      </c>
    </row>
    <row r="736" spans="1:4" x14ac:dyDescent="0.2">
      <c r="A736" s="55">
        <v>464</v>
      </c>
      <c r="B736" s="56">
        <v>365</v>
      </c>
      <c r="C736" s="57" t="s">
        <v>184</v>
      </c>
      <c r="D736" s="58">
        <v>1</v>
      </c>
    </row>
    <row r="737" spans="1:4" x14ac:dyDescent="0.2">
      <c r="A737" s="55">
        <v>465</v>
      </c>
      <c r="B737" s="56">
        <v>1410</v>
      </c>
      <c r="C737" s="57" t="s">
        <v>185</v>
      </c>
      <c r="D737" s="58">
        <v>1</v>
      </c>
    </row>
    <row r="738" spans="1:4" x14ac:dyDescent="0.2">
      <c r="A738" s="55">
        <v>465</v>
      </c>
      <c r="B738" s="56">
        <v>1411</v>
      </c>
      <c r="C738" s="57" t="s">
        <v>185</v>
      </c>
      <c r="D738" s="58">
        <v>1</v>
      </c>
    </row>
    <row r="739" spans="1:4" x14ac:dyDescent="0.2">
      <c r="A739" s="55">
        <v>466</v>
      </c>
      <c r="B739" s="56">
        <v>366</v>
      </c>
      <c r="C739" s="57" t="s">
        <v>186</v>
      </c>
      <c r="D739" s="58" t="s">
        <v>275</v>
      </c>
    </row>
    <row r="740" spans="1:4" x14ac:dyDescent="0.2">
      <c r="A740" s="55">
        <v>467</v>
      </c>
      <c r="B740" s="56">
        <v>367</v>
      </c>
      <c r="C740" s="57" t="s">
        <v>186</v>
      </c>
      <c r="D740" s="58" t="s">
        <v>275</v>
      </c>
    </row>
    <row r="741" spans="1:4" x14ac:dyDescent="0.2">
      <c r="A741" s="55">
        <v>468</v>
      </c>
      <c r="B741" s="56">
        <v>368</v>
      </c>
      <c r="C741" s="57" t="s">
        <v>186</v>
      </c>
      <c r="D741" s="58" t="s">
        <v>275</v>
      </c>
    </row>
    <row r="742" spans="1:4" x14ac:dyDescent="0.2">
      <c r="A742" s="55">
        <v>469</v>
      </c>
      <c r="B742" s="56">
        <v>369</v>
      </c>
      <c r="C742" s="57" t="s">
        <v>186</v>
      </c>
      <c r="D742" s="58" t="s">
        <v>275</v>
      </c>
    </row>
    <row r="743" spans="1:4" x14ac:dyDescent="0.2">
      <c r="A743" s="55">
        <v>470</v>
      </c>
      <c r="B743" s="56">
        <v>370</v>
      </c>
      <c r="C743" s="57" t="s">
        <v>186</v>
      </c>
      <c r="D743" s="58" t="s">
        <v>275</v>
      </c>
    </row>
    <row r="744" spans="1:4" x14ac:dyDescent="0.2">
      <c r="A744" s="55">
        <v>473</v>
      </c>
      <c r="B744" s="56">
        <v>1412</v>
      </c>
      <c r="C744" s="57" t="s">
        <v>187</v>
      </c>
      <c r="D744" s="58">
        <v>1</v>
      </c>
    </row>
    <row r="745" spans="1:4" x14ac:dyDescent="0.2">
      <c r="A745" s="55">
        <v>473</v>
      </c>
      <c r="B745" s="56">
        <v>1413</v>
      </c>
      <c r="C745" s="57" t="s">
        <v>187</v>
      </c>
      <c r="D745" s="58">
        <v>2</v>
      </c>
    </row>
    <row r="746" spans="1:4" x14ac:dyDescent="0.2">
      <c r="A746" s="55">
        <v>474</v>
      </c>
      <c r="B746" s="56">
        <v>1414</v>
      </c>
      <c r="C746" s="57" t="s">
        <v>188</v>
      </c>
      <c r="D746" s="58" t="s">
        <v>37</v>
      </c>
    </row>
    <row r="747" spans="1:4" x14ac:dyDescent="0.2">
      <c r="A747" s="55">
        <v>475</v>
      </c>
      <c r="B747" s="56">
        <v>1415</v>
      </c>
      <c r="C747" s="57" t="s">
        <v>189</v>
      </c>
      <c r="D747" s="58">
        <v>1</v>
      </c>
    </row>
    <row r="748" spans="1:4" x14ac:dyDescent="0.2">
      <c r="A748" s="55">
        <v>475</v>
      </c>
      <c r="B748" s="56">
        <v>1416</v>
      </c>
      <c r="C748" s="57" t="s">
        <v>189</v>
      </c>
      <c r="D748" s="58">
        <v>2</v>
      </c>
    </row>
    <row r="749" spans="1:4" x14ac:dyDescent="0.2">
      <c r="A749" s="55">
        <v>476</v>
      </c>
      <c r="B749" s="56">
        <v>1417</v>
      </c>
      <c r="C749" s="57" t="s">
        <v>190</v>
      </c>
      <c r="D749" s="58" t="s">
        <v>37</v>
      </c>
    </row>
    <row r="750" spans="1:4" x14ac:dyDescent="0.2">
      <c r="A750" s="55">
        <v>477</v>
      </c>
      <c r="B750" s="56">
        <v>1418</v>
      </c>
      <c r="C750" s="57" t="s">
        <v>190</v>
      </c>
      <c r="D750" s="58" t="s">
        <v>37</v>
      </c>
    </row>
    <row r="751" spans="1:4" x14ac:dyDescent="0.2">
      <c r="A751" s="55">
        <v>478</v>
      </c>
      <c r="B751" s="56">
        <v>1419</v>
      </c>
      <c r="C751" s="57" t="s">
        <v>120</v>
      </c>
      <c r="D751" s="58">
        <v>1</v>
      </c>
    </row>
    <row r="752" spans="1:4" x14ac:dyDescent="0.2">
      <c r="A752" s="55">
        <v>478</v>
      </c>
      <c r="B752" s="56">
        <v>1420</v>
      </c>
      <c r="C752" s="57" t="s">
        <v>120</v>
      </c>
      <c r="D752" s="58">
        <v>1</v>
      </c>
    </row>
    <row r="753" spans="1:4" x14ac:dyDescent="0.2">
      <c r="A753" s="55">
        <v>478</v>
      </c>
      <c r="B753" s="56">
        <v>1421</v>
      </c>
      <c r="C753" s="57" t="s">
        <v>120</v>
      </c>
      <c r="D753" s="58">
        <v>2</v>
      </c>
    </row>
    <row r="754" spans="1:4" x14ac:dyDescent="0.2">
      <c r="A754" s="55">
        <v>479</v>
      </c>
      <c r="B754" s="56">
        <v>1424</v>
      </c>
      <c r="C754" s="57" t="s">
        <v>178</v>
      </c>
      <c r="D754" s="58">
        <v>2</v>
      </c>
    </row>
    <row r="755" spans="1:4" x14ac:dyDescent="0.2">
      <c r="A755" s="55">
        <v>479</v>
      </c>
      <c r="B755" s="56">
        <v>1425</v>
      </c>
      <c r="C755" s="57" t="s">
        <v>178</v>
      </c>
      <c r="D755" s="58">
        <v>1</v>
      </c>
    </row>
    <row r="756" spans="1:4" x14ac:dyDescent="0.2">
      <c r="A756" s="55">
        <v>480</v>
      </c>
      <c r="B756" s="56">
        <v>1426</v>
      </c>
      <c r="C756" s="57" t="s">
        <v>178</v>
      </c>
      <c r="D756" s="58">
        <v>2</v>
      </c>
    </row>
    <row r="757" spans="1:4" x14ac:dyDescent="0.2">
      <c r="A757" s="55">
        <v>480</v>
      </c>
      <c r="B757" s="56">
        <v>1427</v>
      </c>
      <c r="C757" s="57" t="s">
        <v>178</v>
      </c>
      <c r="D757" s="58">
        <v>1</v>
      </c>
    </row>
    <row r="758" spans="1:4" x14ac:dyDescent="0.2">
      <c r="A758" s="55">
        <v>481</v>
      </c>
      <c r="B758" s="56">
        <v>1428</v>
      </c>
      <c r="C758" s="57" t="s">
        <v>178</v>
      </c>
      <c r="D758" s="58">
        <v>2</v>
      </c>
    </row>
    <row r="759" spans="1:4" x14ac:dyDescent="0.2">
      <c r="A759" s="55">
        <v>481</v>
      </c>
      <c r="B759" s="56">
        <v>1429</v>
      </c>
      <c r="C759" s="57" t="s">
        <v>178</v>
      </c>
      <c r="D759" s="58">
        <v>1</v>
      </c>
    </row>
    <row r="760" spans="1:4" x14ac:dyDescent="0.2">
      <c r="A760" s="55">
        <v>482</v>
      </c>
      <c r="B760" s="56">
        <v>378</v>
      </c>
      <c r="C760" s="57" t="s">
        <v>191</v>
      </c>
      <c r="D760" s="58" t="s">
        <v>192</v>
      </c>
    </row>
    <row r="761" spans="1:4" x14ac:dyDescent="0.2">
      <c r="A761" s="55">
        <v>483</v>
      </c>
      <c r="B761" s="56">
        <v>379</v>
      </c>
      <c r="C761" s="57" t="s">
        <v>193</v>
      </c>
      <c r="D761" s="58" t="s">
        <v>192</v>
      </c>
    </row>
    <row r="762" spans="1:4" x14ac:dyDescent="0.2">
      <c r="A762" s="55">
        <v>484</v>
      </c>
      <c r="B762" s="56">
        <v>380</v>
      </c>
      <c r="C762" s="57" t="s">
        <v>194</v>
      </c>
      <c r="D762" s="58" t="s">
        <v>192</v>
      </c>
    </row>
    <row r="763" spans="1:4" x14ac:dyDescent="0.2">
      <c r="A763" s="55">
        <v>485</v>
      </c>
      <c r="B763" s="56">
        <v>381</v>
      </c>
      <c r="C763" s="57" t="s">
        <v>195</v>
      </c>
      <c r="D763" s="58" t="s">
        <v>192</v>
      </c>
    </row>
    <row r="764" spans="1:4" x14ac:dyDescent="0.2">
      <c r="A764" s="55">
        <v>486</v>
      </c>
      <c r="B764" s="56">
        <v>382</v>
      </c>
      <c r="C764" s="57" t="s">
        <v>196</v>
      </c>
      <c r="D764" s="58" t="s">
        <v>192</v>
      </c>
    </row>
    <row r="765" spans="1:4" x14ac:dyDescent="0.2">
      <c r="A765" s="55">
        <v>487</v>
      </c>
      <c r="B765" s="56">
        <v>383</v>
      </c>
      <c r="C765" s="57" t="s">
        <v>197</v>
      </c>
      <c r="D765" s="58" t="s">
        <v>192</v>
      </c>
    </row>
    <row r="766" spans="1:4" x14ac:dyDescent="0.2">
      <c r="A766" s="55">
        <v>488</v>
      </c>
      <c r="B766" s="56">
        <v>384</v>
      </c>
      <c r="C766" s="57" t="s">
        <v>198</v>
      </c>
      <c r="D766" s="58" t="s">
        <v>192</v>
      </c>
    </row>
    <row r="767" spans="1:4" x14ac:dyDescent="0.2">
      <c r="A767" s="55">
        <v>489</v>
      </c>
      <c r="B767" s="56">
        <v>385</v>
      </c>
      <c r="C767" s="57" t="s">
        <v>199</v>
      </c>
      <c r="D767" s="58" t="s">
        <v>192</v>
      </c>
    </row>
    <row r="768" spans="1:4" x14ac:dyDescent="0.2">
      <c r="A768" s="55">
        <v>490</v>
      </c>
      <c r="B768" s="56">
        <v>386</v>
      </c>
      <c r="C768" s="57" t="s">
        <v>200</v>
      </c>
      <c r="D768" s="58" t="s">
        <v>192</v>
      </c>
    </row>
    <row r="769" spans="1:4" x14ac:dyDescent="0.2">
      <c r="A769" s="55">
        <v>491</v>
      </c>
      <c r="B769" s="56">
        <v>387</v>
      </c>
      <c r="C769" s="57" t="s">
        <v>201</v>
      </c>
      <c r="D769" s="58" t="s">
        <v>192</v>
      </c>
    </row>
    <row r="770" spans="1:4" x14ac:dyDescent="0.2">
      <c r="A770" s="55">
        <v>492</v>
      </c>
      <c r="B770" s="56">
        <v>388</v>
      </c>
      <c r="C770" s="57" t="s">
        <v>202</v>
      </c>
      <c r="D770" s="58" t="s">
        <v>192</v>
      </c>
    </row>
    <row r="771" spans="1:4" x14ac:dyDescent="0.2">
      <c r="A771" s="55">
        <v>493</v>
      </c>
      <c r="B771" s="56">
        <v>389</v>
      </c>
      <c r="C771" s="57" t="s">
        <v>203</v>
      </c>
      <c r="D771" s="58" t="s">
        <v>192</v>
      </c>
    </row>
    <row r="772" spans="1:4" x14ac:dyDescent="0.2">
      <c r="A772" s="55">
        <v>494</v>
      </c>
      <c r="B772" s="56">
        <v>390</v>
      </c>
      <c r="C772" s="57" t="s">
        <v>204</v>
      </c>
      <c r="D772" s="58" t="s">
        <v>192</v>
      </c>
    </row>
    <row r="773" spans="1:4" x14ac:dyDescent="0.2">
      <c r="A773" s="55">
        <v>495</v>
      </c>
      <c r="B773" s="56">
        <v>391</v>
      </c>
      <c r="C773" s="57" t="s">
        <v>205</v>
      </c>
      <c r="D773" s="58" t="s">
        <v>192</v>
      </c>
    </row>
    <row r="774" spans="1:4" x14ac:dyDescent="0.2">
      <c r="A774" s="55">
        <v>496</v>
      </c>
      <c r="B774" s="56">
        <v>392</v>
      </c>
      <c r="C774" s="57" t="s">
        <v>206</v>
      </c>
      <c r="D774" s="58" t="s">
        <v>192</v>
      </c>
    </row>
    <row r="775" spans="1:4" x14ac:dyDescent="0.2">
      <c r="A775" s="55">
        <v>497</v>
      </c>
      <c r="B775" s="56">
        <v>393</v>
      </c>
      <c r="C775" s="57" t="s">
        <v>207</v>
      </c>
      <c r="D775" s="58" t="s">
        <v>192</v>
      </c>
    </row>
    <row r="776" spans="1:4" x14ac:dyDescent="0.2">
      <c r="A776" s="55">
        <v>498</v>
      </c>
      <c r="B776" s="56">
        <v>394</v>
      </c>
      <c r="C776" s="57" t="s">
        <v>208</v>
      </c>
      <c r="D776" s="58" t="s">
        <v>192</v>
      </c>
    </row>
    <row r="777" spans="1:4" x14ac:dyDescent="0.2">
      <c r="A777" s="55">
        <v>701</v>
      </c>
      <c r="B777" s="56">
        <v>343</v>
      </c>
      <c r="C777" s="57" t="s">
        <v>209</v>
      </c>
      <c r="D777" s="58" t="s">
        <v>37</v>
      </c>
    </row>
    <row r="778" spans="1:4" x14ac:dyDescent="0.2">
      <c r="A778" s="55">
        <v>702</v>
      </c>
      <c r="B778" s="56">
        <v>344</v>
      </c>
      <c r="C778" s="57" t="s">
        <v>209</v>
      </c>
      <c r="D778" s="58" t="s">
        <v>37</v>
      </c>
    </row>
    <row r="779" spans="1:4" x14ac:dyDescent="0.2">
      <c r="A779" s="55">
        <v>703</v>
      </c>
      <c r="B779" s="56">
        <v>317</v>
      </c>
      <c r="C779" s="57" t="s">
        <v>143</v>
      </c>
      <c r="D779" s="58" t="s">
        <v>37</v>
      </c>
    </row>
    <row r="780" spans="1:4" x14ac:dyDescent="0.2">
      <c r="A780" s="55">
        <v>704</v>
      </c>
      <c r="B780" s="56">
        <v>318</v>
      </c>
      <c r="C780" s="57" t="s">
        <v>143</v>
      </c>
      <c r="D780" s="58" t="s">
        <v>37</v>
      </c>
    </row>
    <row r="781" spans="1:4" x14ac:dyDescent="0.2">
      <c r="A781" s="55">
        <v>705</v>
      </c>
      <c r="B781" s="56">
        <v>319</v>
      </c>
      <c r="C781" s="57" t="s">
        <v>143</v>
      </c>
      <c r="D781" s="58" t="s">
        <v>37</v>
      </c>
    </row>
    <row r="782" spans="1:4" x14ac:dyDescent="0.2">
      <c r="A782" s="55">
        <v>706</v>
      </c>
      <c r="B782" s="56">
        <v>320</v>
      </c>
      <c r="C782" s="57" t="s">
        <v>143</v>
      </c>
      <c r="D782" s="58" t="s">
        <v>37</v>
      </c>
    </row>
    <row r="783" spans="1:4" x14ac:dyDescent="0.2">
      <c r="A783" s="55">
        <v>707</v>
      </c>
      <c r="B783" s="56">
        <v>321</v>
      </c>
      <c r="C783" s="57" t="s">
        <v>143</v>
      </c>
      <c r="D783" s="58" t="s">
        <v>37</v>
      </c>
    </row>
    <row r="784" spans="1:4" x14ac:dyDescent="0.2">
      <c r="A784" s="55">
        <v>708</v>
      </c>
      <c r="B784" s="56">
        <v>322</v>
      </c>
      <c r="C784" s="57" t="s">
        <v>143</v>
      </c>
      <c r="D784" s="58" t="s">
        <v>37</v>
      </c>
    </row>
    <row r="785" spans="1:4" x14ac:dyDescent="0.2">
      <c r="A785" s="55">
        <v>709</v>
      </c>
      <c r="B785" s="56">
        <v>323</v>
      </c>
      <c r="C785" s="57" t="s">
        <v>143</v>
      </c>
      <c r="D785" s="58" t="s">
        <v>37</v>
      </c>
    </row>
    <row r="786" spans="1:4" x14ac:dyDescent="0.2">
      <c r="A786" s="55">
        <v>710</v>
      </c>
      <c r="B786" s="56">
        <v>324</v>
      </c>
      <c r="C786" s="57" t="s">
        <v>143</v>
      </c>
      <c r="D786" s="58" t="s">
        <v>37</v>
      </c>
    </row>
    <row r="787" spans="1:4" x14ac:dyDescent="0.2">
      <c r="A787" s="55">
        <v>711</v>
      </c>
      <c r="B787" s="56">
        <v>325</v>
      </c>
      <c r="C787" s="57" t="s">
        <v>143</v>
      </c>
      <c r="D787" s="58" t="s">
        <v>37</v>
      </c>
    </row>
    <row r="788" spans="1:4" x14ac:dyDescent="0.2">
      <c r="A788" s="55">
        <v>712</v>
      </c>
      <c r="B788" s="56">
        <v>326</v>
      </c>
      <c r="C788" s="57" t="s">
        <v>210</v>
      </c>
      <c r="D788" s="58" t="s">
        <v>37</v>
      </c>
    </row>
    <row r="789" spans="1:4" x14ac:dyDescent="0.2">
      <c r="A789" s="55">
        <v>713</v>
      </c>
      <c r="B789" s="56">
        <v>328</v>
      </c>
      <c r="C789" s="57" t="s">
        <v>210</v>
      </c>
      <c r="D789" s="58" t="s">
        <v>37</v>
      </c>
    </row>
    <row r="790" spans="1:4" x14ac:dyDescent="0.2">
      <c r="A790" s="55">
        <v>714</v>
      </c>
      <c r="B790" s="56">
        <v>329</v>
      </c>
      <c r="C790" s="57" t="s">
        <v>210</v>
      </c>
      <c r="D790" s="58" t="s">
        <v>37</v>
      </c>
    </row>
    <row r="791" spans="1:4" x14ac:dyDescent="0.2">
      <c r="A791" s="55">
        <v>715</v>
      </c>
      <c r="B791" s="56">
        <v>330</v>
      </c>
      <c r="C791" s="57" t="s">
        <v>210</v>
      </c>
      <c r="D791" s="58" t="s">
        <v>37</v>
      </c>
    </row>
    <row r="792" spans="1:4" x14ac:dyDescent="0.2">
      <c r="A792" s="55">
        <v>716</v>
      </c>
      <c r="B792" s="56">
        <v>339</v>
      </c>
      <c r="C792" s="57" t="s">
        <v>211</v>
      </c>
      <c r="D792" s="58" t="s">
        <v>37</v>
      </c>
    </row>
    <row r="793" spans="1:4" x14ac:dyDescent="0.2">
      <c r="A793" s="55">
        <v>717</v>
      </c>
      <c r="B793" s="56">
        <v>340</v>
      </c>
      <c r="C793" s="57" t="s">
        <v>211</v>
      </c>
      <c r="D793" s="58" t="s">
        <v>37</v>
      </c>
    </row>
    <row r="794" spans="1:4" x14ac:dyDescent="0.2">
      <c r="A794" s="55">
        <v>718</v>
      </c>
      <c r="B794" s="56">
        <v>341</v>
      </c>
      <c r="C794" s="57" t="s">
        <v>212</v>
      </c>
      <c r="D794" s="58" t="s">
        <v>37</v>
      </c>
    </row>
    <row r="795" spans="1:4" x14ac:dyDescent="0.2">
      <c r="A795" s="55">
        <v>719</v>
      </c>
      <c r="B795" s="56">
        <v>342</v>
      </c>
      <c r="C795" s="57" t="s">
        <v>212</v>
      </c>
      <c r="D795" s="58" t="s">
        <v>37</v>
      </c>
    </row>
    <row r="796" spans="1:4" x14ac:dyDescent="0.2">
      <c r="A796" s="55">
        <v>720</v>
      </c>
      <c r="B796" s="56">
        <v>331</v>
      </c>
      <c r="C796" s="57" t="s">
        <v>76</v>
      </c>
      <c r="D796" s="58">
        <v>1</v>
      </c>
    </row>
    <row r="797" spans="1:4" x14ac:dyDescent="0.2">
      <c r="A797" s="55">
        <v>720</v>
      </c>
      <c r="B797" s="56">
        <v>332</v>
      </c>
      <c r="C797" s="57" t="s">
        <v>76</v>
      </c>
      <c r="D797" s="58">
        <v>1</v>
      </c>
    </row>
    <row r="798" spans="1:4" x14ac:dyDescent="0.2">
      <c r="A798" s="55">
        <v>720</v>
      </c>
      <c r="B798" s="56">
        <v>333</v>
      </c>
      <c r="C798" s="57" t="s">
        <v>76</v>
      </c>
      <c r="D798" s="58">
        <v>2</v>
      </c>
    </row>
    <row r="799" spans="1:4" x14ac:dyDescent="0.2">
      <c r="A799" s="55">
        <v>721</v>
      </c>
      <c r="B799" s="56">
        <v>327</v>
      </c>
      <c r="C799" s="57" t="s">
        <v>213</v>
      </c>
      <c r="D799" s="58">
        <v>2</v>
      </c>
    </row>
    <row r="800" spans="1:4" x14ac:dyDescent="0.2">
      <c r="A800" s="55">
        <v>721</v>
      </c>
      <c r="B800" s="56">
        <v>336</v>
      </c>
      <c r="C800" s="57" t="s">
        <v>213</v>
      </c>
      <c r="D800" s="58">
        <v>1</v>
      </c>
    </row>
    <row r="801" spans="1:4" x14ac:dyDescent="0.2">
      <c r="A801" s="55">
        <v>722</v>
      </c>
      <c r="B801" s="56">
        <v>13067</v>
      </c>
      <c r="C801" s="57" t="s">
        <v>213</v>
      </c>
      <c r="D801" s="58">
        <v>2</v>
      </c>
    </row>
    <row r="802" spans="1:4" x14ac:dyDescent="0.2">
      <c r="A802" s="55">
        <v>722</v>
      </c>
      <c r="B802" s="56">
        <v>13068</v>
      </c>
      <c r="C802" s="57" t="s">
        <v>213</v>
      </c>
      <c r="D802" s="58">
        <v>1</v>
      </c>
    </row>
    <row r="803" spans="1:4" x14ac:dyDescent="0.2">
      <c r="A803" s="55">
        <v>723</v>
      </c>
      <c r="B803" s="56">
        <v>13070</v>
      </c>
      <c r="C803" s="57" t="s">
        <v>213</v>
      </c>
      <c r="D803" s="58">
        <v>2</v>
      </c>
    </row>
    <row r="804" spans="1:4" x14ac:dyDescent="0.2">
      <c r="A804" s="55">
        <v>723</v>
      </c>
      <c r="B804" s="56">
        <v>13071</v>
      </c>
      <c r="C804" s="57" t="s">
        <v>213</v>
      </c>
      <c r="D804" s="58">
        <v>1</v>
      </c>
    </row>
    <row r="805" spans="1:4" x14ac:dyDescent="0.2">
      <c r="A805" s="55">
        <v>724</v>
      </c>
      <c r="B805" s="56">
        <v>13073</v>
      </c>
      <c r="C805" s="57" t="s">
        <v>213</v>
      </c>
      <c r="D805" s="58">
        <v>2</v>
      </c>
    </row>
    <row r="806" spans="1:4" x14ac:dyDescent="0.2">
      <c r="A806" s="55">
        <v>724</v>
      </c>
      <c r="B806" s="56">
        <v>13074</v>
      </c>
      <c r="C806" s="57" t="s">
        <v>213</v>
      </c>
      <c r="D806" s="58">
        <v>1</v>
      </c>
    </row>
    <row r="807" spans="1:4" x14ac:dyDescent="0.2">
      <c r="A807" s="55">
        <v>725</v>
      </c>
      <c r="B807" s="56">
        <v>13076</v>
      </c>
      <c r="C807" s="57" t="s">
        <v>213</v>
      </c>
      <c r="D807" s="58">
        <v>2</v>
      </c>
    </row>
    <row r="808" spans="1:4" x14ac:dyDescent="0.2">
      <c r="A808" s="55">
        <v>725</v>
      </c>
      <c r="B808" s="56">
        <v>13077</v>
      </c>
      <c r="C808" s="57" t="s">
        <v>213</v>
      </c>
      <c r="D808" s="58">
        <v>1</v>
      </c>
    </row>
    <row r="809" spans="1:4" x14ac:dyDescent="0.2">
      <c r="A809" s="55">
        <v>726</v>
      </c>
      <c r="B809" s="56">
        <v>13079</v>
      </c>
      <c r="C809" s="57" t="s">
        <v>213</v>
      </c>
      <c r="D809" s="58">
        <v>2</v>
      </c>
    </row>
    <row r="810" spans="1:4" x14ac:dyDescent="0.2">
      <c r="A810" s="55">
        <v>726</v>
      </c>
      <c r="B810" s="56">
        <v>13080</v>
      </c>
      <c r="C810" s="57" t="s">
        <v>213</v>
      </c>
      <c r="D810" s="58">
        <v>1</v>
      </c>
    </row>
    <row r="811" spans="1:4" x14ac:dyDescent="0.2">
      <c r="A811" s="55">
        <v>727</v>
      </c>
      <c r="B811" s="56">
        <v>13032</v>
      </c>
      <c r="C811" s="57" t="s">
        <v>213</v>
      </c>
      <c r="D811" s="58">
        <v>2</v>
      </c>
    </row>
    <row r="812" spans="1:4" x14ac:dyDescent="0.2">
      <c r="A812" s="55">
        <v>727</v>
      </c>
      <c r="B812" s="56">
        <v>13033</v>
      </c>
      <c r="C812" s="57" t="s">
        <v>213</v>
      </c>
      <c r="D812" s="58">
        <v>1</v>
      </c>
    </row>
    <row r="813" spans="1:4" x14ac:dyDescent="0.2">
      <c r="A813" s="55">
        <v>728</v>
      </c>
      <c r="B813" s="56">
        <v>13034</v>
      </c>
      <c r="C813" s="57" t="s">
        <v>214</v>
      </c>
      <c r="D813" s="58">
        <v>2</v>
      </c>
    </row>
    <row r="814" spans="1:4" x14ac:dyDescent="0.2">
      <c r="A814" s="55">
        <v>729</v>
      </c>
      <c r="B814" s="56">
        <v>13035</v>
      </c>
      <c r="C814" s="57" t="s">
        <v>213</v>
      </c>
      <c r="D814" s="58">
        <v>2</v>
      </c>
    </row>
    <row r="815" spans="1:4" x14ac:dyDescent="0.2">
      <c r="A815" s="55">
        <v>729</v>
      </c>
      <c r="B815" s="56">
        <v>13036</v>
      </c>
      <c r="C815" s="57" t="s">
        <v>213</v>
      </c>
      <c r="D815" s="58">
        <v>1</v>
      </c>
    </row>
    <row r="816" spans="1:4" x14ac:dyDescent="0.2">
      <c r="A816" s="55">
        <v>730</v>
      </c>
      <c r="B816" s="56">
        <v>13037</v>
      </c>
      <c r="C816" s="57" t="s">
        <v>214</v>
      </c>
      <c r="D816" s="58">
        <v>2</v>
      </c>
    </row>
    <row r="817" spans="1:4" x14ac:dyDescent="0.2">
      <c r="A817" s="55">
        <v>731</v>
      </c>
      <c r="B817" s="56">
        <v>13038</v>
      </c>
      <c r="C817" s="57" t="s">
        <v>213</v>
      </c>
      <c r="D817" s="58">
        <v>2</v>
      </c>
    </row>
    <row r="818" spans="1:4" x14ac:dyDescent="0.2">
      <c r="A818" s="55">
        <v>731</v>
      </c>
      <c r="B818" s="56">
        <v>13039</v>
      </c>
      <c r="C818" s="57" t="s">
        <v>213</v>
      </c>
      <c r="D818" s="58">
        <v>1</v>
      </c>
    </row>
    <row r="819" spans="1:4" x14ac:dyDescent="0.2">
      <c r="A819" s="55">
        <v>732</v>
      </c>
      <c r="B819" s="56">
        <v>13040</v>
      </c>
      <c r="C819" s="57" t="s">
        <v>214</v>
      </c>
      <c r="D819" s="58">
        <v>2</v>
      </c>
    </row>
    <row r="820" spans="1:4" x14ac:dyDescent="0.2">
      <c r="A820" s="55">
        <v>733</v>
      </c>
      <c r="B820" s="56">
        <v>13041</v>
      </c>
      <c r="C820" s="57" t="s">
        <v>213</v>
      </c>
      <c r="D820" s="58">
        <v>2</v>
      </c>
    </row>
    <row r="821" spans="1:4" x14ac:dyDescent="0.2">
      <c r="A821" s="55">
        <v>733</v>
      </c>
      <c r="B821" s="56">
        <v>13042</v>
      </c>
      <c r="C821" s="57" t="s">
        <v>213</v>
      </c>
      <c r="D821" s="58">
        <v>1</v>
      </c>
    </row>
    <row r="822" spans="1:4" x14ac:dyDescent="0.2">
      <c r="A822" s="55">
        <v>734</v>
      </c>
      <c r="B822" s="56">
        <v>13043</v>
      </c>
      <c r="C822" s="57" t="s">
        <v>214</v>
      </c>
      <c r="D822" s="58">
        <v>2</v>
      </c>
    </row>
    <row r="823" spans="1:4" x14ac:dyDescent="0.2">
      <c r="A823" s="55">
        <v>735</v>
      </c>
      <c r="B823" s="56">
        <v>13044</v>
      </c>
      <c r="C823" s="57" t="s">
        <v>213</v>
      </c>
      <c r="D823" s="58">
        <v>2</v>
      </c>
    </row>
    <row r="824" spans="1:4" x14ac:dyDescent="0.2">
      <c r="A824" s="55">
        <v>735</v>
      </c>
      <c r="B824" s="56">
        <v>13045</v>
      </c>
      <c r="C824" s="57" t="s">
        <v>213</v>
      </c>
      <c r="D824" s="58">
        <v>1</v>
      </c>
    </row>
    <row r="825" spans="1:4" x14ac:dyDescent="0.2">
      <c r="A825" s="55">
        <v>736</v>
      </c>
      <c r="B825" s="56">
        <v>13046</v>
      </c>
      <c r="C825" s="57" t="s">
        <v>214</v>
      </c>
      <c r="D825" s="58">
        <v>2</v>
      </c>
    </row>
    <row r="826" spans="1:4" x14ac:dyDescent="0.2">
      <c r="A826" s="55">
        <v>737</v>
      </c>
      <c r="B826" s="56">
        <v>13047</v>
      </c>
      <c r="C826" s="57" t="s">
        <v>213</v>
      </c>
      <c r="D826" s="58">
        <v>2</v>
      </c>
    </row>
    <row r="827" spans="1:4" x14ac:dyDescent="0.2">
      <c r="A827" s="55">
        <v>737</v>
      </c>
      <c r="B827" s="56">
        <v>13048</v>
      </c>
      <c r="C827" s="57" t="s">
        <v>213</v>
      </c>
      <c r="D827" s="58">
        <v>1</v>
      </c>
    </row>
    <row r="828" spans="1:4" x14ac:dyDescent="0.2">
      <c r="A828" s="55">
        <v>738</v>
      </c>
      <c r="B828" s="56">
        <v>13049</v>
      </c>
      <c r="C828" s="57" t="s">
        <v>214</v>
      </c>
      <c r="D828" s="58">
        <v>2</v>
      </c>
    </row>
    <row r="829" spans="1:4" x14ac:dyDescent="0.2">
      <c r="A829" s="55">
        <v>739</v>
      </c>
      <c r="B829" s="56">
        <v>13050</v>
      </c>
      <c r="C829" s="57" t="s">
        <v>213</v>
      </c>
      <c r="D829" s="58">
        <v>2</v>
      </c>
    </row>
    <row r="830" spans="1:4" x14ac:dyDescent="0.2">
      <c r="A830" s="55">
        <v>739</v>
      </c>
      <c r="B830" s="56">
        <v>13051</v>
      </c>
      <c r="C830" s="57" t="s">
        <v>213</v>
      </c>
      <c r="D830" s="58">
        <v>1</v>
      </c>
    </row>
    <row r="831" spans="1:4" x14ac:dyDescent="0.2">
      <c r="A831" s="55">
        <v>740</v>
      </c>
      <c r="B831" s="56">
        <v>13052</v>
      </c>
      <c r="C831" s="57" t="s">
        <v>214</v>
      </c>
      <c r="D831" s="58">
        <v>2</v>
      </c>
    </row>
    <row r="832" spans="1:4" x14ac:dyDescent="0.2">
      <c r="A832" s="55">
        <v>741</v>
      </c>
      <c r="B832" s="56">
        <v>13053</v>
      </c>
      <c r="C832" s="57" t="s">
        <v>213</v>
      </c>
      <c r="D832" s="58">
        <v>2</v>
      </c>
    </row>
    <row r="833" spans="1:4" x14ac:dyDescent="0.2">
      <c r="A833" s="55">
        <v>741</v>
      </c>
      <c r="B833" s="56">
        <v>13054</v>
      </c>
      <c r="C833" s="57" t="s">
        <v>213</v>
      </c>
      <c r="D833" s="58">
        <v>1</v>
      </c>
    </row>
    <row r="834" spans="1:4" x14ac:dyDescent="0.2">
      <c r="A834" s="55">
        <v>742</v>
      </c>
      <c r="B834" s="56">
        <v>13055</v>
      </c>
      <c r="C834" s="57" t="s">
        <v>214</v>
      </c>
      <c r="D834" s="58">
        <v>2</v>
      </c>
    </row>
    <row r="835" spans="1:4" x14ac:dyDescent="0.2">
      <c r="A835" s="55">
        <v>743</v>
      </c>
      <c r="B835" s="56">
        <v>13056</v>
      </c>
      <c r="C835" s="57" t="s">
        <v>213</v>
      </c>
      <c r="D835" s="58">
        <v>2</v>
      </c>
    </row>
    <row r="836" spans="1:4" x14ac:dyDescent="0.2">
      <c r="A836" s="55">
        <v>743</v>
      </c>
      <c r="B836" s="56">
        <v>13057</v>
      </c>
      <c r="C836" s="57" t="s">
        <v>213</v>
      </c>
      <c r="D836" s="58">
        <v>1</v>
      </c>
    </row>
    <row r="837" spans="1:4" x14ac:dyDescent="0.2">
      <c r="A837" s="55">
        <v>744</v>
      </c>
      <c r="B837" s="56">
        <v>13058</v>
      </c>
      <c r="C837" s="57" t="s">
        <v>214</v>
      </c>
      <c r="D837" s="58">
        <v>2</v>
      </c>
    </row>
    <row r="838" spans="1:4" x14ac:dyDescent="0.2">
      <c r="A838" s="55">
        <v>745</v>
      </c>
      <c r="B838" s="56">
        <v>13059</v>
      </c>
      <c r="C838" s="57" t="s">
        <v>213</v>
      </c>
      <c r="D838" s="58">
        <v>2</v>
      </c>
    </row>
    <row r="839" spans="1:4" x14ac:dyDescent="0.2">
      <c r="A839" s="55">
        <v>745</v>
      </c>
      <c r="B839" s="56">
        <v>13060</v>
      </c>
      <c r="C839" s="57" t="s">
        <v>213</v>
      </c>
      <c r="D839" s="58">
        <v>1</v>
      </c>
    </row>
    <row r="840" spans="1:4" x14ac:dyDescent="0.2">
      <c r="A840" s="55">
        <v>746</v>
      </c>
      <c r="B840" s="56">
        <v>13061</v>
      </c>
      <c r="C840" s="57" t="s">
        <v>214</v>
      </c>
      <c r="D840" s="58">
        <v>2</v>
      </c>
    </row>
    <row r="841" spans="1:4" x14ac:dyDescent="0.2">
      <c r="A841" s="55">
        <v>747</v>
      </c>
      <c r="B841" s="56">
        <v>13062</v>
      </c>
      <c r="C841" s="57" t="s">
        <v>213</v>
      </c>
      <c r="D841" s="58">
        <v>2</v>
      </c>
    </row>
    <row r="842" spans="1:4" x14ac:dyDescent="0.2">
      <c r="A842" s="55">
        <v>747</v>
      </c>
      <c r="B842" s="56">
        <v>13063</v>
      </c>
      <c r="C842" s="57" t="s">
        <v>213</v>
      </c>
      <c r="D842" s="58">
        <v>1</v>
      </c>
    </row>
    <row r="843" spans="1:4" x14ac:dyDescent="0.2">
      <c r="A843" s="55">
        <v>748</v>
      </c>
      <c r="B843" s="56">
        <v>13064</v>
      </c>
      <c r="C843" s="57" t="s">
        <v>213</v>
      </c>
      <c r="D843" s="58">
        <v>2</v>
      </c>
    </row>
    <row r="844" spans="1:4" x14ac:dyDescent="0.2">
      <c r="A844" s="55">
        <v>748</v>
      </c>
      <c r="B844" s="56">
        <v>13065</v>
      </c>
      <c r="C844" s="57" t="s">
        <v>213</v>
      </c>
      <c r="D844" s="58">
        <v>1</v>
      </c>
    </row>
    <row r="845" spans="1:4" x14ac:dyDescent="0.2">
      <c r="A845" s="55">
        <v>749</v>
      </c>
      <c r="B845" s="56">
        <v>13066</v>
      </c>
      <c r="C845" s="57" t="s">
        <v>214</v>
      </c>
      <c r="D845" s="58">
        <v>2</v>
      </c>
    </row>
    <row r="846" spans="1:4" x14ac:dyDescent="0.2">
      <c r="A846" s="55">
        <v>752</v>
      </c>
      <c r="B846" s="56">
        <v>13011</v>
      </c>
      <c r="C846" s="57" t="s">
        <v>213</v>
      </c>
      <c r="D846" s="58">
        <v>2</v>
      </c>
    </row>
    <row r="847" spans="1:4" x14ac:dyDescent="0.2">
      <c r="A847" s="55">
        <v>752</v>
      </c>
      <c r="B847" s="56">
        <v>13012</v>
      </c>
      <c r="C847" s="57" t="s">
        <v>213</v>
      </c>
      <c r="D847" s="58">
        <v>1</v>
      </c>
    </row>
    <row r="848" spans="1:4" x14ac:dyDescent="0.2">
      <c r="A848" s="55">
        <v>753</v>
      </c>
      <c r="B848" s="56">
        <v>13013</v>
      </c>
      <c r="C848" s="57" t="s">
        <v>215</v>
      </c>
      <c r="D848" s="58">
        <v>2</v>
      </c>
    </row>
    <row r="849" spans="1:4" x14ac:dyDescent="0.2">
      <c r="A849" s="55">
        <v>754</v>
      </c>
      <c r="B849" s="56">
        <v>13014</v>
      </c>
      <c r="C849" s="57" t="s">
        <v>213</v>
      </c>
      <c r="D849" s="58">
        <v>2</v>
      </c>
    </row>
    <row r="850" spans="1:4" x14ac:dyDescent="0.2">
      <c r="A850" s="55">
        <v>754</v>
      </c>
      <c r="B850" s="56">
        <v>13015</v>
      </c>
      <c r="C850" s="57" t="s">
        <v>213</v>
      </c>
      <c r="D850" s="58">
        <v>1</v>
      </c>
    </row>
    <row r="851" spans="1:4" x14ac:dyDescent="0.2">
      <c r="A851" s="55">
        <v>755</v>
      </c>
      <c r="B851" s="56">
        <v>13016</v>
      </c>
      <c r="C851" s="57" t="s">
        <v>215</v>
      </c>
      <c r="D851" s="58">
        <v>2</v>
      </c>
    </row>
    <row r="852" spans="1:4" x14ac:dyDescent="0.2">
      <c r="A852" s="55">
        <v>756</v>
      </c>
      <c r="B852" s="56">
        <v>13017</v>
      </c>
      <c r="C852" s="57" t="s">
        <v>213</v>
      </c>
      <c r="D852" s="58">
        <v>2</v>
      </c>
    </row>
    <row r="853" spans="1:4" x14ac:dyDescent="0.2">
      <c r="A853" s="55">
        <v>756</v>
      </c>
      <c r="B853" s="56">
        <v>13018</v>
      </c>
      <c r="C853" s="57" t="s">
        <v>213</v>
      </c>
      <c r="D853" s="58">
        <v>1</v>
      </c>
    </row>
    <row r="854" spans="1:4" x14ac:dyDescent="0.2">
      <c r="A854" s="55">
        <v>757</v>
      </c>
      <c r="B854" s="56">
        <v>13019</v>
      </c>
      <c r="C854" s="57" t="s">
        <v>215</v>
      </c>
      <c r="D854" s="58">
        <v>2</v>
      </c>
    </row>
    <row r="855" spans="1:4" x14ac:dyDescent="0.2">
      <c r="A855" s="55">
        <v>758</v>
      </c>
      <c r="B855" s="56">
        <v>13020</v>
      </c>
      <c r="C855" s="57" t="s">
        <v>213</v>
      </c>
      <c r="D855" s="58">
        <v>2</v>
      </c>
    </row>
    <row r="856" spans="1:4" x14ac:dyDescent="0.2">
      <c r="A856" s="55">
        <v>758</v>
      </c>
      <c r="B856" s="56">
        <v>13021</v>
      </c>
      <c r="C856" s="57" t="s">
        <v>213</v>
      </c>
      <c r="D856" s="58">
        <v>1</v>
      </c>
    </row>
    <row r="857" spans="1:4" x14ac:dyDescent="0.2">
      <c r="A857" s="55">
        <v>759</v>
      </c>
      <c r="B857" s="56">
        <v>13022</v>
      </c>
      <c r="C857" s="57" t="s">
        <v>215</v>
      </c>
      <c r="D857" s="58">
        <v>2</v>
      </c>
    </row>
    <row r="858" spans="1:4" x14ac:dyDescent="0.2">
      <c r="A858" s="55">
        <v>760</v>
      </c>
      <c r="B858" s="56">
        <v>13023</v>
      </c>
      <c r="C858" s="57" t="s">
        <v>213</v>
      </c>
      <c r="D858" s="58">
        <v>2</v>
      </c>
    </row>
    <row r="859" spans="1:4" x14ac:dyDescent="0.2">
      <c r="A859" s="55">
        <v>760</v>
      </c>
      <c r="B859" s="56">
        <v>13024</v>
      </c>
      <c r="C859" s="57" t="s">
        <v>213</v>
      </c>
      <c r="D859" s="58">
        <v>1</v>
      </c>
    </row>
    <row r="860" spans="1:4" x14ac:dyDescent="0.2">
      <c r="A860" s="55">
        <v>761</v>
      </c>
      <c r="B860" s="56">
        <v>13025</v>
      </c>
      <c r="C860" s="57" t="s">
        <v>215</v>
      </c>
      <c r="D860" s="58">
        <v>2</v>
      </c>
    </row>
    <row r="861" spans="1:4" x14ac:dyDescent="0.2">
      <c r="A861" s="55">
        <v>762</v>
      </c>
      <c r="B861" s="56">
        <v>13026</v>
      </c>
      <c r="C861" s="57" t="s">
        <v>213</v>
      </c>
      <c r="D861" s="58">
        <v>2</v>
      </c>
    </row>
    <row r="862" spans="1:4" x14ac:dyDescent="0.2">
      <c r="A862" s="55">
        <v>762</v>
      </c>
      <c r="B862" s="56">
        <v>13027</v>
      </c>
      <c r="C862" s="57" t="s">
        <v>213</v>
      </c>
      <c r="D862" s="58">
        <v>1</v>
      </c>
    </row>
    <row r="863" spans="1:4" x14ac:dyDescent="0.2">
      <c r="A863" s="55">
        <v>763</v>
      </c>
      <c r="B863" s="56">
        <v>13028</v>
      </c>
      <c r="C863" s="57" t="s">
        <v>215</v>
      </c>
      <c r="D863" s="58">
        <v>2</v>
      </c>
    </row>
    <row r="864" spans="1:4" x14ac:dyDescent="0.2">
      <c r="A864" s="55">
        <v>764</v>
      </c>
      <c r="B864" s="56">
        <v>13002</v>
      </c>
      <c r="C864" s="57" t="s">
        <v>213</v>
      </c>
      <c r="D864" s="58">
        <v>2</v>
      </c>
    </row>
    <row r="865" spans="1:4" x14ac:dyDescent="0.2">
      <c r="A865" s="55">
        <v>764</v>
      </c>
      <c r="B865" s="56">
        <v>13003</v>
      </c>
      <c r="C865" s="57" t="s">
        <v>213</v>
      </c>
      <c r="D865" s="58">
        <v>1</v>
      </c>
    </row>
    <row r="866" spans="1:4" x14ac:dyDescent="0.2">
      <c r="A866" s="55">
        <v>765</v>
      </c>
      <c r="B866" s="56">
        <v>13004</v>
      </c>
      <c r="C866" s="57" t="s">
        <v>215</v>
      </c>
      <c r="D866" s="58">
        <v>2</v>
      </c>
    </row>
    <row r="867" spans="1:4" x14ac:dyDescent="0.2">
      <c r="A867" s="55">
        <v>766</v>
      </c>
      <c r="B867" s="56">
        <v>13005</v>
      </c>
      <c r="C867" s="57" t="s">
        <v>213</v>
      </c>
      <c r="D867" s="58">
        <v>2</v>
      </c>
    </row>
    <row r="868" spans="1:4" x14ac:dyDescent="0.2">
      <c r="A868" s="55">
        <v>766</v>
      </c>
      <c r="B868" s="56">
        <v>13006</v>
      </c>
      <c r="C868" s="57" t="s">
        <v>213</v>
      </c>
      <c r="D868" s="58">
        <v>1</v>
      </c>
    </row>
    <row r="869" spans="1:4" x14ac:dyDescent="0.2">
      <c r="A869" s="55">
        <v>767</v>
      </c>
      <c r="B869" s="56">
        <v>13007</v>
      </c>
      <c r="C869" s="57" t="s">
        <v>215</v>
      </c>
      <c r="D869" s="58">
        <v>2</v>
      </c>
    </row>
    <row r="870" spans="1:4" x14ac:dyDescent="0.2">
      <c r="A870" s="55">
        <v>768</v>
      </c>
      <c r="B870" s="56">
        <v>13008</v>
      </c>
      <c r="C870" s="57" t="s">
        <v>213</v>
      </c>
      <c r="D870" s="58">
        <v>2</v>
      </c>
    </row>
    <row r="871" spans="1:4" x14ac:dyDescent="0.2">
      <c r="A871" s="55">
        <v>768</v>
      </c>
      <c r="B871" s="56">
        <v>13009</v>
      </c>
      <c r="C871" s="57" t="s">
        <v>213</v>
      </c>
      <c r="D871" s="58">
        <v>1</v>
      </c>
    </row>
    <row r="872" spans="1:4" x14ac:dyDescent="0.2">
      <c r="A872" s="55">
        <v>769</v>
      </c>
      <c r="B872" s="56">
        <v>13010</v>
      </c>
      <c r="C872" s="57" t="s">
        <v>215</v>
      </c>
      <c r="D872" s="58">
        <v>2</v>
      </c>
    </row>
    <row r="873" spans="1:4" x14ac:dyDescent="0.2">
      <c r="A873" s="55">
        <v>770</v>
      </c>
      <c r="B873" s="56">
        <v>13001</v>
      </c>
      <c r="C873" s="57" t="s">
        <v>216</v>
      </c>
      <c r="D873" s="58">
        <v>2</v>
      </c>
    </row>
    <row r="874" spans="1:4" x14ac:dyDescent="0.2">
      <c r="A874" s="55">
        <v>775</v>
      </c>
      <c r="B874" s="56">
        <v>334</v>
      </c>
      <c r="C874" s="57" t="s">
        <v>217</v>
      </c>
      <c r="D874" s="58" t="s">
        <v>37</v>
      </c>
    </row>
    <row r="875" spans="1:4" x14ac:dyDescent="0.2">
      <c r="A875" s="55">
        <v>776</v>
      </c>
      <c r="B875" s="56">
        <v>335</v>
      </c>
      <c r="C875" s="57" t="s">
        <v>217</v>
      </c>
      <c r="D875" s="58" t="s">
        <v>37</v>
      </c>
    </row>
    <row r="876" spans="1:4" x14ac:dyDescent="0.2">
      <c r="A876" s="55">
        <v>781</v>
      </c>
      <c r="B876" s="56">
        <v>327</v>
      </c>
      <c r="C876" s="57" t="s">
        <v>213</v>
      </c>
      <c r="D876" s="58" t="s">
        <v>37</v>
      </c>
    </row>
    <row r="877" spans="1:4" x14ac:dyDescent="0.2">
      <c r="A877" s="55">
        <v>782</v>
      </c>
      <c r="B877" s="56">
        <v>13069</v>
      </c>
      <c r="C877" s="57" t="s">
        <v>213</v>
      </c>
      <c r="D877" s="58">
        <v>1</v>
      </c>
    </row>
    <row r="878" spans="1:4" x14ac:dyDescent="0.2">
      <c r="A878" s="55">
        <v>783</v>
      </c>
      <c r="B878" s="56">
        <v>13072</v>
      </c>
      <c r="C878" s="57" t="s">
        <v>213</v>
      </c>
      <c r="D878" s="58">
        <v>1</v>
      </c>
    </row>
    <row r="879" spans="1:4" x14ac:dyDescent="0.2">
      <c r="A879" s="55">
        <v>784</v>
      </c>
      <c r="B879" s="56">
        <v>13075</v>
      </c>
      <c r="C879" s="57" t="s">
        <v>213</v>
      </c>
      <c r="D879" s="58">
        <v>1</v>
      </c>
    </row>
    <row r="880" spans="1:4" x14ac:dyDescent="0.2">
      <c r="A880" s="55">
        <v>785</v>
      </c>
      <c r="B880" s="56">
        <v>13078</v>
      </c>
      <c r="C880" s="57" t="s">
        <v>213</v>
      </c>
      <c r="D880" s="58">
        <v>1</v>
      </c>
    </row>
    <row r="881" spans="1:4" x14ac:dyDescent="0.2">
      <c r="A881" s="55">
        <v>786</v>
      </c>
      <c r="B881" s="56">
        <v>13081</v>
      </c>
      <c r="C881" s="57" t="s">
        <v>213</v>
      </c>
      <c r="D881" s="58">
        <v>1</v>
      </c>
    </row>
    <row r="882" spans="1:4" x14ac:dyDescent="0.2">
      <c r="A882" s="55">
        <v>787</v>
      </c>
      <c r="B882" s="56">
        <v>13082</v>
      </c>
      <c r="C882" s="57" t="s">
        <v>218</v>
      </c>
      <c r="D882" s="58">
        <v>2</v>
      </c>
    </row>
    <row r="883" spans="1:4" x14ac:dyDescent="0.2">
      <c r="A883" s="55">
        <v>787</v>
      </c>
      <c r="B883" s="56">
        <v>13083</v>
      </c>
      <c r="C883" s="57" t="s">
        <v>218</v>
      </c>
      <c r="D883" s="58">
        <v>1</v>
      </c>
    </row>
    <row r="884" spans="1:4" x14ac:dyDescent="0.2">
      <c r="A884" s="55">
        <v>788</v>
      </c>
      <c r="B884" s="56">
        <v>13084</v>
      </c>
      <c r="C884" s="57" t="s">
        <v>219</v>
      </c>
      <c r="D884" s="58">
        <v>1</v>
      </c>
    </row>
    <row r="885" spans="1:4" x14ac:dyDescent="0.2">
      <c r="A885" s="55">
        <v>789</v>
      </c>
      <c r="B885" s="56">
        <v>13085</v>
      </c>
      <c r="C885" s="57" t="s">
        <v>220</v>
      </c>
      <c r="D885" s="58">
        <v>2</v>
      </c>
    </row>
    <row r="886" spans="1:4" x14ac:dyDescent="0.2">
      <c r="A886" s="55">
        <v>789</v>
      </c>
      <c r="B886" s="56">
        <v>13086</v>
      </c>
      <c r="C886" s="57" t="s">
        <v>220</v>
      </c>
      <c r="D886" s="58">
        <v>1</v>
      </c>
    </row>
    <row r="887" spans="1:4" x14ac:dyDescent="0.2">
      <c r="A887" s="55">
        <v>790</v>
      </c>
      <c r="B887" s="56">
        <v>13087</v>
      </c>
      <c r="C887" s="57" t="s">
        <v>221</v>
      </c>
      <c r="D887" s="58">
        <v>1</v>
      </c>
    </row>
    <row r="888" spans="1:4" x14ac:dyDescent="0.2">
      <c r="A888" s="55">
        <v>791</v>
      </c>
      <c r="B888" s="56">
        <v>13088</v>
      </c>
      <c r="C888" s="57" t="s">
        <v>222</v>
      </c>
      <c r="D888" s="58">
        <v>2</v>
      </c>
    </row>
    <row r="889" spans="1:4" x14ac:dyDescent="0.2">
      <c r="A889" s="55">
        <v>791</v>
      </c>
      <c r="B889" s="56">
        <v>13089</v>
      </c>
      <c r="C889" s="57" t="s">
        <v>222</v>
      </c>
      <c r="D889" s="58">
        <v>1</v>
      </c>
    </row>
    <row r="890" spans="1:4" x14ac:dyDescent="0.2">
      <c r="A890" s="55">
        <v>792</v>
      </c>
      <c r="B890" s="56">
        <v>13090</v>
      </c>
      <c r="C890" s="57" t="s">
        <v>223</v>
      </c>
      <c r="D890" s="58">
        <v>1</v>
      </c>
    </row>
    <row r="891" spans="1:4" x14ac:dyDescent="0.2">
      <c r="A891" s="55">
        <v>793</v>
      </c>
      <c r="B891" s="56">
        <v>13091</v>
      </c>
      <c r="C891" s="57" t="s">
        <v>213</v>
      </c>
      <c r="D891" s="58">
        <v>2</v>
      </c>
    </row>
    <row r="892" spans="1:4" x14ac:dyDescent="0.2">
      <c r="A892" s="55">
        <v>793</v>
      </c>
      <c r="B892" s="56">
        <v>13092</v>
      </c>
      <c r="C892" s="57" t="s">
        <v>213</v>
      </c>
      <c r="D892" s="58">
        <v>1</v>
      </c>
    </row>
    <row r="893" spans="1:4" x14ac:dyDescent="0.2">
      <c r="A893" s="55">
        <v>794</v>
      </c>
      <c r="B893" s="56">
        <v>13093</v>
      </c>
      <c r="C893" s="57" t="s">
        <v>214</v>
      </c>
      <c r="D893" s="58">
        <v>2</v>
      </c>
    </row>
    <row r="894" spans="1:4" x14ac:dyDescent="0.2">
      <c r="A894" s="55">
        <v>801</v>
      </c>
      <c r="B894" s="56">
        <v>306</v>
      </c>
      <c r="C894" s="57" t="s">
        <v>140</v>
      </c>
      <c r="D894" s="58">
        <v>1</v>
      </c>
    </row>
    <row r="895" spans="1:4" x14ac:dyDescent="0.2">
      <c r="A895" s="55">
        <v>802</v>
      </c>
      <c r="B895" s="56">
        <v>14005</v>
      </c>
      <c r="C895" s="57" t="s">
        <v>224</v>
      </c>
      <c r="D895" s="58">
        <v>2</v>
      </c>
    </row>
    <row r="896" spans="1:4" x14ac:dyDescent="0.2">
      <c r="A896" s="55">
        <v>802</v>
      </c>
      <c r="B896" s="56">
        <v>14006</v>
      </c>
      <c r="C896" s="57" t="s">
        <v>224</v>
      </c>
      <c r="D896" s="58">
        <v>1</v>
      </c>
    </row>
    <row r="897" spans="1:4" x14ac:dyDescent="0.2">
      <c r="A897" s="55">
        <v>803</v>
      </c>
      <c r="B897" s="56">
        <v>14007</v>
      </c>
      <c r="C897" s="57" t="s">
        <v>225</v>
      </c>
      <c r="D897" s="58" t="s">
        <v>37</v>
      </c>
    </row>
    <row r="898" spans="1:4" x14ac:dyDescent="0.2">
      <c r="A898" s="55">
        <v>804</v>
      </c>
      <c r="B898" s="56">
        <v>14008</v>
      </c>
      <c r="C898" s="57" t="s">
        <v>224</v>
      </c>
      <c r="D898" s="58">
        <v>2</v>
      </c>
    </row>
    <row r="899" spans="1:4" x14ac:dyDescent="0.2">
      <c r="A899" s="55">
        <v>804</v>
      </c>
      <c r="B899" s="56">
        <v>14009</v>
      </c>
      <c r="C899" s="57" t="s">
        <v>224</v>
      </c>
      <c r="D899" s="58">
        <v>1</v>
      </c>
    </row>
    <row r="900" spans="1:4" x14ac:dyDescent="0.2">
      <c r="A900" s="55">
        <v>805</v>
      </c>
      <c r="B900" s="56">
        <v>14010</v>
      </c>
      <c r="C900" s="57" t="s">
        <v>225</v>
      </c>
      <c r="D900" s="58" t="s">
        <v>37</v>
      </c>
    </row>
    <row r="901" spans="1:4" x14ac:dyDescent="0.2">
      <c r="A901" s="55">
        <v>806</v>
      </c>
      <c r="B901" s="56">
        <v>14011</v>
      </c>
      <c r="C901" s="57" t="s">
        <v>224</v>
      </c>
      <c r="D901" s="58">
        <v>2</v>
      </c>
    </row>
    <row r="902" spans="1:4" x14ac:dyDescent="0.2">
      <c r="A902" s="55">
        <v>806</v>
      </c>
      <c r="B902" s="56">
        <v>14012</v>
      </c>
      <c r="C902" s="57" t="s">
        <v>224</v>
      </c>
      <c r="D902" s="58">
        <v>1</v>
      </c>
    </row>
    <row r="903" spans="1:4" x14ac:dyDescent="0.2">
      <c r="A903" s="55">
        <v>807</v>
      </c>
      <c r="B903" s="56">
        <v>14013</v>
      </c>
      <c r="C903" s="57" t="s">
        <v>225</v>
      </c>
      <c r="D903" s="58" t="s">
        <v>37</v>
      </c>
    </row>
    <row r="904" spans="1:4" x14ac:dyDescent="0.2">
      <c r="A904" s="55">
        <v>808</v>
      </c>
      <c r="B904" s="56">
        <v>14017</v>
      </c>
      <c r="C904" s="57" t="s">
        <v>224</v>
      </c>
      <c r="D904" s="58">
        <v>2</v>
      </c>
    </row>
    <row r="905" spans="1:4" x14ac:dyDescent="0.2">
      <c r="A905" s="55">
        <v>808</v>
      </c>
      <c r="B905" s="56">
        <v>14018</v>
      </c>
      <c r="C905" s="57" t="s">
        <v>224</v>
      </c>
      <c r="D905" s="58">
        <v>1</v>
      </c>
    </row>
    <row r="906" spans="1:4" x14ac:dyDescent="0.2">
      <c r="A906" s="55">
        <v>809</v>
      </c>
      <c r="B906" s="56">
        <v>14019</v>
      </c>
      <c r="C906" s="57" t="s">
        <v>225</v>
      </c>
      <c r="D906" s="58" t="s">
        <v>37</v>
      </c>
    </row>
    <row r="907" spans="1:4" x14ac:dyDescent="0.2">
      <c r="A907" s="55">
        <v>810</v>
      </c>
      <c r="B907" s="56">
        <v>14020</v>
      </c>
      <c r="C907" s="57" t="s">
        <v>224</v>
      </c>
      <c r="D907" s="58">
        <v>2</v>
      </c>
    </row>
    <row r="908" spans="1:4" x14ac:dyDescent="0.2">
      <c r="A908" s="55">
        <v>810</v>
      </c>
      <c r="B908" s="56">
        <v>14021</v>
      </c>
      <c r="C908" s="57" t="s">
        <v>224</v>
      </c>
      <c r="D908" s="58">
        <v>1</v>
      </c>
    </row>
    <row r="909" spans="1:4" x14ac:dyDescent="0.2">
      <c r="A909" s="55">
        <v>811</v>
      </c>
      <c r="B909" s="56">
        <v>14022</v>
      </c>
      <c r="C909" s="57" t="s">
        <v>225</v>
      </c>
      <c r="D909" s="58" t="s">
        <v>37</v>
      </c>
    </row>
    <row r="910" spans="1:4" x14ac:dyDescent="0.2">
      <c r="A910" s="55">
        <v>812</v>
      </c>
      <c r="B910" s="56">
        <v>14023</v>
      </c>
      <c r="C910" s="57" t="s">
        <v>224</v>
      </c>
      <c r="D910" s="58">
        <v>2</v>
      </c>
    </row>
    <row r="911" spans="1:4" x14ac:dyDescent="0.2">
      <c r="A911" s="55">
        <v>812</v>
      </c>
      <c r="B911" s="56">
        <v>14024</v>
      </c>
      <c r="C911" s="57" t="s">
        <v>224</v>
      </c>
      <c r="D911" s="58">
        <v>1</v>
      </c>
    </row>
    <row r="912" spans="1:4" x14ac:dyDescent="0.2">
      <c r="A912" s="55">
        <v>813</v>
      </c>
      <c r="B912" s="56">
        <v>14025</v>
      </c>
      <c r="C912" s="57" t="s">
        <v>225</v>
      </c>
      <c r="D912" s="58" t="s">
        <v>37</v>
      </c>
    </row>
    <row r="913" spans="1:4" x14ac:dyDescent="0.2">
      <c r="A913" s="55">
        <v>814</v>
      </c>
      <c r="B913" s="56">
        <v>14029</v>
      </c>
      <c r="C913" s="57" t="s">
        <v>224</v>
      </c>
      <c r="D913" s="58">
        <v>2</v>
      </c>
    </row>
    <row r="914" spans="1:4" x14ac:dyDescent="0.2">
      <c r="A914" s="55">
        <v>814</v>
      </c>
      <c r="B914" s="56">
        <v>14030</v>
      </c>
      <c r="C914" s="57" t="s">
        <v>224</v>
      </c>
      <c r="D914" s="58">
        <v>1</v>
      </c>
    </row>
    <row r="915" spans="1:4" x14ac:dyDescent="0.2">
      <c r="A915" s="55">
        <v>815</v>
      </c>
      <c r="B915" s="56">
        <v>14031</v>
      </c>
      <c r="C915" s="57" t="s">
        <v>225</v>
      </c>
      <c r="D915" s="58" t="s">
        <v>37</v>
      </c>
    </row>
    <row r="916" spans="1:4" x14ac:dyDescent="0.2">
      <c r="A916" s="55">
        <v>816</v>
      </c>
      <c r="B916" s="56">
        <v>14032</v>
      </c>
      <c r="C916" s="57" t="s">
        <v>224</v>
      </c>
      <c r="D916" s="58">
        <v>2</v>
      </c>
    </row>
    <row r="917" spans="1:4" x14ac:dyDescent="0.2">
      <c r="A917" s="55">
        <v>816</v>
      </c>
      <c r="B917" s="56">
        <v>14033</v>
      </c>
      <c r="C917" s="57" t="s">
        <v>224</v>
      </c>
      <c r="D917" s="58">
        <v>1</v>
      </c>
    </row>
    <row r="918" spans="1:4" x14ac:dyDescent="0.2">
      <c r="A918" s="55">
        <v>817</v>
      </c>
      <c r="B918" s="56">
        <v>14034</v>
      </c>
      <c r="C918" s="57" t="s">
        <v>225</v>
      </c>
      <c r="D918" s="58" t="s">
        <v>37</v>
      </c>
    </row>
    <row r="919" spans="1:4" x14ac:dyDescent="0.2">
      <c r="A919" s="55">
        <v>818</v>
      </c>
      <c r="B919" s="56">
        <v>14035</v>
      </c>
      <c r="C919" s="57" t="s">
        <v>224</v>
      </c>
      <c r="D919" s="58">
        <v>2</v>
      </c>
    </row>
    <row r="920" spans="1:4" x14ac:dyDescent="0.2">
      <c r="A920" s="55">
        <v>818</v>
      </c>
      <c r="B920" s="56">
        <v>14036</v>
      </c>
      <c r="C920" s="57" t="s">
        <v>224</v>
      </c>
      <c r="D920" s="58">
        <v>1</v>
      </c>
    </row>
    <row r="921" spans="1:4" x14ac:dyDescent="0.2">
      <c r="A921" s="55">
        <v>819</v>
      </c>
      <c r="B921" s="56">
        <v>14037</v>
      </c>
      <c r="C921" s="57" t="s">
        <v>225</v>
      </c>
      <c r="D921" s="58" t="s">
        <v>37</v>
      </c>
    </row>
    <row r="922" spans="1:4" x14ac:dyDescent="0.2">
      <c r="A922" s="55">
        <v>820</v>
      </c>
      <c r="B922" s="56">
        <v>14042</v>
      </c>
      <c r="C922" s="57" t="s">
        <v>224</v>
      </c>
      <c r="D922" s="58">
        <v>2</v>
      </c>
    </row>
    <row r="923" spans="1:4" x14ac:dyDescent="0.2">
      <c r="A923" s="55">
        <v>820</v>
      </c>
      <c r="B923" s="56">
        <v>14043</v>
      </c>
      <c r="C923" s="57" t="s">
        <v>224</v>
      </c>
      <c r="D923" s="58">
        <v>1</v>
      </c>
    </row>
    <row r="924" spans="1:4" x14ac:dyDescent="0.2">
      <c r="A924" s="55">
        <v>821</v>
      </c>
      <c r="B924" s="56">
        <v>14044</v>
      </c>
      <c r="C924" s="57" t="s">
        <v>225</v>
      </c>
      <c r="D924" s="58" t="s">
        <v>37</v>
      </c>
    </row>
    <row r="925" spans="1:4" x14ac:dyDescent="0.2">
      <c r="A925" s="55">
        <v>822</v>
      </c>
      <c r="B925" s="56">
        <v>14045</v>
      </c>
      <c r="C925" s="57" t="s">
        <v>224</v>
      </c>
      <c r="D925" s="58">
        <v>2</v>
      </c>
    </row>
    <row r="926" spans="1:4" x14ac:dyDescent="0.2">
      <c r="A926" s="55">
        <v>822</v>
      </c>
      <c r="B926" s="56">
        <v>14046</v>
      </c>
      <c r="C926" s="57" t="s">
        <v>224</v>
      </c>
      <c r="D926" s="58">
        <v>1</v>
      </c>
    </row>
    <row r="927" spans="1:4" x14ac:dyDescent="0.2">
      <c r="A927" s="55">
        <v>823</v>
      </c>
      <c r="B927" s="56">
        <v>14047</v>
      </c>
      <c r="C927" s="57" t="s">
        <v>225</v>
      </c>
      <c r="D927" s="58" t="s">
        <v>37</v>
      </c>
    </row>
    <row r="928" spans="1:4" x14ac:dyDescent="0.2">
      <c r="A928" s="55">
        <v>824</v>
      </c>
      <c r="B928" s="56">
        <v>14048</v>
      </c>
      <c r="C928" s="57" t="s">
        <v>224</v>
      </c>
      <c r="D928" s="58">
        <v>2</v>
      </c>
    </row>
    <row r="929" spans="1:4" x14ac:dyDescent="0.2">
      <c r="A929" s="55">
        <v>824</v>
      </c>
      <c r="B929" s="56">
        <v>14049</v>
      </c>
      <c r="C929" s="57" t="s">
        <v>224</v>
      </c>
      <c r="D929" s="58">
        <v>1</v>
      </c>
    </row>
    <row r="930" spans="1:4" x14ac:dyDescent="0.2">
      <c r="A930" s="55">
        <v>825</v>
      </c>
      <c r="B930" s="56">
        <v>14050</v>
      </c>
      <c r="C930" s="57" t="s">
        <v>225</v>
      </c>
      <c r="D930" s="58" t="s">
        <v>37</v>
      </c>
    </row>
    <row r="931" spans="1:4" x14ac:dyDescent="0.2">
      <c r="A931" s="55">
        <v>826</v>
      </c>
      <c r="B931" s="56">
        <v>14069</v>
      </c>
      <c r="C931" s="57" t="s">
        <v>224</v>
      </c>
      <c r="D931" s="58">
        <v>2</v>
      </c>
    </row>
    <row r="932" spans="1:4" x14ac:dyDescent="0.2">
      <c r="A932" s="55">
        <v>826</v>
      </c>
      <c r="B932" s="56">
        <v>14070</v>
      </c>
      <c r="C932" s="57" t="s">
        <v>224</v>
      </c>
      <c r="D932" s="58">
        <v>1</v>
      </c>
    </row>
    <row r="933" spans="1:4" x14ac:dyDescent="0.2">
      <c r="A933" s="55">
        <v>827</v>
      </c>
      <c r="B933" s="56">
        <v>14071</v>
      </c>
      <c r="C933" s="57" t="s">
        <v>225</v>
      </c>
      <c r="D933" s="58" t="s">
        <v>37</v>
      </c>
    </row>
    <row r="934" spans="1:4" x14ac:dyDescent="0.2">
      <c r="A934" s="55">
        <v>828</v>
      </c>
      <c r="B934" s="56">
        <v>14072</v>
      </c>
      <c r="C934" s="57" t="s">
        <v>224</v>
      </c>
      <c r="D934" s="58">
        <v>2</v>
      </c>
    </row>
    <row r="935" spans="1:4" x14ac:dyDescent="0.2">
      <c r="A935" s="55">
        <v>828</v>
      </c>
      <c r="B935" s="56">
        <v>14073</v>
      </c>
      <c r="C935" s="57" t="s">
        <v>224</v>
      </c>
      <c r="D935" s="58">
        <v>1</v>
      </c>
    </row>
    <row r="936" spans="1:4" x14ac:dyDescent="0.2">
      <c r="A936" s="55">
        <v>829</v>
      </c>
      <c r="B936" s="56">
        <v>14074</v>
      </c>
      <c r="C936" s="57" t="s">
        <v>225</v>
      </c>
      <c r="D936" s="58" t="s">
        <v>37</v>
      </c>
    </row>
    <row r="937" spans="1:4" x14ac:dyDescent="0.2">
      <c r="A937" s="55">
        <v>830</v>
      </c>
      <c r="B937" s="56">
        <v>14075</v>
      </c>
      <c r="C937" s="57" t="s">
        <v>224</v>
      </c>
      <c r="D937" s="58">
        <v>2</v>
      </c>
    </row>
    <row r="938" spans="1:4" x14ac:dyDescent="0.2">
      <c r="A938" s="55">
        <v>830</v>
      </c>
      <c r="B938" s="56">
        <v>14076</v>
      </c>
      <c r="C938" s="57" t="s">
        <v>224</v>
      </c>
      <c r="D938" s="58">
        <v>1</v>
      </c>
    </row>
    <row r="939" spans="1:4" x14ac:dyDescent="0.2">
      <c r="A939" s="55">
        <v>831</v>
      </c>
      <c r="B939" s="56">
        <v>14077</v>
      </c>
      <c r="C939" s="57" t="s">
        <v>225</v>
      </c>
      <c r="D939" s="58" t="s">
        <v>37</v>
      </c>
    </row>
    <row r="940" spans="1:4" x14ac:dyDescent="0.2">
      <c r="A940" s="55">
        <v>832</v>
      </c>
      <c r="B940" s="56">
        <v>14085</v>
      </c>
      <c r="C940" s="57" t="s">
        <v>224</v>
      </c>
      <c r="D940" s="58">
        <v>2</v>
      </c>
    </row>
    <row r="941" spans="1:4" x14ac:dyDescent="0.2">
      <c r="A941" s="55">
        <v>832</v>
      </c>
      <c r="B941" s="56">
        <v>14086</v>
      </c>
      <c r="C941" s="57" t="s">
        <v>224</v>
      </c>
      <c r="D941" s="58">
        <v>1</v>
      </c>
    </row>
    <row r="942" spans="1:4" x14ac:dyDescent="0.2">
      <c r="A942" s="55">
        <v>833</v>
      </c>
      <c r="B942" s="56">
        <v>14087</v>
      </c>
      <c r="C942" s="57" t="s">
        <v>225</v>
      </c>
      <c r="D942" s="58" t="s">
        <v>37</v>
      </c>
    </row>
    <row r="943" spans="1:4" x14ac:dyDescent="0.2">
      <c r="A943" s="55">
        <v>834</v>
      </c>
      <c r="B943" s="56">
        <v>14088</v>
      </c>
      <c r="C943" s="57" t="s">
        <v>224</v>
      </c>
      <c r="D943" s="58">
        <v>2</v>
      </c>
    </row>
    <row r="944" spans="1:4" x14ac:dyDescent="0.2">
      <c r="A944" s="55">
        <v>834</v>
      </c>
      <c r="B944" s="56">
        <v>14089</v>
      </c>
      <c r="C944" s="57" t="s">
        <v>224</v>
      </c>
      <c r="D944" s="58">
        <v>1</v>
      </c>
    </row>
    <row r="945" spans="1:4" x14ac:dyDescent="0.2">
      <c r="A945" s="55">
        <v>835</v>
      </c>
      <c r="B945" s="56">
        <v>14090</v>
      </c>
      <c r="C945" s="57" t="s">
        <v>225</v>
      </c>
      <c r="D945" s="58" t="s">
        <v>37</v>
      </c>
    </row>
    <row r="946" spans="1:4" x14ac:dyDescent="0.2">
      <c r="A946" s="55">
        <v>836</v>
      </c>
      <c r="B946" s="56">
        <v>14091</v>
      </c>
      <c r="C946" s="57" t="s">
        <v>224</v>
      </c>
      <c r="D946" s="58">
        <v>2</v>
      </c>
    </row>
    <row r="947" spans="1:4" x14ac:dyDescent="0.2">
      <c r="A947" s="55">
        <v>836</v>
      </c>
      <c r="B947" s="56">
        <v>14092</v>
      </c>
      <c r="C947" s="57" t="s">
        <v>224</v>
      </c>
      <c r="D947" s="58">
        <v>1</v>
      </c>
    </row>
    <row r="948" spans="1:4" x14ac:dyDescent="0.2">
      <c r="A948" s="55">
        <v>837</v>
      </c>
      <c r="B948" s="56">
        <v>14093</v>
      </c>
      <c r="C948" s="57" t="s">
        <v>225</v>
      </c>
      <c r="D948" s="58" t="s">
        <v>37</v>
      </c>
    </row>
    <row r="949" spans="1:4" x14ac:dyDescent="0.2">
      <c r="A949" s="55">
        <v>838</v>
      </c>
      <c r="B949" s="56">
        <v>14094</v>
      </c>
      <c r="C949" s="57" t="s">
        <v>224</v>
      </c>
      <c r="D949" s="58">
        <v>2</v>
      </c>
    </row>
    <row r="950" spans="1:4" x14ac:dyDescent="0.2">
      <c r="A950" s="55">
        <v>838</v>
      </c>
      <c r="B950" s="56">
        <v>14095</v>
      </c>
      <c r="C950" s="57" t="s">
        <v>224</v>
      </c>
      <c r="D950" s="58">
        <v>1</v>
      </c>
    </row>
    <row r="951" spans="1:4" x14ac:dyDescent="0.2">
      <c r="A951" s="55">
        <v>839</v>
      </c>
      <c r="B951" s="56">
        <v>14096</v>
      </c>
      <c r="C951" s="57" t="s">
        <v>225</v>
      </c>
      <c r="D951" s="58" t="s">
        <v>37</v>
      </c>
    </row>
    <row r="952" spans="1:4" x14ac:dyDescent="0.2">
      <c r="A952" s="55">
        <v>840</v>
      </c>
      <c r="B952" s="56">
        <v>14110</v>
      </c>
      <c r="C952" s="57" t="s">
        <v>224</v>
      </c>
      <c r="D952" s="58">
        <v>2</v>
      </c>
    </row>
    <row r="953" spans="1:4" x14ac:dyDescent="0.2">
      <c r="A953" s="55">
        <v>840</v>
      </c>
      <c r="B953" s="56">
        <v>14111</v>
      </c>
      <c r="C953" s="57" t="s">
        <v>224</v>
      </c>
      <c r="D953" s="58">
        <v>1</v>
      </c>
    </row>
    <row r="954" spans="1:4" x14ac:dyDescent="0.2">
      <c r="A954" s="55">
        <v>841</v>
      </c>
      <c r="B954" s="56">
        <v>14112</v>
      </c>
      <c r="C954" s="57" t="s">
        <v>225</v>
      </c>
      <c r="D954" s="58" t="s">
        <v>37</v>
      </c>
    </row>
    <row r="955" spans="1:4" x14ac:dyDescent="0.2">
      <c r="A955" s="55">
        <v>842</v>
      </c>
      <c r="B955" s="56">
        <v>14113</v>
      </c>
      <c r="C955" s="57" t="s">
        <v>224</v>
      </c>
      <c r="D955" s="58">
        <v>2</v>
      </c>
    </row>
    <row r="956" spans="1:4" x14ac:dyDescent="0.2">
      <c r="A956" s="55">
        <v>842</v>
      </c>
      <c r="B956" s="56">
        <v>14114</v>
      </c>
      <c r="C956" s="57" t="s">
        <v>224</v>
      </c>
      <c r="D956" s="58">
        <v>1</v>
      </c>
    </row>
    <row r="957" spans="1:4" x14ac:dyDescent="0.2">
      <c r="A957" s="55">
        <v>843</v>
      </c>
      <c r="B957" s="56">
        <v>14115</v>
      </c>
      <c r="C957" s="57" t="s">
        <v>225</v>
      </c>
      <c r="D957" s="58" t="s">
        <v>37</v>
      </c>
    </row>
    <row r="958" spans="1:4" x14ac:dyDescent="0.2">
      <c r="A958" s="55">
        <v>844</v>
      </c>
      <c r="B958" s="56">
        <v>14116</v>
      </c>
      <c r="C958" s="57" t="s">
        <v>224</v>
      </c>
      <c r="D958" s="58">
        <v>2</v>
      </c>
    </row>
    <row r="959" spans="1:4" x14ac:dyDescent="0.2">
      <c r="A959" s="55">
        <v>844</v>
      </c>
      <c r="B959" s="56">
        <v>14117</v>
      </c>
      <c r="C959" s="57" t="s">
        <v>224</v>
      </c>
      <c r="D959" s="58">
        <v>1</v>
      </c>
    </row>
    <row r="960" spans="1:4" x14ac:dyDescent="0.2">
      <c r="A960" s="55">
        <v>845</v>
      </c>
      <c r="B960" s="56">
        <v>14118</v>
      </c>
      <c r="C960" s="57" t="s">
        <v>225</v>
      </c>
      <c r="D960" s="58" t="s">
        <v>37</v>
      </c>
    </row>
    <row r="961" spans="1:4" x14ac:dyDescent="0.2">
      <c r="A961" s="55">
        <v>846</v>
      </c>
      <c r="B961" s="56">
        <v>14138</v>
      </c>
      <c r="C961" s="57" t="s">
        <v>224</v>
      </c>
      <c r="D961" s="58">
        <v>2</v>
      </c>
    </row>
    <row r="962" spans="1:4" x14ac:dyDescent="0.2">
      <c r="A962" s="55">
        <v>846</v>
      </c>
      <c r="B962" s="56">
        <v>14139</v>
      </c>
      <c r="C962" s="57" t="s">
        <v>224</v>
      </c>
      <c r="D962" s="58">
        <v>1</v>
      </c>
    </row>
    <row r="963" spans="1:4" x14ac:dyDescent="0.2">
      <c r="A963" s="55">
        <v>847</v>
      </c>
      <c r="B963" s="56">
        <v>14140</v>
      </c>
      <c r="C963" s="57" t="s">
        <v>225</v>
      </c>
      <c r="D963" s="58" t="s">
        <v>37</v>
      </c>
    </row>
    <row r="964" spans="1:4" x14ac:dyDescent="0.2">
      <c r="A964" s="55">
        <v>848</v>
      </c>
      <c r="B964" s="56">
        <v>14141</v>
      </c>
      <c r="C964" s="57" t="s">
        <v>224</v>
      </c>
      <c r="D964" s="58">
        <v>2</v>
      </c>
    </row>
    <row r="965" spans="1:4" x14ac:dyDescent="0.2">
      <c r="A965" s="55">
        <v>848</v>
      </c>
      <c r="B965" s="56">
        <v>14142</v>
      </c>
      <c r="C965" s="57" t="s">
        <v>224</v>
      </c>
      <c r="D965" s="58">
        <v>1</v>
      </c>
    </row>
    <row r="966" spans="1:4" x14ac:dyDescent="0.2">
      <c r="A966" s="55">
        <v>849</v>
      </c>
      <c r="B966" s="56">
        <v>14143</v>
      </c>
      <c r="C966" s="57" t="s">
        <v>225</v>
      </c>
      <c r="D966" s="58" t="s">
        <v>37</v>
      </c>
    </row>
    <row r="967" spans="1:4" x14ac:dyDescent="0.2">
      <c r="A967" s="55">
        <v>850</v>
      </c>
      <c r="B967" s="56">
        <v>14014</v>
      </c>
      <c r="C967" s="57" t="s">
        <v>225</v>
      </c>
      <c r="D967" s="58" t="s">
        <v>37</v>
      </c>
    </row>
    <row r="968" spans="1:4" x14ac:dyDescent="0.2">
      <c r="A968" s="55">
        <v>851</v>
      </c>
      <c r="B968" s="56">
        <v>14038</v>
      </c>
      <c r="C968" s="57" t="s">
        <v>225</v>
      </c>
      <c r="D968" s="58" t="s">
        <v>37</v>
      </c>
    </row>
    <row r="969" spans="1:4" x14ac:dyDescent="0.2">
      <c r="A969" s="55">
        <v>852</v>
      </c>
      <c r="B969" s="56">
        <v>14001</v>
      </c>
      <c r="C969" s="57" t="s">
        <v>224</v>
      </c>
      <c r="D969" s="58">
        <v>2</v>
      </c>
    </row>
    <row r="970" spans="1:4" x14ac:dyDescent="0.2">
      <c r="A970" s="55">
        <v>852</v>
      </c>
      <c r="B970" s="56">
        <v>14002</v>
      </c>
      <c r="C970" s="57" t="s">
        <v>224</v>
      </c>
      <c r="D970" s="58">
        <v>1</v>
      </c>
    </row>
    <row r="971" spans="1:4" x14ac:dyDescent="0.2">
      <c r="A971" s="55">
        <v>853</v>
      </c>
      <c r="B971" s="56">
        <v>14081</v>
      </c>
      <c r="C971" s="57" t="s">
        <v>224</v>
      </c>
      <c r="D971" s="58">
        <v>2</v>
      </c>
    </row>
    <row r="972" spans="1:4" x14ac:dyDescent="0.2">
      <c r="A972" s="55">
        <v>853</v>
      </c>
      <c r="B972" s="56">
        <v>14082</v>
      </c>
      <c r="C972" s="57" t="s">
        <v>224</v>
      </c>
      <c r="D972" s="58">
        <v>1</v>
      </c>
    </row>
    <row r="973" spans="1:4" x14ac:dyDescent="0.2">
      <c r="A973" s="55">
        <v>854</v>
      </c>
      <c r="B973" s="56">
        <v>14083</v>
      </c>
      <c r="C973" s="57" t="s">
        <v>224</v>
      </c>
      <c r="D973" s="58">
        <v>2</v>
      </c>
    </row>
    <row r="974" spans="1:4" x14ac:dyDescent="0.2">
      <c r="A974" s="55">
        <v>854</v>
      </c>
      <c r="B974" s="56">
        <v>14084</v>
      </c>
      <c r="C974" s="57" t="s">
        <v>224</v>
      </c>
      <c r="D974" s="58">
        <v>1</v>
      </c>
    </row>
    <row r="975" spans="1:4" x14ac:dyDescent="0.2">
      <c r="A975" s="55">
        <v>855</v>
      </c>
      <c r="B975" s="56">
        <v>14103</v>
      </c>
      <c r="C975" s="57" t="s">
        <v>224</v>
      </c>
      <c r="D975" s="58">
        <v>2</v>
      </c>
    </row>
    <row r="976" spans="1:4" x14ac:dyDescent="0.2">
      <c r="A976" s="55">
        <v>855</v>
      </c>
      <c r="B976" s="56">
        <v>14104</v>
      </c>
      <c r="C976" s="57" t="s">
        <v>224</v>
      </c>
      <c r="D976" s="58">
        <v>1</v>
      </c>
    </row>
    <row r="977" spans="1:4" x14ac:dyDescent="0.2">
      <c r="A977" s="55">
        <v>856</v>
      </c>
      <c r="B977" s="56">
        <v>14105</v>
      </c>
      <c r="C977" s="57" t="s">
        <v>224</v>
      </c>
      <c r="D977" s="58">
        <v>2</v>
      </c>
    </row>
    <row r="978" spans="1:4" x14ac:dyDescent="0.2">
      <c r="A978" s="55">
        <v>856</v>
      </c>
      <c r="B978" s="56">
        <v>14106</v>
      </c>
      <c r="C978" s="57" t="s">
        <v>224</v>
      </c>
      <c r="D978" s="58">
        <v>1</v>
      </c>
    </row>
    <row r="979" spans="1:4" x14ac:dyDescent="0.2">
      <c r="A979" s="55">
        <v>857</v>
      </c>
      <c r="B979" s="56">
        <v>14015</v>
      </c>
      <c r="C979" s="57" t="s">
        <v>224</v>
      </c>
      <c r="D979" s="58">
        <v>2</v>
      </c>
    </row>
    <row r="980" spans="1:4" x14ac:dyDescent="0.2">
      <c r="A980" s="55">
        <v>857</v>
      </c>
      <c r="B980" s="56">
        <v>14016</v>
      </c>
      <c r="C980" s="57" t="s">
        <v>224</v>
      </c>
      <c r="D980" s="58">
        <v>1</v>
      </c>
    </row>
    <row r="981" spans="1:4" x14ac:dyDescent="0.2">
      <c r="A981" s="55">
        <v>858</v>
      </c>
      <c r="B981" s="56">
        <v>14039</v>
      </c>
      <c r="C981" s="57" t="s">
        <v>224</v>
      </c>
      <c r="D981" s="58">
        <v>2</v>
      </c>
    </row>
    <row r="982" spans="1:4" x14ac:dyDescent="0.2">
      <c r="A982" s="55">
        <v>858</v>
      </c>
      <c r="B982" s="56">
        <v>14040</v>
      </c>
      <c r="C982" s="57" t="s">
        <v>224</v>
      </c>
      <c r="D982" s="58">
        <v>1</v>
      </c>
    </row>
    <row r="983" spans="1:4" x14ac:dyDescent="0.2">
      <c r="A983" s="55">
        <v>859</v>
      </c>
      <c r="B983" s="56">
        <v>14003</v>
      </c>
      <c r="C983" s="57" t="s">
        <v>224</v>
      </c>
      <c r="D983" s="58">
        <v>2</v>
      </c>
    </row>
    <row r="984" spans="1:4" x14ac:dyDescent="0.2">
      <c r="A984" s="55">
        <v>859</v>
      </c>
      <c r="B984" s="56">
        <v>14004</v>
      </c>
      <c r="C984" s="57" t="s">
        <v>224</v>
      </c>
      <c r="D984" s="58">
        <v>1</v>
      </c>
    </row>
    <row r="985" spans="1:4" x14ac:dyDescent="0.2">
      <c r="A985" s="55">
        <v>860</v>
      </c>
      <c r="B985" s="56">
        <v>14026</v>
      </c>
      <c r="C985" s="57" t="s">
        <v>224</v>
      </c>
      <c r="D985" s="58">
        <v>2</v>
      </c>
    </row>
    <row r="986" spans="1:4" x14ac:dyDescent="0.2">
      <c r="A986" s="55">
        <v>860</v>
      </c>
      <c r="B986" s="56">
        <v>14027</v>
      </c>
      <c r="C986" s="57" t="s">
        <v>224</v>
      </c>
      <c r="D986" s="58">
        <v>1</v>
      </c>
    </row>
    <row r="987" spans="1:4" x14ac:dyDescent="0.2">
      <c r="A987" s="55">
        <v>861</v>
      </c>
      <c r="B987" s="56">
        <v>14051</v>
      </c>
      <c r="C987" s="57" t="s">
        <v>224</v>
      </c>
      <c r="D987" s="58">
        <v>2</v>
      </c>
    </row>
    <row r="988" spans="1:4" x14ac:dyDescent="0.2">
      <c r="A988" s="55">
        <v>861</v>
      </c>
      <c r="B988" s="56">
        <v>14052</v>
      </c>
      <c r="C988" s="57" t="s">
        <v>224</v>
      </c>
      <c r="D988" s="58">
        <v>1</v>
      </c>
    </row>
    <row r="989" spans="1:4" x14ac:dyDescent="0.2">
      <c r="A989" s="55">
        <v>862</v>
      </c>
      <c r="B989" s="56">
        <v>14107</v>
      </c>
      <c r="C989" s="57" t="s">
        <v>224</v>
      </c>
      <c r="D989" s="58">
        <v>2</v>
      </c>
    </row>
    <row r="990" spans="1:4" x14ac:dyDescent="0.2">
      <c r="A990" s="55">
        <v>862</v>
      </c>
      <c r="B990" s="56">
        <v>14108</v>
      </c>
      <c r="C990" s="57" t="s">
        <v>224</v>
      </c>
      <c r="D990" s="58">
        <v>1</v>
      </c>
    </row>
    <row r="991" spans="1:4" x14ac:dyDescent="0.2">
      <c r="A991" s="55">
        <v>863</v>
      </c>
      <c r="B991" s="56">
        <v>14054</v>
      </c>
      <c r="C991" s="57" t="s">
        <v>224</v>
      </c>
      <c r="D991" s="58">
        <v>2</v>
      </c>
    </row>
    <row r="992" spans="1:4" x14ac:dyDescent="0.2">
      <c r="A992" s="55">
        <v>863</v>
      </c>
      <c r="B992" s="56">
        <v>14055</v>
      </c>
      <c r="C992" s="57" t="s">
        <v>224</v>
      </c>
      <c r="D992" s="58">
        <v>1</v>
      </c>
    </row>
    <row r="993" spans="1:4" x14ac:dyDescent="0.2">
      <c r="A993" s="55">
        <v>864</v>
      </c>
      <c r="B993" s="56">
        <v>14121</v>
      </c>
      <c r="C993" s="57" t="s">
        <v>224</v>
      </c>
      <c r="D993" s="58">
        <v>2</v>
      </c>
    </row>
    <row r="994" spans="1:4" x14ac:dyDescent="0.2">
      <c r="A994" s="55">
        <v>864</v>
      </c>
      <c r="B994" s="56">
        <v>14122</v>
      </c>
      <c r="C994" s="57" t="s">
        <v>224</v>
      </c>
      <c r="D994" s="58">
        <v>1</v>
      </c>
    </row>
    <row r="995" spans="1:4" x14ac:dyDescent="0.2">
      <c r="A995" s="55">
        <v>865</v>
      </c>
      <c r="B995" s="56">
        <v>14057</v>
      </c>
      <c r="C995" s="57" t="s">
        <v>224</v>
      </c>
      <c r="D995" s="58">
        <v>2</v>
      </c>
    </row>
    <row r="996" spans="1:4" x14ac:dyDescent="0.2">
      <c r="A996" s="55">
        <v>865</v>
      </c>
      <c r="B996" s="56">
        <v>14058</v>
      </c>
      <c r="C996" s="57" t="s">
        <v>224</v>
      </c>
      <c r="D996" s="58">
        <v>1</v>
      </c>
    </row>
    <row r="997" spans="1:4" x14ac:dyDescent="0.2">
      <c r="A997" s="55">
        <v>866</v>
      </c>
      <c r="B997" s="56">
        <v>14059</v>
      </c>
      <c r="C997" s="57" t="s">
        <v>225</v>
      </c>
      <c r="D997" s="58" t="s">
        <v>37</v>
      </c>
    </row>
    <row r="998" spans="1:4" x14ac:dyDescent="0.2">
      <c r="A998" s="55">
        <v>867</v>
      </c>
      <c r="B998" s="56">
        <v>14060</v>
      </c>
      <c r="C998" s="57" t="s">
        <v>224</v>
      </c>
      <c r="D998" s="58">
        <v>2</v>
      </c>
    </row>
    <row r="999" spans="1:4" x14ac:dyDescent="0.2">
      <c r="A999" s="55">
        <v>867</v>
      </c>
      <c r="B999" s="56">
        <v>14061</v>
      </c>
      <c r="C999" s="57" t="s">
        <v>224</v>
      </c>
      <c r="D999" s="58">
        <v>1</v>
      </c>
    </row>
    <row r="1000" spans="1:4" x14ac:dyDescent="0.2">
      <c r="A1000" s="55">
        <v>868</v>
      </c>
      <c r="B1000" s="56">
        <v>14062</v>
      </c>
      <c r="C1000" s="57" t="s">
        <v>225</v>
      </c>
      <c r="D1000" s="58" t="s">
        <v>37</v>
      </c>
    </row>
    <row r="1001" spans="1:4" x14ac:dyDescent="0.2">
      <c r="A1001" s="55">
        <v>869</v>
      </c>
      <c r="B1001" s="56">
        <v>14063</v>
      </c>
      <c r="C1001" s="57" t="s">
        <v>224</v>
      </c>
      <c r="D1001" s="58">
        <v>2</v>
      </c>
    </row>
    <row r="1002" spans="1:4" x14ac:dyDescent="0.2">
      <c r="A1002" s="55">
        <v>869</v>
      </c>
      <c r="B1002" s="56">
        <v>14064</v>
      </c>
      <c r="C1002" s="57" t="s">
        <v>224</v>
      </c>
      <c r="D1002" s="58">
        <v>1</v>
      </c>
    </row>
    <row r="1003" spans="1:4" x14ac:dyDescent="0.2">
      <c r="A1003" s="55">
        <v>870</v>
      </c>
      <c r="B1003" s="56">
        <v>14065</v>
      </c>
      <c r="C1003" s="57" t="s">
        <v>225</v>
      </c>
      <c r="D1003" s="58" t="s">
        <v>37</v>
      </c>
    </row>
    <row r="1004" spans="1:4" x14ac:dyDescent="0.2">
      <c r="A1004" s="55">
        <v>871</v>
      </c>
      <c r="B1004" s="56">
        <v>14066</v>
      </c>
      <c r="C1004" s="57" t="s">
        <v>224</v>
      </c>
      <c r="D1004" s="58">
        <v>2</v>
      </c>
    </row>
    <row r="1005" spans="1:4" x14ac:dyDescent="0.2">
      <c r="A1005" s="55">
        <v>871</v>
      </c>
      <c r="B1005" s="56">
        <v>14067</v>
      </c>
      <c r="C1005" s="57" t="s">
        <v>224</v>
      </c>
      <c r="D1005" s="58">
        <v>1</v>
      </c>
    </row>
    <row r="1006" spans="1:4" x14ac:dyDescent="0.2">
      <c r="A1006" s="55">
        <v>872</v>
      </c>
      <c r="B1006" s="56">
        <v>14068</v>
      </c>
      <c r="C1006" s="57" t="s">
        <v>225</v>
      </c>
      <c r="D1006" s="58" t="s">
        <v>37</v>
      </c>
    </row>
    <row r="1007" spans="1:4" x14ac:dyDescent="0.2">
      <c r="A1007" s="55">
        <v>873</v>
      </c>
      <c r="B1007" s="56">
        <v>14078</v>
      </c>
      <c r="C1007" s="57" t="s">
        <v>224</v>
      </c>
      <c r="D1007" s="58">
        <v>2</v>
      </c>
    </row>
    <row r="1008" spans="1:4" x14ac:dyDescent="0.2">
      <c r="A1008" s="55">
        <v>873</v>
      </c>
      <c r="B1008" s="56">
        <v>14079</v>
      </c>
      <c r="C1008" s="57" t="s">
        <v>224</v>
      </c>
      <c r="D1008" s="58">
        <v>1</v>
      </c>
    </row>
    <row r="1009" spans="1:4" x14ac:dyDescent="0.2">
      <c r="A1009" s="55">
        <v>874</v>
      </c>
      <c r="B1009" s="56">
        <v>14080</v>
      </c>
      <c r="C1009" s="57" t="s">
        <v>225</v>
      </c>
      <c r="D1009" s="58" t="s">
        <v>37</v>
      </c>
    </row>
    <row r="1010" spans="1:4" x14ac:dyDescent="0.2">
      <c r="A1010" s="55">
        <v>875</v>
      </c>
      <c r="B1010" s="56">
        <v>14100</v>
      </c>
      <c r="C1010" s="57" t="s">
        <v>224</v>
      </c>
      <c r="D1010" s="58">
        <v>2</v>
      </c>
    </row>
    <row r="1011" spans="1:4" x14ac:dyDescent="0.2">
      <c r="A1011" s="55">
        <v>875</v>
      </c>
      <c r="B1011" s="56">
        <v>14101</v>
      </c>
      <c r="C1011" s="57" t="s">
        <v>224</v>
      </c>
      <c r="D1011" s="58">
        <v>1</v>
      </c>
    </row>
    <row r="1012" spans="1:4" x14ac:dyDescent="0.2">
      <c r="A1012" s="55">
        <v>876</v>
      </c>
      <c r="B1012" s="56">
        <v>14102</v>
      </c>
      <c r="C1012" s="57" t="s">
        <v>225</v>
      </c>
      <c r="D1012" s="58" t="s">
        <v>37</v>
      </c>
    </row>
    <row r="1013" spans="1:4" x14ac:dyDescent="0.2">
      <c r="A1013" s="55">
        <v>877</v>
      </c>
      <c r="B1013" s="56">
        <v>14123</v>
      </c>
      <c r="C1013" s="57" t="s">
        <v>224</v>
      </c>
      <c r="D1013" s="58">
        <v>2</v>
      </c>
    </row>
    <row r="1014" spans="1:4" x14ac:dyDescent="0.2">
      <c r="A1014" s="55">
        <v>877</v>
      </c>
      <c r="B1014" s="56">
        <v>14124</v>
      </c>
      <c r="C1014" s="57" t="s">
        <v>224</v>
      </c>
      <c r="D1014" s="58">
        <v>1</v>
      </c>
    </row>
    <row r="1015" spans="1:4" x14ac:dyDescent="0.2">
      <c r="A1015" s="55">
        <v>878</v>
      </c>
      <c r="B1015" s="56">
        <v>14125</v>
      </c>
      <c r="C1015" s="57" t="s">
        <v>225</v>
      </c>
      <c r="D1015" s="58" t="s">
        <v>37</v>
      </c>
    </row>
    <row r="1016" spans="1:4" x14ac:dyDescent="0.2">
      <c r="A1016" s="55">
        <v>879</v>
      </c>
      <c r="B1016" s="56">
        <v>14126</v>
      </c>
      <c r="C1016" s="57" t="s">
        <v>224</v>
      </c>
      <c r="D1016" s="58">
        <v>2</v>
      </c>
    </row>
    <row r="1017" spans="1:4" x14ac:dyDescent="0.2">
      <c r="A1017" s="55">
        <v>879</v>
      </c>
      <c r="B1017" s="56">
        <v>14127</v>
      </c>
      <c r="C1017" s="57" t="s">
        <v>224</v>
      </c>
      <c r="D1017" s="58">
        <v>1</v>
      </c>
    </row>
    <row r="1018" spans="1:4" x14ac:dyDescent="0.2">
      <c r="A1018" s="55">
        <v>880</v>
      </c>
      <c r="B1018" s="56">
        <v>14128</v>
      </c>
      <c r="C1018" s="57" t="s">
        <v>225</v>
      </c>
      <c r="D1018" s="58" t="s">
        <v>37</v>
      </c>
    </row>
    <row r="1019" spans="1:4" x14ac:dyDescent="0.2">
      <c r="A1019" s="55">
        <v>881</v>
      </c>
      <c r="B1019" s="56">
        <v>14129</v>
      </c>
      <c r="C1019" s="57" t="s">
        <v>224</v>
      </c>
      <c r="D1019" s="58">
        <v>2</v>
      </c>
    </row>
    <row r="1020" spans="1:4" x14ac:dyDescent="0.2">
      <c r="A1020" s="55">
        <v>881</v>
      </c>
      <c r="B1020" s="56">
        <v>14130</v>
      </c>
      <c r="C1020" s="57" t="s">
        <v>224</v>
      </c>
      <c r="D1020" s="58">
        <v>1</v>
      </c>
    </row>
    <row r="1021" spans="1:4" x14ac:dyDescent="0.2">
      <c r="A1021" s="55">
        <v>882</v>
      </c>
      <c r="B1021" s="56">
        <v>14131</v>
      </c>
      <c r="C1021" s="57" t="s">
        <v>225</v>
      </c>
      <c r="D1021" s="58" t="s">
        <v>37</v>
      </c>
    </row>
    <row r="1022" spans="1:4" x14ac:dyDescent="0.2">
      <c r="A1022" s="55">
        <v>883</v>
      </c>
      <c r="B1022" s="56">
        <v>14132</v>
      </c>
      <c r="C1022" s="57" t="s">
        <v>224</v>
      </c>
      <c r="D1022" s="58">
        <v>2</v>
      </c>
    </row>
    <row r="1023" spans="1:4" x14ac:dyDescent="0.2">
      <c r="A1023" s="55">
        <v>883</v>
      </c>
      <c r="B1023" s="56">
        <v>14133</v>
      </c>
      <c r="C1023" s="57" t="s">
        <v>224</v>
      </c>
      <c r="D1023" s="58">
        <v>1</v>
      </c>
    </row>
    <row r="1024" spans="1:4" x14ac:dyDescent="0.2">
      <c r="A1024" s="55">
        <v>884</v>
      </c>
      <c r="B1024" s="56">
        <v>14134</v>
      </c>
      <c r="C1024" s="57" t="s">
        <v>225</v>
      </c>
      <c r="D1024" s="58" t="s">
        <v>37</v>
      </c>
    </row>
    <row r="1025" spans="1:4" x14ac:dyDescent="0.2">
      <c r="A1025" s="55">
        <v>885</v>
      </c>
      <c r="B1025" s="56">
        <v>14135</v>
      </c>
      <c r="C1025" s="57" t="s">
        <v>224</v>
      </c>
      <c r="D1025" s="58">
        <v>2</v>
      </c>
    </row>
    <row r="1026" spans="1:4" x14ac:dyDescent="0.2">
      <c r="A1026" s="55">
        <v>885</v>
      </c>
      <c r="B1026" s="56">
        <v>14136</v>
      </c>
      <c r="C1026" s="57" t="s">
        <v>224</v>
      </c>
      <c r="D1026" s="58">
        <v>1</v>
      </c>
    </row>
    <row r="1027" spans="1:4" x14ac:dyDescent="0.2">
      <c r="A1027" s="55">
        <v>886</v>
      </c>
      <c r="B1027" s="56">
        <v>14137</v>
      </c>
      <c r="C1027" s="57" t="s">
        <v>225</v>
      </c>
      <c r="D1027" s="58" t="s">
        <v>37</v>
      </c>
    </row>
    <row r="1028" spans="1:4" x14ac:dyDescent="0.2">
      <c r="A1028" s="55">
        <v>887</v>
      </c>
      <c r="B1028" s="56">
        <v>14144</v>
      </c>
      <c r="C1028" s="57" t="s">
        <v>224</v>
      </c>
      <c r="D1028" s="58">
        <v>2</v>
      </c>
    </row>
    <row r="1029" spans="1:4" x14ac:dyDescent="0.2">
      <c r="A1029" s="55">
        <v>887</v>
      </c>
      <c r="B1029" s="56">
        <v>14145</v>
      </c>
      <c r="C1029" s="57" t="s">
        <v>224</v>
      </c>
      <c r="D1029" s="58">
        <v>1</v>
      </c>
    </row>
    <row r="1030" spans="1:4" x14ac:dyDescent="0.2">
      <c r="A1030" s="55">
        <v>888</v>
      </c>
      <c r="B1030" s="56">
        <v>14146</v>
      </c>
      <c r="C1030" s="57" t="s">
        <v>225</v>
      </c>
      <c r="D1030" s="58" t="s">
        <v>37</v>
      </c>
    </row>
    <row r="1031" spans="1:4" x14ac:dyDescent="0.2">
      <c r="A1031" s="55">
        <v>889</v>
      </c>
      <c r="B1031" s="56">
        <v>278</v>
      </c>
      <c r="C1031" s="57" t="s">
        <v>224</v>
      </c>
      <c r="D1031" s="58">
        <v>2</v>
      </c>
    </row>
    <row r="1032" spans="1:4" x14ac:dyDescent="0.2">
      <c r="A1032" s="55">
        <v>889</v>
      </c>
      <c r="B1032" s="56">
        <v>289</v>
      </c>
      <c r="C1032" s="57" t="s">
        <v>224</v>
      </c>
      <c r="D1032" s="58">
        <v>1</v>
      </c>
    </row>
    <row r="1033" spans="1:4" x14ac:dyDescent="0.2">
      <c r="A1033" s="55">
        <v>890</v>
      </c>
      <c r="B1033" s="56">
        <v>14028</v>
      </c>
      <c r="C1033" s="57" t="s">
        <v>225</v>
      </c>
      <c r="D1033" s="58" t="s">
        <v>37</v>
      </c>
    </row>
    <row r="1034" spans="1:4" x14ac:dyDescent="0.2">
      <c r="A1034" s="55">
        <v>891</v>
      </c>
      <c r="B1034" s="56">
        <v>14099</v>
      </c>
      <c r="C1034" s="57" t="s">
        <v>225</v>
      </c>
      <c r="D1034" s="58" t="s">
        <v>37</v>
      </c>
    </row>
    <row r="1035" spans="1:4" x14ac:dyDescent="0.2">
      <c r="A1035" s="55">
        <v>892</v>
      </c>
      <c r="B1035" s="56">
        <v>14119</v>
      </c>
      <c r="C1035" s="57" t="s">
        <v>225</v>
      </c>
      <c r="D1035" s="58" t="s">
        <v>37</v>
      </c>
    </row>
    <row r="1036" spans="1:4" x14ac:dyDescent="0.2">
      <c r="A1036" s="55">
        <v>893</v>
      </c>
      <c r="B1036" s="56">
        <v>14120</v>
      </c>
      <c r="C1036" s="57" t="s">
        <v>225</v>
      </c>
      <c r="D1036" s="58" t="s">
        <v>37</v>
      </c>
    </row>
    <row r="1037" spans="1:4" x14ac:dyDescent="0.2">
      <c r="A1037" s="55">
        <v>894</v>
      </c>
      <c r="B1037" s="56">
        <v>300</v>
      </c>
      <c r="C1037" s="57" t="s">
        <v>182</v>
      </c>
      <c r="D1037" s="58" t="s">
        <v>37</v>
      </c>
    </row>
    <row r="1038" spans="1:4" x14ac:dyDescent="0.2">
      <c r="A1038" s="55">
        <v>895</v>
      </c>
      <c r="B1038" s="56">
        <v>311</v>
      </c>
      <c r="C1038" s="57" t="s">
        <v>182</v>
      </c>
      <c r="D1038" s="58" t="s">
        <v>37</v>
      </c>
    </row>
    <row r="1039" spans="1:4" x14ac:dyDescent="0.2">
      <c r="A1039" s="55">
        <v>896</v>
      </c>
      <c r="B1039" s="56">
        <v>312</v>
      </c>
      <c r="C1039" s="57" t="s">
        <v>182</v>
      </c>
      <c r="D1039" s="58" t="s">
        <v>37</v>
      </c>
    </row>
    <row r="1040" spans="1:4" x14ac:dyDescent="0.2">
      <c r="A1040" s="55">
        <v>897</v>
      </c>
      <c r="B1040" s="56">
        <v>14097</v>
      </c>
      <c r="C1040" s="57" t="s">
        <v>225</v>
      </c>
      <c r="D1040" s="58" t="s">
        <v>37</v>
      </c>
    </row>
    <row r="1041" spans="1:4" x14ac:dyDescent="0.2">
      <c r="A1041" s="55">
        <v>898</v>
      </c>
      <c r="B1041" s="56">
        <v>14098</v>
      </c>
      <c r="C1041" s="57" t="s">
        <v>225</v>
      </c>
      <c r="D1041" s="58" t="s">
        <v>37</v>
      </c>
    </row>
    <row r="1042" spans="1:4" x14ac:dyDescent="0.2">
      <c r="A1042" s="55">
        <v>899</v>
      </c>
      <c r="B1042" s="56">
        <v>281</v>
      </c>
      <c r="C1042" s="57" t="s">
        <v>226</v>
      </c>
      <c r="D1042" s="58" t="s">
        <v>37</v>
      </c>
    </row>
    <row r="1043" spans="1:4" x14ac:dyDescent="0.2">
      <c r="A1043" s="55">
        <v>900</v>
      </c>
      <c r="B1043" s="56">
        <v>282</v>
      </c>
      <c r="C1043" s="57" t="s">
        <v>226</v>
      </c>
      <c r="D1043" s="58" t="s">
        <v>37</v>
      </c>
    </row>
    <row r="1044" spans="1:4" x14ac:dyDescent="0.2">
      <c r="A1044" s="55">
        <v>901</v>
      </c>
      <c r="B1044" s="56">
        <v>283</v>
      </c>
      <c r="C1044" s="57" t="s">
        <v>226</v>
      </c>
      <c r="D1044" s="58" t="s">
        <v>37</v>
      </c>
    </row>
    <row r="1045" spans="1:4" x14ac:dyDescent="0.2">
      <c r="A1045" s="55">
        <v>902</v>
      </c>
      <c r="B1045" s="56">
        <v>284</v>
      </c>
      <c r="C1045" s="57" t="s">
        <v>226</v>
      </c>
      <c r="D1045" s="58" t="s">
        <v>37</v>
      </c>
    </row>
    <row r="1046" spans="1:4" x14ac:dyDescent="0.2">
      <c r="A1046" s="55">
        <v>903</v>
      </c>
      <c r="B1046" s="56">
        <v>285</v>
      </c>
      <c r="C1046" s="57" t="s">
        <v>226</v>
      </c>
      <c r="D1046" s="58" t="s">
        <v>37</v>
      </c>
    </row>
    <row r="1047" spans="1:4" x14ac:dyDescent="0.2">
      <c r="A1047" s="55">
        <v>904</v>
      </c>
      <c r="B1047" s="56">
        <v>286</v>
      </c>
      <c r="C1047" s="57" t="s">
        <v>227</v>
      </c>
      <c r="D1047" s="58" t="s">
        <v>37</v>
      </c>
    </row>
    <row r="1048" spans="1:4" x14ac:dyDescent="0.2">
      <c r="A1048" s="55">
        <v>905</v>
      </c>
      <c r="B1048" s="56">
        <v>287</v>
      </c>
      <c r="C1048" s="57" t="s">
        <v>227</v>
      </c>
      <c r="D1048" s="58" t="s">
        <v>37</v>
      </c>
    </row>
    <row r="1049" spans="1:4" x14ac:dyDescent="0.2">
      <c r="A1049" s="55">
        <v>906</v>
      </c>
      <c r="B1049" s="56">
        <v>288</v>
      </c>
      <c r="C1049" s="57" t="s">
        <v>227</v>
      </c>
      <c r="D1049" s="58" t="s">
        <v>37</v>
      </c>
    </row>
    <row r="1050" spans="1:4" x14ac:dyDescent="0.2">
      <c r="A1050" s="55">
        <v>907</v>
      </c>
      <c r="B1050" s="56">
        <v>292</v>
      </c>
      <c r="C1050" s="57" t="s">
        <v>228</v>
      </c>
      <c r="D1050" s="58" t="s">
        <v>37</v>
      </c>
    </row>
    <row r="1051" spans="1:4" x14ac:dyDescent="0.2">
      <c r="A1051" s="55">
        <v>908</v>
      </c>
      <c r="B1051" s="56">
        <v>293</v>
      </c>
      <c r="C1051" s="57" t="s">
        <v>228</v>
      </c>
      <c r="D1051" s="58" t="s">
        <v>37</v>
      </c>
    </row>
    <row r="1052" spans="1:4" x14ac:dyDescent="0.2">
      <c r="A1052" s="55">
        <v>909</v>
      </c>
      <c r="B1052" s="56">
        <v>294</v>
      </c>
      <c r="C1052" s="57" t="s">
        <v>228</v>
      </c>
      <c r="D1052" s="58" t="s">
        <v>37</v>
      </c>
    </row>
    <row r="1053" spans="1:4" x14ac:dyDescent="0.2">
      <c r="A1053" s="55">
        <v>910</v>
      </c>
      <c r="B1053" s="56">
        <v>295</v>
      </c>
      <c r="C1053" s="57" t="s">
        <v>228</v>
      </c>
      <c r="D1053" s="58" t="s">
        <v>37</v>
      </c>
    </row>
    <row r="1054" spans="1:4" x14ac:dyDescent="0.2">
      <c r="A1054" s="55">
        <v>911</v>
      </c>
      <c r="B1054" s="56">
        <v>296</v>
      </c>
      <c r="C1054" s="57" t="s">
        <v>228</v>
      </c>
      <c r="D1054" s="58" t="s">
        <v>37</v>
      </c>
    </row>
    <row r="1055" spans="1:4" x14ac:dyDescent="0.2">
      <c r="A1055" s="55">
        <v>912</v>
      </c>
      <c r="B1055" s="56">
        <v>297</v>
      </c>
      <c r="C1055" s="57" t="s">
        <v>228</v>
      </c>
      <c r="D1055" s="58" t="s">
        <v>37</v>
      </c>
    </row>
    <row r="1056" spans="1:4" x14ac:dyDescent="0.2">
      <c r="A1056" s="55">
        <v>913</v>
      </c>
      <c r="B1056" s="56">
        <v>298</v>
      </c>
      <c r="C1056" s="57" t="s">
        <v>228</v>
      </c>
      <c r="D1056" s="58" t="s">
        <v>37</v>
      </c>
    </row>
    <row r="1057" spans="1:4" x14ac:dyDescent="0.2">
      <c r="A1057" s="55">
        <v>914</v>
      </c>
      <c r="B1057" s="56">
        <v>299</v>
      </c>
      <c r="C1057" s="57" t="s">
        <v>229</v>
      </c>
      <c r="D1057" s="58">
        <v>1</v>
      </c>
    </row>
    <row r="1058" spans="1:4" x14ac:dyDescent="0.2">
      <c r="A1058" s="55">
        <v>915</v>
      </c>
      <c r="B1058" s="56">
        <v>313</v>
      </c>
      <c r="C1058" s="57" t="s">
        <v>182</v>
      </c>
      <c r="D1058" s="58">
        <v>2</v>
      </c>
    </row>
    <row r="1059" spans="1:4" x14ac:dyDescent="0.2">
      <c r="A1059" s="55">
        <v>915</v>
      </c>
      <c r="B1059" s="56">
        <v>314</v>
      </c>
      <c r="C1059" s="57" t="s">
        <v>182</v>
      </c>
      <c r="D1059" s="58">
        <v>1</v>
      </c>
    </row>
    <row r="1060" spans="1:4" x14ac:dyDescent="0.2">
      <c r="A1060" s="55">
        <v>916</v>
      </c>
      <c r="B1060" s="56">
        <v>315</v>
      </c>
      <c r="C1060" s="57" t="s">
        <v>182</v>
      </c>
      <c r="D1060" s="58">
        <v>2</v>
      </c>
    </row>
    <row r="1061" spans="1:4" x14ac:dyDescent="0.2">
      <c r="A1061" s="55">
        <v>916</v>
      </c>
      <c r="B1061" s="56">
        <v>316</v>
      </c>
      <c r="C1061" s="57" t="s">
        <v>182</v>
      </c>
      <c r="D1061" s="58">
        <v>1</v>
      </c>
    </row>
    <row r="1062" spans="1:4" x14ac:dyDescent="0.2">
      <c r="A1062" s="55">
        <v>917</v>
      </c>
      <c r="B1062" s="56">
        <v>279</v>
      </c>
      <c r="C1062" s="57" t="s">
        <v>182</v>
      </c>
      <c r="D1062" s="58">
        <v>2</v>
      </c>
    </row>
    <row r="1063" spans="1:4" x14ac:dyDescent="0.2">
      <c r="A1063" s="55">
        <v>917</v>
      </c>
      <c r="B1063" s="56">
        <v>280</v>
      </c>
      <c r="C1063" s="57" t="s">
        <v>182</v>
      </c>
      <c r="D1063" s="58">
        <v>1</v>
      </c>
    </row>
    <row r="1064" spans="1:4" x14ac:dyDescent="0.2">
      <c r="A1064" s="55">
        <v>918</v>
      </c>
      <c r="B1064" s="56">
        <v>290</v>
      </c>
      <c r="C1064" s="57" t="s">
        <v>117</v>
      </c>
      <c r="D1064" s="58">
        <v>1</v>
      </c>
    </row>
    <row r="1065" spans="1:4" x14ac:dyDescent="0.2">
      <c r="A1065" s="55">
        <v>918</v>
      </c>
      <c r="B1065" s="56">
        <v>291</v>
      </c>
      <c r="C1065" s="57" t="s">
        <v>117</v>
      </c>
      <c r="D1065" s="58">
        <v>1</v>
      </c>
    </row>
    <row r="1066" spans="1:4" x14ac:dyDescent="0.2">
      <c r="A1066" s="55">
        <v>919</v>
      </c>
      <c r="B1066" s="56">
        <v>57</v>
      </c>
      <c r="C1066" s="57" t="s">
        <v>230</v>
      </c>
      <c r="D1066" s="58">
        <v>1</v>
      </c>
    </row>
    <row r="1067" spans="1:4" x14ac:dyDescent="0.2">
      <c r="A1067" s="55">
        <v>919</v>
      </c>
      <c r="B1067" s="56">
        <v>278</v>
      </c>
      <c r="C1067" s="57" t="s">
        <v>230</v>
      </c>
      <c r="D1067" s="58">
        <v>2</v>
      </c>
    </row>
    <row r="1068" spans="1:4" x14ac:dyDescent="0.2">
      <c r="A1068" s="55">
        <v>920</v>
      </c>
      <c r="B1068" s="56">
        <v>57</v>
      </c>
      <c r="C1068" s="57" t="s">
        <v>230</v>
      </c>
      <c r="D1068" s="58">
        <v>1</v>
      </c>
    </row>
    <row r="1069" spans="1:4" x14ac:dyDescent="0.2">
      <c r="A1069" s="55">
        <v>920</v>
      </c>
      <c r="B1069" s="56">
        <v>278</v>
      </c>
      <c r="C1069" s="57" t="s">
        <v>230</v>
      </c>
      <c r="D1069" s="58">
        <v>2</v>
      </c>
    </row>
    <row r="1070" spans="1:4" x14ac:dyDescent="0.2">
      <c r="A1070" s="55">
        <v>922</v>
      </c>
      <c r="B1070" s="56">
        <v>301</v>
      </c>
      <c r="C1070" s="57" t="s">
        <v>140</v>
      </c>
      <c r="D1070" s="58">
        <v>1</v>
      </c>
    </row>
    <row r="1071" spans="1:4" x14ac:dyDescent="0.2">
      <c r="A1071" s="55">
        <v>923</v>
      </c>
      <c r="B1071" s="56">
        <v>302</v>
      </c>
      <c r="C1071" s="57" t="s">
        <v>140</v>
      </c>
      <c r="D1071" s="58">
        <v>1</v>
      </c>
    </row>
    <row r="1072" spans="1:4" x14ac:dyDescent="0.2">
      <c r="A1072" s="55">
        <v>924</v>
      </c>
      <c r="B1072" s="56">
        <v>303</v>
      </c>
      <c r="C1072" s="57" t="s">
        <v>140</v>
      </c>
      <c r="D1072" s="58">
        <v>1</v>
      </c>
    </row>
    <row r="1073" spans="1:4" x14ac:dyDescent="0.2">
      <c r="A1073" s="55">
        <v>925</v>
      </c>
      <c r="B1073" s="56">
        <v>259</v>
      </c>
      <c r="C1073" s="57" t="s">
        <v>231</v>
      </c>
      <c r="D1073" s="58" t="s">
        <v>170</v>
      </c>
    </row>
    <row r="1074" spans="1:4" x14ac:dyDescent="0.2">
      <c r="A1074" s="55">
        <v>925</v>
      </c>
      <c r="B1074" s="56">
        <v>307</v>
      </c>
      <c r="C1074" s="57" t="s">
        <v>231</v>
      </c>
      <c r="D1074" s="58" t="s">
        <v>170</v>
      </c>
    </row>
    <row r="1075" spans="1:4" x14ac:dyDescent="0.2">
      <c r="A1075" s="55">
        <v>926</v>
      </c>
      <c r="B1075" s="56">
        <v>261</v>
      </c>
      <c r="C1075" s="57" t="s">
        <v>171</v>
      </c>
      <c r="D1075" s="58" t="s">
        <v>170</v>
      </c>
    </row>
    <row r="1076" spans="1:4" x14ac:dyDescent="0.2">
      <c r="A1076" s="55">
        <v>926</v>
      </c>
      <c r="B1076" s="56">
        <v>308</v>
      </c>
      <c r="C1076" s="57" t="s">
        <v>171</v>
      </c>
      <c r="D1076" s="58" t="s">
        <v>170</v>
      </c>
    </row>
    <row r="1077" spans="1:4" x14ac:dyDescent="0.2">
      <c r="A1077" s="55">
        <v>927</v>
      </c>
      <c r="B1077" s="56">
        <v>263</v>
      </c>
      <c r="C1077" s="57" t="s">
        <v>173</v>
      </c>
      <c r="D1077" s="58" t="s">
        <v>170</v>
      </c>
    </row>
    <row r="1078" spans="1:4" x14ac:dyDescent="0.2">
      <c r="A1078" s="55">
        <v>927</v>
      </c>
      <c r="B1078" s="56">
        <v>309</v>
      </c>
      <c r="C1078" s="57" t="s">
        <v>173</v>
      </c>
      <c r="D1078" s="58" t="s">
        <v>170</v>
      </c>
    </row>
    <row r="1079" spans="1:4" x14ac:dyDescent="0.2">
      <c r="A1079" s="55">
        <v>928</v>
      </c>
      <c r="B1079" s="56">
        <v>265</v>
      </c>
      <c r="C1079" s="57" t="s">
        <v>172</v>
      </c>
      <c r="D1079" s="58" t="s">
        <v>170</v>
      </c>
    </row>
    <row r="1080" spans="1:4" x14ac:dyDescent="0.2">
      <c r="A1080" s="55">
        <v>928</v>
      </c>
      <c r="B1080" s="56">
        <v>310</v>
      </c>
      <c r="C1080" s="57" t="s">
        <v>172</v>
      </c>
      <c r="D1080" s="58" t="s">
        <v>170</v>
      </c>
    </row>
    <row r="1081" spans="1:4" x14ac:dyDescent="0.2">
      <c r="A1081" s="55">
        <v>929</v>
      </c>
      <c r="B1081" s="56">
        <v>14041</v>
      </c>
      <c r="C1081" s="57" t="s">
        <v>226</v>
      </c>
      <c r="D1081" s="58" t="s">
        <v>37</v>
      </c>
    </row>
    <row r="1082" spans="1:4" x14ac:dyDescent="0.2">
      <c r="A1082" s="55">
        <v>930</v>
      </c>
      <c r="B1082" s="56">
        <v>14053</v>
      </c>
      <c r="C1082" s="57" t="s">
        <v>226</v>
      </c>
      <c r="D1082" s="58" t="s">
        <v>37</v>
      </c>
    </row>
    <row r="1083" spans="1:4" x14ac:dyDescent="0.2">
      <c r="A1083" s="55">
        <v>931</v>
      </c>
      <c r="B1083" s="56">
        <v>14056</v>
      </c>
      <c r="C1083" s="57" t="s">
        <v>226</v>
      </c>
      <c r="D1083" s="58" t="s">
        <v>37</v>
      </c>
    </row>
    <row r="1084" spans="1:4" x14ac:dyDescent="0.2">
      <c r="A1084" s="55">
        <v>932</v>
      </c>
      <c r="B1084" s="56">
        <v>191</v>
      </c>
      <c r="C1084" s="57" t="s">
        <v>232</v>
      </c>
      <c r="D1084" s="58">
        <v>2</v>
      </c>
    </row>
    <row r="1085" spans="1:4" x14ac:dyDescent="0.2">
      <c r="A1085" s="55">
        <v>932</v>
      </c>
      <c r="B1085" s="56">
        <v>353</v>
      </c>
      <c r="C1085" s="57" t="s">
        <v>232</v>
      </c>
      <c r="D1085" s="58">
        <v>1</v>
      </c>
    </row>
    <row r="1086" spans="1:4" x14ac:dyDescent="0.2">
      <c r="A1086" s="55">
        <v>932</v>
      </c>
      <c r="B1086" s="56">
        <v>354</v>
      </c>
      <c r="C1086" s="57" t="s">
        <v>232</v>
      </c>
      <c r="D1086" s="58">
        <v>1</v>
      </c>
    </row>
    <row r="1087" spans="1:4" x14ac:dyDescent="0.2">
      <c r="A1087" s="55">
        <v>932</v>
      </c>
      <c r="B1087" s="56">
        <v>355</v>
      </c>
      <c r="C1087" s="57" t="s">
        <v>232</v>
      </c>
      <c r="D1087" s="58">
        <v>1</v>
      </c>
    </row>
    <row r="1088" spans="1:4" x14ac:dyDescent="0.2">
      <c r="A1088" s="55">
        <v>933</v>
      </c>
      <c r="B1088" s="56">
        <v>14147</v>
      </c>
      <c r="C1088" s="57" t="s">
        <v>224</v>
      </c>
      <c r="D1088" s="58">
        <v>2</v>
      </c>
    </row>
    <row r="1089" spans="1:4" x14ac:dyDescent="0.2">
      <c r="A1089" s="55">
        <v>933</v>
      </c>
      <c r="B1089" s="56">
        <v>14148</v>
      </c>
      <c r="C1089" s="57" t="s">
        <v>224</v>
      </c>
      <c r="D1089" s="58">
        <v>1</v>
      </c>
    </row>
    <row r="1090" spans="1:4" x14ac:dyDescent="0.2">
      <c r="A1090" s="55">
        <v>934</v>
      </c>
      <c r="B1090" s="56">
        <v>14149</v>
      </c>
      <c r="C1090" s="57" t="s">
        <v>225</v>
      </c>
      <c r="D1090" s="58" t="s">
        <v>37</v>
      </c>
    </row>
    <row r="1091" spans="1:4" x14ac:dyDescent="0.2">
      <c r="A1091" s="55">
        <v>935</v>
      </c>
      <c r="B1091" s="56">
        <v>374</v>
      </c>
      <c r="C1091" s="57" t="s">
        <v>233</v>
      </c>
      <c r="D1091" s="58" t="s">
        <v>284</v>
      </c>
    </row>
    <row r="1092" spans="1:4" x14ac:dyDescent="0.2">
      <c r="A1092" s="55">
        <v>935</v>
      </c>
      <c r="B1092" s="56">
        <v>375</v>
      </c>
      <c r="C1092" s="57" t="s">
        <v>233</v>
      </c>
      <c r="D1092" s="58" t="s">
        <v>282</v>
      </c>
    </row>
    <row r="1093" spans="1:4" x14ac:dyDescent="0.2">
      <c r="A1093" s="55">
        <v>936</v>
      </c>
      <c r="B1093" s="56">
        <v>1422</v>
      </c>
      <c r="C1093" s="57" t="s">
        <v>233</v>
      </c>
      <c r="D1093" s="58">
        <v>1</v>
      </c>
    </row>
    <row r="1094" spans="1:4" x14ac:dyDescent="0.2">
      <c r="A1094" s="55">
        <v>936</v>
      </c>
      <c r="B1094" s="56">
        <v>1423</v>
      </c>
      <c r="C1094" s="57" t="s">
        <v>233</v>
      </c>
      <c r="D1094" s="58">
        <v>2</v>
      </c>
    </row>
    <row r="1095" spans="1:4" x14ac:dyDescent="0.2">
      <c r="A1095" s="55">
        <v>937</v>
      </c>
      <c r="B1095" s="56">
        <v>14150</v>
      </c>
      <c r="C1095" s="57" t="s">
        <v>233</v>
      </c>
      <c r="D1095" s="58">
        <v>2</v>
      </c>
    </row>
    <row r="1096" spans="1:4" x14ac:dyDescent="0.2">
      <c r="A1096" s="55">
        <v>937</v>
      </c>
      <c r="B1096" s="56">
        <v>14151</v>
      </c>
      <c r="C1096" s="57" t="s">
        <v>233</v>
      </c>
      <c r="D1096" s="58">
        <v>1</v>
      </c>
    </row>
    <row r="1097" spans="1:4" x14ac:dyDescent="0.2">
      <c r="A1097" s="55">
        <v>938</v>
      </c>
      <c r="B1097" s="56">
        <v>376</v>
      </c>
      <c r="C1097" s="57" t="s">
        <v>233</v>
      </c>
      <c r="D1097" s="58">
        <v>2</v>
      </c>
    </row>
    <row r="1098" spans="1:4" x14ac:dyDescent="0.2">
      <c r="A1098" s="55">
        <v>938</v>
      </c>
      <c r="B1098" s="56">
        <v>377</v>
      </c>
      <c r="C1098" s="57" t="s">
        <v>233</v>
      </c>
      <c r="D1098" s="58">
        <v>1</v>
      </c>
    </row>
    <row r="1099" spans="1:4" x14ac:dyDescent="0.2">
      <c r="A1099" s="55">
        <v>939</v>
      </c>
      <c r="B1099" s="56">
        <v>395</v>
      </c>
      <c r="C1099" s="57" t="s">
        <v>233</v>
      </c>
      <c r="D1099" s="58">
        <v>2</v>
      </c>
    </row>
    <row r="1100" spans="1:4" x14ac:dyDescent="0.2">
      <c r="A1100" s="55">
        <v>939</v>
      </c>
      <c r="B1100" s="56">
        <v>396</v>
      </c>
      <c r="C1100" s="57" t="s">
        <v>233</v>
      </c>
      <c r="D1100" s="58">
        <v>1</v>
      </c>
    </row>
    <row r="1101" spans="1:4" x14ac:dyDescent="0.2">
      <c r="A1101" s="55">
        <v>940</v>
      </c>
      <c r="B1101" s="56">
        <v>397</v>
      </c>
      <c r="C1101" s="57" t="s">
        <v>234</v>
      </c>
      <c r="D1101" s="58" t="s">
        <v>192</v>
      </c>
    </row>
    <row r="1102" spans="1:4" x14ac:dyDescent="0.2">
      <c r="A1102" s="55">
        <v>941</v>
      </c>
      <c r="B1102" s="56">
        <v>398</v>
      </c>
      <c r="C1102" s="57" t="s">
        <v>235</v>
      </c>
      <c r="D1102" s="58" t="s">
        <v>192</v>
      </c>
    </row>
    <row r="1103" spans="1:4" x14ac:dyDescent="0.2">
      <c r="A1103" s="55">
        <v>942</v>
      </c>
      <c r="B1103" s="56">
        <v>400</v>
      </c>
      <c r="C1103" s="57" t="s">
        <v>85</v>
      </c>
      <c r="D1103" s="58">
        <v>1</v>
      </c>
    </row>
    <row r="1104" spans="1:4" x14ac:dyDescent="0.2">
      <c r="A1104" s="55">
        <v>942</v>
      </c>
      <c r="B1104" s="56">
        <v>401</v>
      </c>
      <c r="C1104" s="57" t="s">
        <v>85</v>
      </c>
      <c r="D1104" s="58">
        <v>2</v>
      </c>
    </row>
    <row r="1105" spans="1:4" x14ac:dyDescent="0.2">
      <c r="A1105" s="55">
        <v>943</v>
      </c>
      <c r="B1105" s="56">
        <v>404</v>
      </c>
      <c r="C1105" s="57" t="s">
        <v>75</v>
      </c>
      <c r="D1105" s="58">
        <v>1</v>
      </c>
    </row>
    <row r="1106" spans="1:4" x14ac:dyDescent="0.2">
      <c r="A1106" s="55">
        <v>943</v>
      </c>
      <c r="B1106" s="56">
        <v>405</v>
      </c>
      <c r="C1106" s="57" t="s">
        <v>75</v>
      </c>
      <c r="D1106" s="58">
        <v>2</v>
      </c>
    </row>
    <row r="1107" spans="1:4" x14ac:dyDescent="0.2">
      <c r="A1107" s="55">
        <v>944</v>
      </c>
      <c r="B1107" s="56">
        <v>406</v>
      </c>
      <c r="C1107" s="57" t="s">
        <v>75</v>
      </c>
      <c r="D1107" s="58">
        <v>1</v>
      </c>
    </row>
    <row r="1108" spans="1:4" x14ac:dyDescent="0.2">
      <c r="A1108" s="55">
        <v>944</v>
      </c>
      <c r="B1108" s="56">
        <v>407</v>
      </c>
      <c r="C1108" s="57" t="s">
        <v>75</v>
      </c>
      <c r="D1108" s="58">
        <v>2</v>
      </c>
    </row>
    <row r="1109" spans="1:4" x14ac:dyDescent="0.2">
      <c r="A1109" s="55">
        <v>945</v>
      </c>
      <c r="B1109" s="56">
        <v>408</v>
      </c>
      <c r="C1109" s="57" t="s">
        <v>75</v>
      </c>
      <c r="D1109" s="58">
        <v>1</v>
      </c>
    </row>
    <row r="1110" spans="1:4" x14ac:dyDescent="0.2">
      <c r="A1110" s="55">
        <v>945</v>
      </c>
      <c r="B1110" s="56">
        <v>409</v>
      </c>
      <c r="C1110" s="57" t="s">
        <v>75</v>
      </c>
      <c r="D1110" s="58">
        <v>2</v>
      </c>
    </row>
    <row r="1111" spans="1:4" x14ac:dyDescent="0.2">
      <c r="A1111" s="55">
        <v>946</v>
      </c>
      <c r="B1111" s="56">
        <v>410</v>
      </c>
      <c r="C1111" s="57" t="s">
        <v>75</v>
      </c>
      <c r="D1111" s="58">
        <v>1</v>
      </c>
    </row>
    <row r="1112" spans="1:4" x14ac:dyDescent="0.2">
      <c r="A1112" s="55">
        <v>946</v>
      </c>
      <c r="B1112" s="56">
        <v>411</v>
      </c>
      <c r="C1112" s="57" t="s">
        <v>75</v>
      </c>
      <c r="D1112" s="58">
        <v>2</v>
      </c>
    </row>
    <row r="1113" spans="1:4" x14ac:dyDescent="0.2">
      <c r="A1113" s="55">
        <v>947</v>
      </c>
      <c r="B1113" s="56">
        <v>412</v>
      </c>
      <c r="C1113" s="57" t="s">
        <v>236</v>
      </c>
      <c r="D1113" s="58">
        <v>2</v>
      </c>
    </row>
    <row r="1114" spans="1:4" x14ac:dyDescent="0.2">
      <c r="A1114" s="55">
        <v>947</v>
      </c>
      <c r="B1114" s="56">
        <v>413</v>
      </c>
      <c r="C1114" s="57" t="s">
        <v>236</v>
      </c>
      <c r="D1114" s="58">
        <v>1</v>
      </c>
    </row>
    <row r="1115" spans="1:4" x14ac:dyDescent="0.2">
      <c r="A1115" s="55">
        <v>947</v>
      </c>
      <c r="B1115" s="56">
        <v>414</v>
      </c>
      <c r="C1115" s="57" t="s">
        <v>236</v>
      </c>
      <c r="D1115" s="58">
        <v>1</v>
      </c>
    </row>
    <row r="1116" spans="1:4" x14ac:dyDescent="0.2">
      <c r="A1116" s="55">
        <v>948</v>
      </c>
      <c r="B1116" s="56">
        <v>415</v>
      </c>
      <c r="C1116" s="57" t="s">
        <v>237</v>
      </c>
      <c r="D1116" s="58" t="s">
        <v>284</v>
      </c>
    </row>
    <row r="1117" spans="1:4" x14ac:dyDescent="0.2">
      <c r="A1117" s="55">
        <v>948</v>
      </c>
      <c r="B1117" s="56">
        <v>416</v>
      </c>
      <c r="C1117" s="57" t="s">
        <v>237</v>
      </c>
      <c r="D1117" s="58">
        <v>1</v>
      </c>
    </row>
    <row r="1118" spans="1:4" x14ac:dyDescent="0.2">
      <c r="A1118" s="55">
        <v>949</v>
      </c>
      <c r="B1118" s="56">
        <v>417</v>
      </c>
      <c r="C1118" s="57" t="s">
        <v>309</v>
      </c>
      <c r="D1118" s="58">
        <v>1</v>
      </c>
    </row>
    <row r="1119" spans="1:4" x14ac:dyDescent="0.2">
      <c r="A1119" s="55">
        <v>949</v>
      </c>
      <c r="B1119" s="56">
        <v>418</v>
      </c>
      <c r="C1119" s="57" t="s">
        <v>309</v>
      </c>
      <c r="D1119" s="58">
        <v>2</v>
      </c>
    </row>
    <row r="1120" spans="1:4" x14ac:dyDescent="0.2">
      <c r="A1120" s="55">
        <v>950</v>
      </c>
      <c r="B1120" s="56">
        <v>419</v>
      </c>
      <c r="C1120" s="57" t="s">
        <v>310</v>
      </c>
      <c r="D1120" s="58" t="s">
        <v>37</v>
      </c>
    </row>
    <row r="1121" spans="1:4" x14ac:dyDescent="0.2">
      <c r="A1121" s="55">
        <v>951</v>
      </c>
      <c r="B1121" s="56">
        <v>420</v>
      </c>
      <c r="C1121" s="57" t="s">
        <v>311</v>
      </c>
      <c r="D1121" s="58" t="s">
        <v>37</v>
      </c>
    </row>
    <row r="1122" spans="1:4" x14ac:dyDescent="0.2">
      <c r="A1122" s="55">
        <v>952</v>
      </c>
      <c r="B1122" s="56">
        <v>421</v>
      </c>
      <c r="C1122" s="57" t="s">
        <v>312</v>
      </c>
      <c r="D1122" s="58">
        <v>1</v>
      </c>
    </row>
    <row r="1123" spans="1:4" x14ac:dyDescent="0.2">
      <c r="A1123" s="55">
        <v>952</v>
      </c>
      <c r="B1123" s="56">
        <v>422</v>
      </c>
      <c r="C1123" s="57" t="s">
        <v>312</v>
      </c>
      <c r="D1123" s="58">
        <v>2</v>
      </c>
    </row>
    <row r="1124" spans="1:4" x14ac:dyDescent="0.2">
      <c r="A1124" s="55">
        <v>953</v>
      </c>
      <c r="B1124" s="56">
        <v>423</v>
      </c>
      <c r="C1124" s="57" t="s">
        <v>238</v>
      </c>
      <c r="D1124" s="58">
        <v>1</v>
      </c>
    </row>
    <row r="1125" spans="1:4" x14ac:dyDescent="0.2">
      <c r="A1125" s="55">
        <v>953</v>
      </c>
      <c r="B1125" s="56">
        <v>424</v>
      </c>
      <c r="C1125" s="57" t="s">
        <v>238</v>
      </c>
      <c r="D1125" s="58" t="s">
        <v>282</v>
      </c>
    </row>
    <row r="1126" spans="1:4" x14ac:dyDescent="0.2">
      <c r="A1126" s="55">
        <v>954</v>
      </c>
      <c r="B1126" s="56">
        <v>425</v>
      </c>
      <c r="C1126" s="57" t="s">
        <v>239</v>
      </c>
      <c r="D1126" s="58" t="s">
        <v>284</v>
      </c>
    </row>
    <row r="1127" spans="1:4" x14ac:dyDescent="0.2">
      <c r="A1127" s="55">
        <v>954</v>
      </c>
      <c r="B1127" s="56">
        <v>426</v>
      </c>
      <c r="C1127" s="57" t="s">
        <v>239</v>
      </c>
      <c r="D1127" s="58" t="s">
        <v>282</v>
      </c>
    </row>
    <row r="1128" spans="1:4" x14ac:dyDescent="0.2">
      <c r="A1128" s="55">
        <v>954</v>
      </c>
      <c r="B1128" s="56">
        <v>427</v>
      </c>
      <c r="C1128" s="57" t="s">
        <v>239</v>
      </c>
      <c r="D1128" s="58" t="s">
        <v>282</v>
      </c>
    </row>
    <row r="1129" spans="1:4" x14ac:dyDescent="0.2">
      <c r="A1129" s="55">
        <v>955</v>
      </c>
      <c r="B1129" s="56">
        <v>206</v>
      </c>
      <c r="C1129" s="57" t="s">
        <v>240</v>
      </c>
      <c r="D1129" s="58">
        <v>2</v>
      </c>
    </row>
    <row r="1130" spans="1:4" x14ac:dyDescent="0.2">
      <c r="A1130" s="55">
        <v>955</v>
      </c>
      <c r="B1130" s="56">
        <v>428</v>
      </c>
      <c r="C1130" s="57" t="s">
        <v>240</v>
      </c>
      <c r="D1130" s="58">
        <v>1</v>
      </c>
    </row>
    <row r="1131" spans="1:4" x14ac:dyDescent="0.2">
      <c r="A1131" s="55">
        <v>955</v>
      </c>
      <c r="B1131" s="56">
        <v>429</v>
      </c>
      <c r="C1131" s="57" t="s">
        <v>240</v>
      </c>
      <c r="D1131" s="58">
        <v>2</v>
      </c>
    </row>
    <row r="1132" spans="1:4" x14ac:dyDescent="0.2">
      <c r="A1132" s="55">
        <v>955</v>
      </c>
      <c r="B1132" s="56">
        <v>430</v>
      </c>
      <c r="C1132" s="57" t="s">
        <v>240</v>
      </c>
      <c r="D1132" s="58">
        <v>1</v>
      </c>
    </row>
    <row r="1133" spans="1:4" x14ac:dyDescent="0.2">
      <c r="A1133" s="55">
        <v>956</v>
      </c>
      <c r="B1133" s="56">
        <v>160</v>
      </c>
      <c r="C1133" s="57" t="s">
        <v>241</v>
      </c>
      <c r="D1133" s="58">
        <v>2</v>
      </c>
    </row>
    <row r="1134" spans="1:4" x14ac:dyDescent="0.2">
      <c r="A1134" s="55">
        <v>956</v>
      </c>
      <c r="B1134" s="56">
        <v>427</v>
      </c>
      <c r="C1134" s="57" t="s">
        <v>241</v>
      </c>
      <c r="D1134" s="58">
        <v>1</v>
      </c>
    </row>
    <row r="1135" spans="1:4" x14ac:dyDescent="0.2">
      <c r="A1135" s="55">
        <v>956</v>
      </c>
      <c r="B1135" s="56">
        <v>431</v>
      </c>
      <c r="C1135" s="57" t="s">
        <v>241</v>
      </c>
      <c r="D1135" s="58">
        <v>2</v>
      </c>
    </row>
    <row r="1136" spans="1:4" x14ac:dyDescent="0.2">
      <c r="A1136" s="55">
        <v>956</v>
      </c>
      <c r="B1136" s="56">
        <v>432</v>
      </c>
      <c r="C1136" s="57" t="s">
        <v>241</v>
      </c>
      <c r="D1136" s="58">
        <v>1</v>
      </c>
    </row>
    <row r="1137" spans="1:4" x14ac:dyDescent="0.2">
      <c r="A1137" s="55">
        <v>957</v>
      </c>
      <c r="B1137" s="56">
        <v>432</v>
      </c>
      <c r="C1137" s="57" t="s">
        <v>242</v>
      </c>
      <c r="D1137" s="58">
        <v>1</v>
      </c>
    </row>
    <row r="1138" spans="1:4" x14ac:dyDescent="0.2">
      <c r="A1138" s="55">
        <v>957</v>
      </c>
      <c r="B1138" s="56">
        <v>433</v>
      </c>
      <c r="C1138" s="57" t="s">
        <v>242</v>
      </c>
      <c r="D1138" s="58">
        <v>2</v>
      </c>
    </row>
    <row r="1139" spans="1:4" x14ac:dyDescent="0.2">
      <c r="A1139" s="55">
        <v>958</v>
      </c>
      <c r="B1139" s="56">
        <v>434</v>
      </c>
      <c r="C1139" s="57" t="s">
        <v>243</v>
      </c>
      <c r="D1139" s="58">
        <v>2</v>
      </c>
    </row>
    <row r="1140" spans="1:4" x14ac:dyDescent="0.2">
      <c r="A1140" s="55">
        <v>958</v>
      </c>
      <c r="B1140" s="56">
        <v>435</v>
      </c>
      <c r="C1140" s="57" t="s">
        <v>243</v>
      </c>
      <c r="D1140" s="58">
        <v>1</v>
      </c>
    </row>
    <row r="1141" spans="1:4" x14ac:dyDescent="0.2">
      <c r="A1141" s="55">
        <v>959</v>
      </c>
      <c r="B1141" s="56">
        <v>160</v>
      </c>
      <c r="C1141" s="57" t="s">
        <v>244</v>
      </c>
      <c r="D1141" s="58">
        <v>2</v>
      </c>
    </row>
    <row r="1142" spans="1:4" x14ac:dyDescent="0.2">
      <c r="A1142" s="55">
        <v>959</v>
      </c>
      <c r="B1142" s="56">
        <v>432</v>
      </c>
      <c r="C1142" s="57" t="s">
        <v>244</v>
      </c>
      <c r="D1142" s="58">
        <v>1</v>
      </c>
    </row>
    <row r="1143" spans="1:4" x14ac:dyDescent="0.2">
      <c r="A1143" s="55">
        <v>959</v>
      </c>
      <c r="B1143" s="56">
        <v>436</v>
      </c>
      <c r="C1143" s="57" t="s">
        <v>244</v>
      </c>
      <c r="D1143" s="58">
        <v>2</v>
      </c>
    </row>
    <row r="1144" spans="1:4" x14ac:dyDescent="0.2">
      <c r="A1144" s="55">
        <v>960</v>
      </c>
      <c r="B1144" s="56">
        <v>160</v>
      </c>
      <c r="C1144" s="57" t="s">
        <v>245</v>
      </c>
      <c r="D1144" s="58">
        <v>2</v>
      </c>
    </row>
    <row r="1145" spans="1:4" x14ac:dyDescent="0.2">
      <c r="A1145" s="55">
        <v>960</v>
      </c>
      <c r="B1145" s="56">
        <v>435</v>
      </c>
      <c r="C1145" s="57" t="s">
        <v>245</v>
      </c>
      <c r="D1145" s="58">
        <v>1</v>
      </c>
    </row>
    <row r="1146" spans="1:4" x14ac:dyDescent="0.2">
      <c r="A1146" s="55">
        <v>960</v>
      </c>
      <c r="B1146" s="56">
        <v>441</v>
      </c>
      <c r="C1146" s="57" t="s">
        <v>245</v>
      </c>
      <c r="D1146" s="58">
        <v>1</v>
      </c>
    </row>
    <row r="1147" spans="1:4" x14ac:dyDescent="0.2">
      <c r="A1147" s="55">
        <v>961</v>
      </c>
      <c r="B1147" s="56">
        <v>427</v>
      </c>
      <c r="C1147" s="57" t="s">
        <v>246</v>
      </c>
      <c r="D1147" s="58">
        <v>1</v>
      </c>
    </row>
    <row r="1148" spans="1:4" x14ac:dyDescent="0.2">
      <c r="A1148" s="55">
        <v>961</v>
      </c>
      <c r="B1148" s="56">
        <v>432</v>
      </c>
      <c r="C1148" s="57" t="s">
        <v>246</v>
      </c>
      <c r="D1148" s="58">
        <v>1</v>
      </c>
    </row>
    <row r="1149" spans="1:4" x14ac:dyDescent="0.2">
      <c r="A1149" s="55">
        <v>961</v>
      </c>
      <c r="B1149" s="56">
        <v>437</v>
      </c>
      <c r="C1149" s="57" t="s">
        <v>246</v>
      </c>
      <c r="D1149" s="58">
        <v>2</v>
      </c>
    </row>
    <row r="1150" spans="1:4" x14ac:dyDescent="0.2">
      <c r="A1150" s="55">
        <v>962</v>
      </c>
      <c r="B1150" s="56">
        <v>427</v>
      </c>
      <c r="C1150" s="57" t="s">
        <v>247</v>
      </c>
      <c r="D1150" s="58">
        <v>1</v>
      </c>
    </row>
    <row r="1151" spans="1:4" x14ac:dyDescent="0.2">
      <c r="A1151" s="55">
        <v>962</v>
      </c>
      <c r="B1151" s="56">
        <v>435</v>
      </c>
      <c r="C1151" s="57" t="s">
        <v>247</v>
      </c>
      <c r="D1151" s="58">
        <v>1</v>
      </c>
    </row>
    <row r="1152" spans="1:4" x14ac:dyDescent="0.2">
      <c r="A1152" s="55">
        <v>962</v>
      </c>
      <c r="B1152" s="56">
        <v>438</v>
      </c>
      <c r="C1152" s="57" t="s">
        <v>247</v>
      </c>
      <c r="D1152" s="58">
        <v>2</v>
      </c>
    </row>
    <row r="1153" spans="1:4" x14ac:dyDescent="0.2">
      <c r="A1153" s="55">
        <v>963</v>
      </c>
      <c r="B1153" s="56">
        <v>160</v>
      </c>
      <c r="C1153" s="57" t="s">
        <v>248</v>
      </c>
      <c r="D1153" s="58">
        <v>2</v>
      </c>
    </row>
    <row r="1154" spans="1:4" x14ac:dyDescent="0.2">
      <c r="A1154" s="55">
        <v>963</v>
      </c>
      <c r="B1154" s="56">
        <v>427</v>
      </c>
      <c r="C1154" s="57" t="s">
        <v>248</v>
      </c>
      <c r="D1154" s="58">
        <v>1</v>
      </c>
    </row>
    <row r="1155" spans="1:4" x14ac:dyDescent="0.2">
      <c r="A1155" s="55">
        <v>963</v>
      </c>
      <c r="B1155" s="56">
        <v>435</v>
      </c>
      <c r="C1155" s="57" t="s">
        <v>248</v>
      </c>
      <c r="D1155" s="58">
        <v>1</v>
      </c>
    </row>
    <row r="1156" spans="1:4" x14ac:dyDescent="0.2">
      <c r="A1156" s="55">
        <v>963</v>
      </c>
      <c r="B1156" s="56">
        <v>439</v>
      </c>
      <c r="C1156" s="57" t="s">
        <v>248</v>
      </c>
      <c r="D1156" s="58">
        <v>2</v>
      </c>
    </row>
    <row r="1157" spans="1:4" x14ac:dyDescent="0.2">
      <c r="A1157" s="55">
        <v>964</v>
      </c>
      <c r="B1157" s="56">
        <v>160</v>
      </c>
      <c r="C1157" s="57" t="s">
        <v>249</v>
      </c>
      <c r="D1157" s="58">
        <v>2</v>
      </c>
    </row>
    <row r="1158" spans="1:4" x14ac:dyDescent="0.2">
      <c r="A1158" s="55">
        <v>964</v>
      </c>
      <c r="B1158" s="56">
        <v>431</v>
      </c>
      <c r="C1158" s="57" t="s">
        <v>249</v>
      </c>
      <c r="D1158" s="58">
        <v>2</v>
      </c>
    </row>
    <row r="1159" spans="1:4" x14ac:dyDescent="0.2">
      <c r="A1159" s="55">
        <v>964</v>
      </c>
      <c r="B1159" s="56">
        <v>440</v>
      </c>
      <c r="C1159" s="57" t="s">
        <v>249</v>
      </c>
      <c r="D1159" s="58">
        <v>1</v>
      </c>
    </row>
    <row r="1160" spans="1:4" x14ac:dyDescent="0.2">
      <c r="A1160" s="55">
        <v>965</v>
      </c>
      <c r="B1160" s="56">
        <v>194</v>
      </c>
      <c r="C1160" s="57" t="s">
        <v>250</v>
      </c>
      <c r="D1160" s="58">
        <v>2</v>
      </c>
    </row>
    <row r="1161" spans="1:4" x14ac:dyDescent="0.2">
      <c r="A1161" s="55">
        <v>965</v>
      </c>
      <c r="B1161" s="56">
        <v>489</v>
      </c>
      <c r="C1161" s="57" t="s">
        <v>250</v>
      </c>
      <c r="D1161" s="58">
        <v>1</v>
      </c>
    </row>
    <row r="1162" spans="1:4" x14ac:dyDescent="0.2">
      <c r="A1162" s="55">
        <v>965</v>
      </c>
      <c r="B1162" s="56">
        <v>500</v>
      </c>
      <c r="C1162" s="57" t="s">
        <v>250</v>
      </c>
      <c r="D1162" s="58">
        <v>2</v>
      </c>
    </row>
    <row r="1163" spans="1:4" x14ac:dyDescent="0.2">
      <c r="A1163" s="55">
        <v>966</v>
      </c>
      <c r="B1163" s="56">
        <v>488</v>
      </c>
      <c r="C1163" s="57" t="s">
        <v>97</v>
      </c>
      <c r="D1163" s="58" t="s">
        <v>37</v>
      </c>
    </row>
    <row r="1164" spans="1:4" x14ac:dyDescent="0.2">
      <c r="A1164" s="55">
        <v>967</v>
      </c>
      <c r="B1164" s="56">
        <v>442</v>
      </c>
      <c r="C1164" s="57" t="s">
        <v>109</v>
      </c>
      <c r="D1164" s="58">
        <v>1</v>
      </c>
    </row>
    <row r="1165" spans="1:4" x14ac:dyDescent="0.2">
      <c r="A1165" s="55">
        <v>967</v>
      </c>
      <c r="B1165" s="56">
        <v>443</v>
      </c>
      <c r="C1165" s="57" t="s">
        <v>109</v>
      </c>
      <c r="D1165" s="58">
        <v>2</v>
      </c>
    </row>
    <row r="1166" spans="1:4" x14ac:dyDescent="0.2">
      <c r="A1166" s="55">
        <v>968</v>
      </c>
      <c r="B1166" s="56">
        <v>444</v>
      </c>
      <c r="C1166" s="57" t="s">
        <v>109</v>
      </c>
      <c r="D1166" s="58">
        <v>1</v>
      </c>
    </row>
    <row r="1167" spans="1:4" x14ac:dyDescent="0.2">
      <c r="A1167" s="55">
        <v>969</v>
      </c>
      <c r="B1167" s="56">
        <v>443</v>
      </c>
      <c r="C1167" s="57" t="s">
        <v>250</v>
      </c>
      <c r="D1167" s="58">
        <v>2</v>
      </c>
    </row>
    <row r="1168" spans="1:4" x14ac:dyDescent="0.2">
      <c r="A1168" s="55">
        <v>969</v>
      </c>
      <c r="B1168" s="56">
        <v>489</v>
      </c>
      <c r="C1168" s="57" t="s">
        <v>250</v>
      </c>
      <c r="D1168" s="58">
        <v>1</v>
      </c>
    </row>
    <row r="1169" spans="1:4" x14ac:dyDescent="0.2">
      <c r="A1169" s="55">
        <v>969</v>
      </c>
      <c r="B1169" s="56">
        <v>501</v>
      </c>
      <c r="C1169" s="57" t="s">
        <v>250</v>
      </c>
      <c r="D1169" s="58">
        <v>1</v>
      </c>
    </row>
    <row r="1170" spans="1:4" x14ac:dyDescent="0.2">
      <c r="A1170" s="55">
        <v>970</v>
      </c>
      <c r="B1170" s="56">
        <v>447</v>
      </c>
      <c r="C1170" s="57" t="s">
        <v>63</v>
      </c>
      <c r="D1170" s="58">
        <v>2</v>
      </c>
    </row>
    <row r="1171" spans="1:4" x14ac:dyDescent="0.2">
      <c r="A1171" s="55">
        <v>970</v>
      </c>
      <c r="B1171" s="56">
        <v>448</v>
      </c>
      <c r="C1171" s="57" t="s">
        <v>63</v>
      </c>
      <c r="D1171" s="58">
        <v>1</v>
      </c>
    </row>
    <row r="1172" spans="1:4" x14ac:dyDescent="0.2">
      <c r="A1172" s="55">
        <v>971</v>
      </c>
      <c r="B1172" s="56">
        <v>492</v>
      </c>
      <c r="C1172" s="57" t="s">
        <v>251</v>
      </c>
      <c r="D1172" s="58">
        <v>2</v>
      </c>
    </row>
    <row r="1173" spans="1:4" x14ac:dyDescent="0.2">
      <c r="A1173" s="55">
        <v>971</v>
      </c>
      <c r="B1173" s="56">
        <v>493</v>
      </c>
      <c r="C1173" s="57" t="s">
        <v>251</v>
      </c>
      <c r="D1173" s="58">
        <v>1</v>
      </c>
    </row>
    <row r="1174" spans="1:4" x14ac:dyDescent="0.2">
      <c r="A1174" s="55">
        <v>971</v>
      </c>
      <c r="B1174" s="56">
        <v>494</v>
      </c>
      <c r="C1174" s="57" t="s">
        <v>251</v>
      </c>
      <c r="D1174" s="58">
        <v>1</v>
      </c>
    </row>
    <row r="1175" spans="1:4" x14ac:dyDescent="0.2">
      <c r="A1175" s="55">
        <v>972</v>
      </c>
      <c r="B1175" s="56">
        <v>502</v>
      </c>
      <c r="C1175" s="57" t="s">
        <v>285</v>
      </c>
      <c r="D1175" s="58">
        <v>1</v>
      </c>
    </row>
    <row r="1176" spans="1:4" x14ac:dyDescent="0.2">
      <c r="A1176" s="55">
        <v>972</v>
      </c>
      <c r="B1176" s="56">
        <v>503</v>
      </c>
      <c r="C1176" s="57" t="s">
        <v>285</v>
      </c>
      <c r="D1176" s="58" t="s">
        <v>284</v>
      </c>
    </row>
    <row r="1177" spans="1:4" x14ac:dyDescent="0.2">
      <c r="A1177" s="55">
        <v>973</v>
      </c>
      <c r="B1177" s="56">
        <v>453</v>
      </c>
      <c r="C1177" s="57" t="s">
        <v>107</v>
      </c>
      <c r="D1177" s="58">
        <v>1</v>
      </c>
    </row>
    <row r="1178" spans="1:4" x14ac:dyDescent="0.2">
      <c r="A1178" s="55">
        <v>973</v>
      </c>
      <c r="B1178" s="56">
        <v>454</v>
      </c>
      <c r="C1178" s="57" t="s">
        <v>107</v>
      </c>
      <c r="D1178" s="58">
        <v>2</v>
      </c>
    </row>
    <row r="1179" spans="1:4" x14ac:dyDescent="0.2">
      <c r="A1179" s="55">
        <v>974</v>
      </c>
      <c r="B1179" s="56">
        <v>455</v>
      </c>
      <c r="C1179" s="57" t="s">
        <v>133</v>
      </c>
      <c r="D1179" s="58">
        <v>2</v>
      </c>
    </row>
    <row r="1180" spans="1:4" x14ac:dyDescent="0.2">
      <c r="A1180" s="55">
        <v>975</v>
      </c>
      <c r="B1180" s="56">
        <v>504</v>
      </c>
      <c r="C1180" s="57" t="s">
        <v>313</v>
      </c>
      <c r="D1180" s="58">
        <v>1</v>
      </c>
    </row>
    <row r="1181" spans="1:4" x14ac:dyDescent="0.2">
      <c r="A1181" s="55">
        <v>975</v>
      </c>
      <c r="B1181" s="56">
        <v>505</v>
      </c>
      <c r="C1181" s="57" t="s">
        <v>313</v>
      </c>
      <c r="D1181" s="58">
        <v>2</v>
      </c>
    </row>
    <row r="1182" spans="1:4" x14ac:dyDescent="0.2">
      <c r="A1182" s="55">
        <v>976</v>
      </c>
      <c r="B1182" s="56">
        <v>506</v>
      </c>
      <c r="C1182" s="57" t="s">
        <v>314</v>
      </c>
      <c r="D1182" s="58">
        <v>1</v>
      </c>
    </row>
    <row r="1183" spans="1:4" x14ac:dyDescent="0.2">
      <c r="A1183" s="55">
        <v>976</v>
      </c>
      <c r="B1183" s="56">
        <v>507</v>
      </c>
      <c r="C1183" s="57" t="s">
        <v>314</v>
      </c>
      <c r="D1183" s="58">
        <v>2</v>
      </c>
    </row>
    <row r="1184" spans="1:4" x14ac:dyDescent="0.2">
      <c r="A1184" s="55">
        <v>978</v>
      </c>
      <c r="B1184" s="56">
        <v>462</v>
      </c>
      <c r="C1184" s="57" t="s">
        <v>91</v>
      </c>
      <c r="D1184" s="58" t="s">
        <v>37</v>
      </c>
    </row>
    <row r="1185" spans="1:4" x14ac:dyDescent="0.2">
      <c r="A1185" s="55">
        <v>979</v>
      </c>
      <c r="B1185" s="56">
        <v>463</v>
      </c>
      <c r="C1185" s="57" t="s">
        <v>130</v>
      </c>
      <c r="D1185" s="58" t="s">
        <v>277</v>
      </c>
    </row>
    <row r="1186" spans="1:4" x14ac:dyDescent="0.2">
      <c r="A1186" s="55">
        <v>980</v>
      </c>
      <c r="B1186" s="56">
        <v>466</v>
      </c>
      <c r="C1186" s="57" t="s">
        <v>252</v>
      </c>
      <c r="D1186" s="58">
        <v>2</v>
      </c>
    </row>
    <row r="1187" spans="1:4" x14ac:dyDescent="0.2">
      <c r="A1187" s="55">
        <v>980</v>
      </c>
      <c r="B1187" s="56">
        <v>467</v>
      </c>
      <c r="C1187" s="57" t="s">
        <v>252</v>
      </c>
      <c r="D1187" s="58">
        <v>1</v>
      </c>
    </row>
    <row r="1188" spans="1:4" x14ac:dyDescent="0.2">
      <c r="A1188" s="55">
        <v>981</v>
      </c>
      <c r="B1188" s="56">
        <v>468</v>
      </c>
      <c r="C1188" s="57" t="s">
        <v>253</v>
      </c>
      <c r="D1188" s="58" t="s">
        <v>37</v>
      </c>
    </row>
    <row r="1189" spans="1:4" x14ac:dyDescent="0.2">
      <c r="A1189" s="55">
        <v>982</v>
      </c>
      <c r="B1189" s="56">
        <v>508</v>
      </c>
      <c r="C1189" s="57" t="s">
        <v>315</v>
      </c>
      <c r="D1189" s="58">
        <v>2</v>
      </c>
    </row>
    <row r="1190" spans="1:4" x14ac:dyDescent="0.2">
      <c r="A1190" s="55">
        <v>982</v>
      </c>
      <c r="B1190" s="56">
        <v>509</v>
      </c>
      <c r="C1190" s="57" t="s">
        <v>315</v>
      </c>
      <c r="D1190" s="58">
        <v>1</v>
      </c>
    </row>
    <row r="1191" spans="1:4" x14ac:dyDescent="0.2">
      <c r="A1191" s="55">
        <v>983</v>
      </c>
      <c r="B1191" s="56">
        <v>510</v>
      </c>
      <c r="C1191" s="57" t="s">
        <v>316</v>
      </c>
      <c r="D1191" s="58">
        <v>2</v>
      </c>
    </row>
    <row r="1192" spans="1:4" x14ac:dyDescent="0.2">
      <c r="A1192" s="55">
        <v>983</v>
      </c>
      <c r="B1192" s="56">
        <v>511</v>
      </c>
      <c r="C1192" s="57" t="s">
        <v>316</v>
      </c>
      <c r="D1192" s="58">
        <v>1</v>
      </c>
    </row>
    <row r="1193" spans="1:4" s="85" customFormat="1" x14ac:dyDescent="0.2">
      <c r="A1193" s="55">
        <v>984</v>
      </c>
      <c r="B1193" s="56">
        <v>512</v>
      </c>
      <c r="C1193" s="57" t="s">
        <v>367</v>
      </c>
      <c r="D1193" s="58">
        <v>1</v>
      </c>
    </row>
    <row r="1194" spans="1:4" s="85" customFormat="1" x14ac:dyDescent="0.2">
      <c r="A1194" s="55">
        <v>984</v>
      </c>
      <c r="B1194" s="56">
        <v>513</v>
      </c>
      <c r="C1194" s="57" t="s">
        <v>367</v>
      </c>
      <c r="D1194" s="58">
        <v>2</v>
      </c>
    </row>
    <row r="1195" spans="1:4" s="85" customFormat="1" x14ac:dyDescent="0.2">
      <c r="A1195" s="55">
        <v>985</v>
      </c>
      <c r="B1195" s="56">
        <v>514</v>
      </c>
      <c r="C1195" s="57" t="s">
        <v>368</v>
      </c>
      <c r="D1195" s="58">
        <v>1</v>
      </c>
    </row>
    <row r="1196" spans="1:4" s="85" customFormat="1" x14ac:dyDescent="0.2">
      <c r="A1196" s="55">
        <v>985</v>
      </c>
      <c r="B1196" s="56">
        <v>515</v>
      </c>
      <c r="C1196" s="57" t="s">
        <v>368</v>
      </c>
      <c r="D1196" s="58">
        <v>2</v>
      </c>
    </row>
    <row r="1197" spans="1:4" x14ac:dyDescent="0.2">
      <c r="A1197" s="55">
        <v>989</v>
      </c>
      <c r="B1197" s="56">
        <v>475</v>
      </c>
      <c r="C1197" s="57" t="s">
        <v>146</v>
      </c>
      <c r="D1197" s="58">
        <v>2</v>
      </c>
    </row>
    <row r="1198" spans="1:4" x14ac:dyDescent="0.2">
      <c r="A1198" s="55">
        <v>989</v>
      </c>
      <c r="B1198" s="56">
        <v>476</v>
      </c>
      <c r="C1198" s="57" t="s">
        <v>146</v>
      </c>
      <c r="D1198" s="58">
        <v>1</v>
      </c>
    </row>
    <row r="1199" spans="1:4" x14ac:dyDescent="0.2">
      <c r="A1199" s="55">
        <v>990</v>
      </c>
      <c r="B1199" s="56">
        <v>477</v>
      </c>
      <c r="C1199" s="57" t="s">
        <v>147</v>
      </c>
      <c r="D1199" s="58" t="s">
        <v>37</v>
      </c>
    </row>
    <row r="1200" spans="1:4" x14ac:dyDescent="0.2">
      <c r="A1200" s="55">
        <v>991</v>
      </c>
      <c r="B1200" s="56">
        <v>478</v>
      </c>
      <c r="C1200" s="57" t="s">
        <v>97</v>
      </c>
      <c r="D1200" s="58" t="s">
        <v>37</v>
      </c>
    </row>
    <row r="1201" spans="1:4" x14ac:dyDescent="0.2">
      <c r="A1201" s="55">
        <v>996</v>
      </c>
      <c r="B1201" s="56">
        <v>485</v>
      </c>
      <c r="C1201" s="57" t="s">
        <v>177</v>
      </c>
      <c r="D1201" s="58">
        <v>2</v>
      </c>
    </row>
    <row r="1202" spans="1:4" x14ac:dyDescent="0.2">
      <c r="A1202" s="55">
        <v>996</v>
      </c>
      <c r="B1202" s="56">
        <v>486</v>
      </c>
      <c r="C1202" s="57" t="s">
        <v>177</v>
      </c>
      <c r="D1202" s="58">
        <v>1</v>
      </c>
    </row>
    <row r="1203" spans="1:4" x14ac:dyDescent="0.2">
      <c r="A1203" s="55">
        <v>996</v>
      </c>
      <c r="B1203" s="56">
        <v>487</v>
      </c>
      <c r="C1203" s="57" t="s">
        <v>177</v>
      </c>
      <c r="D1203" s="58">
        <v>2</v>
      </c>
    </row>
    <row r="1204" spans="1:4" x14ac:dyDescent="0.2">
      <c r="A1204" s="55">
        <v>997</v>
      </c>
      <c r="B1204" s="56">
        <v>490</v>
      </c>
      <c r="C1204" s="57" t="s">
        <v>254</v>
      </c>
      <c r="D1204" s="58" t="s">
        <v>284</v>
      </c>
    </row>
    <row r="1205" spans="1:4" x14ac:dyDescent="0.2">
      <c r="A1205" s="55">
        <v>997</v>
      </c>
      <c r="B1205" s="56">
        <v>491</v>
      </c>
      <c r="C1205" s="57" t="s">
        <v>254</v>
      </c>
      <c r="D1205" s="58">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24"/>
  <sheetViews>
    <sheetView zoomScale="80" zoomScaleNormal="8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54" t="s">
        <v>19</v>
      </c>
    </row>
    <row r="2" spans="1:156" s="1" customFormat="1" ht="21.75" customHeight="1" x14ac:dyDescent="0.2">
      <c r="B2" s="526" t="str">
        <f>Overview!B4&amp; " - Effective from "&amp;TEXT(Overview!$D$4,"d mmmm yyyy")&amp;" - "&amp;Overview!E4</f>
        <v>Leep Electricity Networks Limited - Effective from 1 April 2026 - Final</v>
      </c>
      <c r="C2" s="527"/>
      <c r="D2" s="527"/>
      <c r="E2" s="527"/>
      <c r="F2" s="527"/>
      <c r="G2" s="527"/>
      <c r="H2" s="527"/>
      <c r="I2" s="527"/>
      <c r="J2" s="527"/>
      <c r="K2" s="527"/>
      <c r="L2" s="527"/>
      <c r="M2" s="527"/>
      <c r="N2" s="527"/>
      <c r="O2" s="527"/>
      <c r="P2" s="527"/>
      <c r="Q2" s="527"/>
      <c r="R2" s="527"/>
      <c r="S2" s="527"/>
      <c r="T2" s="528"/>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6" customFormat="1" ht="9" customHeight="1" x14ac:dyDescent="0.2">
      <c r="A3" s="65"/>
      <c r="B3" s="65"/>
      <c r="C3" s="65"/>
      <c r="D3" s="65"/>
      <c r="E3" s="65"/>
      <c r="F3" s="65"/>
      <c r="G3" s="65"/>
      <c r="H3" s="65"/>
      <c r="I3" s="65"/>
      <c r="J3" s="65"/>
      <c r="K3" s="6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532" t="s">
        <v>322</v>
      </c>
      <c r="C4" s="533"/>
      <c r="D4" s="533"/>
      <c r="E4" s="533"/>
      <c r="F4" s="533"/>
      <c r="G4" s="533"/>
      <c r="H4" s="533"/>
      <c r="I4" s="534"/>
      <c r="L4" s="532" t="s">
        <v>338</v>
      </c>
      <c r="M4" s="533"/>
      <c r="N4" s="533"/>
      <c r="O4" s="533"/>
      <c r="P4" s="533"/>
      <c r="Q4" s="533"/>
      <c r="R4" s="533"/>
      <c r="S4" s="533"/>
      <c r="T4" s="534"/>
    </row>
    <row r="5" spans="1:156" ht="18" customHeight="1" x14ac:dyDescent="0.2">
      <c r="B5" s="536" t="s">
        <v>359</v>
      </c>
      <c r="C5" s="536"/>
      <c r="D5" s="536"/>
      <c r="E5" s="536"/>
      <c r="F5" s="536"/>
      <c r="G5" s="536"/>
      <c r="H5" s="536"/>
      <c r="I5" s="536"/>
      <c r="L5" s="536" t="s">
        <v>361</v>
      </c>
      <c r="M5" s="536"/>
      <c r="N5" s="536"/>
      <c r="O5" s="536"/>
      <c r="P5" s="536"/>
      <c r="Q5" s="536"/>
      <c r="R5" s="536"/>
      <c r="S5" s="536"/>
      <c r="T5" s="536"/>
    </row>
    <row r="6" spans="1:156" s="67" customFormat="1" ht="27.75" customHeight="1" x14ac:dyDescent="0.2">
      <c r="B6" s="535" t="s">
        <v>365</v>
      </c>
      <c r="C6" s="535"/>
      <c r="D6" s="535"/>
      <c r="E6" s="535"/>
      <c r="F6" s="535"/>
      <c r="G6" s="535"/>
      <c r="H6" s="535"/>
      <c r="I6" s="535"/>
      <c r="L6" s="535" t="s">
        <v>366</v>
      </c>
      <c r="M6" s="535"/>
      <c r="N6" s="535"/>
      <c r="O6" s="535"/>
      <c r="P6" s="535"/>
      <c r="Q6" s="535"/>
      <c r="R6" s="535"/>
      <c r="S6" s="535"/>
      <c r="T6" s="535"/>
    </row>
    <row r="7" spans="1:156" ht="18" customHeight="1" x14ac:dyDescent="0.2">
      <c r="B7" s="536" t="s">
        <v>360</v>
      </c>
      <c r="C7" s="536"/>
      <c r="D7" s="536"/>
      <c r="E7" s="536"/>
      <c r="F7" s="536"/>
      <c r="G7" s="536"/>
      <c r="H7" s="536"/>
      <c r="I7" s="536"/>
      <c r="L7" s="536" t="s">
        <v>362</v>
      </c>
      <c r="M7" s="536"/>
      <c r="N7" s="536"/>
      <c r="O7" s="536"/>
      <c r="P7" s="536"/>
      <c r="Q7" s="536"/>
      <c r="R7" s="536"/>
      <c r="S7" s="536"/>
      <c r="T7" s="536"/>
    </row>
    <row r="8" spans="1:156" ht="8.25" customHeight="1" x14ac:dyDescent="0.2"/>
    <row r="9" spans="1:156" ht="72" customHeight="1" x14ac:dyDescent="0.2">
      <c r="B9" s="68" t="s">
        <v>363</v>
      </c>
      <c r="C9" s="69" t="e">
        <f>#REF!</f>
        <v>#REF!</v>
      </c>
      <c r="D9" s="69" t="e">
        <f>#REF!</f>
        <v>#REF!</v>
      </c>
      <c r="E9" s="69" t="e">
        <f>#REF!</f>
        <v>#REF!</v>
      </c>
      <c r="F9" s="69" t="e">
        <f>#REF!</f>
        <v>#REF!</v>
      </c>
      <c r="G9" s="69" t="e">
        <f>#REF!</f>
        <v>#REF!</v>
      </c>
      <c r="H9" s="69" t="e">
        <f>#REF!</f>
        <v>#REF!</v>
      </c>
      <c r="I9" s="69" t="e">
        <f>#REF!</f>
        <v>#REF!</v>
      </c>
      <c r="L9" s="68" t="s">
        <v>364</v>
      </c>
      <c r="M9" s="86" t="e">
        <f>#REF!</f>
        <v>#REF!</v>
      </c>
      <c r="N9" s="86" t="e">
        <f>#REF!</f>
        <v>#REF!</v>
      </c>
      <c r="O9" s="86" t="e">
        <f>#REF!</f>
        <v>#REF!</v>
      </c>
      <c r="P9" s="86" t="e">
        <f>#REF!</f>
        <v>#REF!</v>
      </c>
      <c r="Q9" s="87" t="e">
        <f>#REF!</f>
        <v>#REF!</v>
      </c>
      <c r="R9" s="87" t="e">
        <f>#REF!</f>
        <v>#REF!</v>
      </c>
      <c r="S9" s="87" t="e">
        <f>#REF!</f>
        <v>#REF!</v>
      </c>
      <c r="T9" s="87" t="e">
        <f>#REF!</f>
        <v>#REF!</v>
      </c>
    </row>
    <row r="10" spans="1:156" ht="30" customHeight="1" x14ac:dyDescent="0.2">
      <c r="B10" s="59"/>
      <c r="C10" s="83" t="str">
        <f>IFERROR(VLOOKUP($B$10,#REF!,4,FALSE),"")</f>
        <v/>
      </c>
      <c r="D10" s="84" t="str">
        <f>IFERROR(VLOOKUP($B$10,#REF!,5,FALSE),"")</f>
        <v/>
      </c>
      <c r="E10" s="84" t="str">
        <f>IFERROR(VLOOKUP($B$10,#REF!,6,FALSE),"")</f>
        <v/>
      </c>
      <c r="F10" s="61" t="str">
        <f>IFERROR(VLOOKUP($B$10,#REF!,7,FALSE),"")</f>
        <v/>
      </c>
      <c r="G10" s="61" t="str">
        <f>IFERROR(VLOOKUP($B$10,#REF!,8,FALSE),"")</f>
        <v/>
      </c>
      <c r="H10" s="61" t="str">
        <f>IFERROR(VLOOKUP($B$10,#REF!,9,FALSE),"")</f>
        <v/>
      </c>
      <c r="I10" s="61" t="str">
        <f>IFERROR(VLOOKUP($B$10,#REF!,10,FALSE),"")</f>
        <v/>
      </c>
      <c r="L10" s="59"/>
      <c r="M10" s="61" t="str">
        <f>IFERROR(VLOOKUP($L$10,#REF!,2,FALSE),"")</f>
        <v/>
      </c>
      <c r="N10" s="61" t="str">
        <f>IFERROR(VLOOKUP($L$10,#REF!,3,FALSE),"")</f>
        <v/>
      </c>
      <c r="O10" s="61" t="str">
        <f>IFERROR(VLOOKUP($L$10,#REF!,4,FALSE),"")</f>
        <v/>
      </c>
      <c r="P10" s="61" t="str">
        <f>IFERROR(VLOOKUP($L$10,#REF!,5,FALSE),"")</f>
        <v/>
      </c>
      <c r="Q10" s="71" t="str">
        <f>IFERROR(VLOOKUP($L$10,#REF!,6,FALSE),"")</f>
        <v/>
      </c>
      <c r="R10" s="71" t="str">
        <f>IFERROR(VLOOKUP($L$10,#REF!,7,FALSE),"")</f>
        <v/>
      </c>
      <c r="S10" s="71" t="str">
        <f>IFERROR(VLOOKUP($L$10,#REF!,8,FALSE),"")</f>
        <v/>
      </c>
      <c r="T10" s="71" t="str">
        <f>IFERROR(VLOOKUP($L$10,#REF!,9,FALSE),"")</f>
        <v/>
      </c>
    </row>
    <row r="11" spans="1:156" ht="7.5" customHeight="1" x14ac:dyDescent="0.2"/>
    <row r="12" spans="1:156" ht="88.5" customHeight="1" x14ac:dyDescent="0.2">
      <c r="B12" s="72" t="s">
        <v>325</v>
      </c>
      <c r="C12" s="69" t="s">
        <v>339</v>
      </c>
      <c r="D12" s="69" t="s">
        <v>340</v>
      </c>
      <c r="E12" s="69" t="s">
        <v>341</v>
      </c>
      <c r="F12" s="69" t="s">
        <v>326</v>
      </c>
      <c r="G12" s="69" t="s">
        <v>323</v>
      </c>
      <c r="H12" s="69" t="s">
        <v>462</v>
      </c>
      <c r="I12" s="69" t="s">
        <v>324</v>
      </c>
      <c r="L12" s="72" t="s">
        <v>325</v>
      </c>
      <c r="M12" s="69" t="s">
        <v>349</v>
      </c>
      <c r="N12" s="69" t="s">
        <v>326</v>
      </c>
      <c r="O12" s="69" t="s">
        <v>345</v>
      </c>
      <c r="P12" s="69" t="s">
        <v>462</v>
      </c>
      <c r="Q12" s="70" t="s">
        <v>347</v>
      </c>
      <c r="R12" s="70" t="s">
        <v>326</v>
      </c>
      <c r="S12" s="70" t="s">
        <v>346</v>
      </c>
      <c r="T12" s="70" t="s">
        <v>462</v>
      </c>
    </row>
    <row r="13" spans="1:156" ht="30" customHeight="1" x14ac:dyDescent="0.2">
      <c r="B13" s="73" t="s">
        <v>327</v>
      </c>
      <c r="C13" s="78"/>
      <c r="D13" s="78"/>
      <c r="E13" s="78"/>
      <c r="F13" s="78"/>
      <c r="G13" s="78"/>
      <c r="H13" s="78"/>
      <c r="I13" s="78"/>
      <c r="L13" s="73" t="s">
        <v>327</v>
      </c>
      <c r="M13" s="62"/>
      <c r="N13" s="62"/>
      <c r="O13" s="62"/>
      <c r="P13" s="62"/>
      <c r="Q13" s="63"/>
      <c r="R13" s="63">
        <f>N13</f>
        <v>0</v>
      </c>
      <c r="S13" s="63"/>
      <c r="T13" s="63"/>
    </row>
    <row r="14" spans="1:156" ht="30" customHeight="1" x14ac:dyDescent="0.2">
      <c r="B14" s="74" t="s">
        <v>329</v>
      </c>
      <c r="C14" s="60">
        <f>C13</f>
        <v>0</v>
      </c>
      <c r="D14" s="60">
        <f t="shared" ref="D14:G14" si="0">D13</f>
        <v>0</v>
      </c>
      <c r="E14" s="60">
        <f t="shared" si="0"/>
        <v>0</v>
      </c>
      <c r="F14" s="60">
        <f t="shared" si="0"/>
        <v>0</v>
      </c>
      <c r="G14" s="60">
        <f t="shared" si="0"/>
        <v>0</v>
      </c>
      <c r="H14" s="60">
        <f>H13</f>
        <v>0</v>
      </c>
      <c r="I14" s="60">
        <f>I13</f>
        <v>0</v>
      </c>
      <c r="L14" s="74" t="s">
        <v>329</v>
      </c>
      <c r="M14" s="60">
        <f>M13</f>
        <v>0</v>
      </c>
      <c r="N14" s="60">
        <f t="shared" ref="N14:T14" si="1">N13</f>
        <v>0</v>
      </c>
      <c r="O14" s="60">
        <f t="shared" si="1"/>
        <v>0</v>
      </c>
      <c r="P14" s="60">
        <f t="shared" si="1"/>
        <v>0</v>
      </c>
      <c r="Q14" s="64">
        <f t="shared" si="1"/>
        <v>0</v>
      </c>
      <c r="R14" s="64">
        <f t="shared" si="1"/>
        <v>0</v>
      </c>
      <c r="S14" s="64">
        <f t="shared" si="1"/>
        <v>0</v>
      </c>
      <c r="T14" s="64">
        <f t="shared" si="1"/>
        <v>0</v>
      </c>
    </row>
    <row r="15" spans="1:156" ht="7.5" customHeight="1" x14ac:dyDescent="0.2"/>
    <row r="16" spans="1:156" ht="63.75" customHeight="1" x14ac:dyDescent="0.2">
      <c r="B16" s="72" t="s">
        <v>328</v>
      </c>
      <c r="C16" s="69" t="s">
        <v>342</v>
      </c>
      <c r="D16" s="69" t="s">
        <v>343</v>
      </c>
      <c r="E16" s="69" t="s">
        <v>344</v>
      </c>
      <c r="F16" s="69" t="s">
        <v>334</v>
      </c>
      <c r="G16" s="69" t="s">
        <v>333</v>
      </c>
      <c r="H16" s="69" t="s">
        <v>463</v>
      </c>
      <c r="I16" s="69" t="s">
        <v>332</v>
      </c>
      <c r="L16" s="72" t="s">
        <v>328</v>
      </c>
      <c r="M16" s="69" t="s">
        <v>350</v>
      </c>
      <c r="N16" s="69" t="s">
        <v>348</v>
      </c>
      <c r="O16" s="69" t="s">
        <v>353</v>
      </c>
      <c r="P16" s="69" t="s">
        <v>464</v>
      </c>
      <c r="Q16" s="70" t="s">
        <v>351</v>
      </c>
      <c r="R16" s="70" t="s">
        <v>352</v>
      </c>
      <c r="S16" s="70" t="s">
        <v>354</v>
      </c>
      <c r="T16" s="70" t="s">
        <v>465</v>
      </c>
    </row>
    <row r="17" spans="2:20" ht="30" customHeight="1" x14ac:dyDescent="0.2">
      <c r="B17" s="73" t="s">
        <v>330</v>
      </c>
      <c r="C17" s="79" t="str">
        <f>IFERROR(C10*C13/100,"")</f>
        <v/>
      </c>
      <c r="D17" s="79" t="str">
        <f t="shared" ref="D17:I17" si="2">IFERROR(D10*D13/100,"")</f>
        <v/>
      </c>
      <c r="E17" s="79" t="str">
        <f t="shared" si="2"/>
        <v/>
      </c>
      <c r="F17" s="79" t="str">
        <f t="shared" si="2"/>
        <v/>
      </c>
      <c r="G17" s="79" t="str">
        <f>IFERROR(G10*G13*F13/100,"")</f>
        <v/>
      </c>
      <c r="H17" s="79" t="str">
        <f>IFERROR(H10*H13*F13/100,"")</f>
        <v/>
      </c>
      <c r="I17" s="79" t="str">
        <f t="shared" si="2"/>
        <v/>
      </c>
      <c r="L17" s="75" t="s">
        <v>330</v>
      </c>
      <c r="M17" s="79" t="str">
        <f>IFERROR(M10*M13/100,"")</f>
        <v/>
      </c>
      <c r="N17" s="79" t="str">
        <f>IFERROR(N10*N13/100,"")</f>
        <v/>
      </c>
      <c r="O17" s="79" t="str">
        <f>IFERROR(O10*O13*N13/100,"")</f>
        <v/>
      </c>
      <c r="P17" s="79" t="str">
        <f>IFERROR(P10*P13*N13/100,"")</f>
        <v/>
      </c>
      <c r="Q17" s="80" t="str">
        <f>IFERROR(Q10*Q13/100,"")</f>
        <v/>
      </c>
      <c r="R17" s="80" t="str">
        <f>IFERROR(R10*R13/100,"")</f>
        <v/>
      </c>
      <c r="S17" s="80" t="str">
        <f>IFERROR(S10*S13*R13/100,"")</f>
        <v/>
      </c>
      <c r="T17" s="80" t="str">
        <f>IFERROR(T10*T13*R13/100,"")</f>
        <v/>
      </c>
    </row>
    <row r="18" spans="2:20" ht="30" customHeight="1" x14ac:dyDescent="0.2">
      <c r="B18" s="74" t="s">
        <v>331</v>
      </c>
      <c r="C18" s="81" t="str">
        <f>IFERROR(C10*C14/100,"")</f>
        <v/>
      </c>
      <c r="D18" s="81" t="str">
        <f t="shared" ref="D18:I18" si="3">IFERROR(D10*D14/100,"")</f>
        <v/>
      </c>
      <c r="E18" s="81" t="str">
        <f t="shared" si="3"/>
        <v/>
      </c>
      <c r="F18" s="81" t="str">
        <f t="shared" si="3"/>
        <v/>
      </c>
      <c r="G18" s="81" t="str">
        <f>IFERROR(G10*G14*F14/100,"")</f>
        <v/>
      </c>
      <c r="H18" s="81" t="str">
        <f>IFERROR(H10*H14*F14/100,"")</f>
        <v/>
      </c>
      <c r="I18" s="81" t="str">
        <f t="shared" si="3"/>
        <v/>
      </c>
      <c r="L18" s="76" t="s">
        <v>331</v>
      </c>
      <c r="M18" s="81" t="str">
        <f>IFERROR(M10*M14/100,"")</f>
        <v/>
      </c>
      <c r="N18" s="81" t="str">
        <f t="shared" ref="N18" si="4">IFERROR(N10*N14/100,"")</f>
        <v/>
      </c>
      <c r="O18" s="81" t="str">
        <f>IFERROR(O10*O14*N14/100,"")</f>
        <v/>
      </c>
      <c r="P18" s="81" t="str">
        <f>IFERROR(P10*P14*N14/100,"")</f>
        <v/>
      </c>
      <c r="Q18" s="82" t="str">
        <f>IFERROR(Q10*Q14/100,"")</f>
        <v/>
      </c>
      <c r="R18" s="82" t="str">
        <f t="shared" ref="R18" si="5">IFERROR(R10*R14/100,"")</f>
        <v/>
      </c>
      <c r="S18" s="82" t="str">
        <f>IFERROR(S10*S14*R14/100,"")</f>
        <v/>
      </c>
      <c r="T18" s="82" t="str">
        <f>IFERROR(T10*T14*R14/100,"")</f>
        <v/>
      </c>
    </row>
    <row r="19" spans="2:20" ht="7.5" customHeight="1" x14ac:dyDescent="0.2"/>
    <row r="20" spans="2:20" ht="39.75" customHeight="1" x14ac:dyDescent="0.2">
      <c r="C20" s="77" t="s">
        <v>335</v>
      </c>
      <c r="M20" s="69" t="s">
        <v>355</v>
      </c>
      <c r="N20" s="70" t="s">
        <v>356</v>
      </c>
    </row>
    <row r="21" spans="2:20" ht="30" customHeight="1" x14ac:dyDescent="0.2">
      <c r="B21" s="73" t="s">
        <v>330</v>
      </c>
      <c r="C21" s="79">
        <f>SUM(C17:I17)</f>
        <v>0</v>
      </c>
      <c r="L21" s="73" t="s">
        <v>330</v>
      </c>
      <c r="M21" s="79">
        <f>SUM(M17:P17)</f>
        <v>0</v>
      </c>
      <c r="N21" s="80">
        <f>SUM(Q17:T17)</f>
        <v>0</v>
      </c>
    </row>
    <row r="22" spans="2:20" ht="30" customHeight="1" x14ac:dyDescent="0.2">
      <c r="B22" s="74" t="s">
        <v>331</v>
      </c>
      <c r="C22" s="81">
        <f>SUM(C18:I18)</f>
        <v>0</v>
      </c>
      <c r="L22" s="74" t="s">
        <v>331</v>
      </c>
      <c r="M22" s="81">
        <f>SUM(M18:P18)</f>
        <v>0</v>
      </c>
      <c r="N22" s="82">
        <f>SUM(Q18:T18)</f>
        <v>0</v>
      </c>
    </row>
    <row r="24" spans="2:20" ht="30.75" customHeight="1" x14ac:dyDescent="0.2">
      <c r="B24" s="529" t="s">
        <v>357</v>
      </c>
      <c r="C24" s="530"/>
      <c r="D24" s="531"/>
      <c r="L24" s="529" t="s">
        <v>358</v>
      </c>
      <c r="M24" s="530"/>
      <c r="N24" s="53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expression" dxfId="8" priority="12">
      <formula>OR(C10="",C10=0)</formula>
    </cfRule>
  </conditionalFormatting>
  <conditionalFormatting sqref="C12:I12">
    <cfRule type="expression" dxfId="7" priority="16">
      <formula>OR(C10="",C10=0)</formula>
    </cfRule>
  </conditionalFormatting>
  <conditionalFormatting sqref="C16:I16">
    <cfRule type="expression" dxfId="6" priority="14">
      <formula>OR(C10="",C10=0)</formula>
    </cfRule>
  </conditionalFormatting>
  <conditionalFormatting sqref="M9:P9">
    <cfRule type="expression" dxfId="5" priority="11">
      <formula>OR(M10="",M10=0)</formula>
    </cfRule>
  </conditionalFormatting>
  <conditionalFormatting sqref="M12:P12">
    <cfRule type="expression" dxfId="4" priority="7">
      <formula>OR(M10="",M10=0)</formula>
    </cfRule>
  </conditionalFormatting>
  <conditionalFormatting sqref="M16:P16">
    <cfRule type="expression" dxfId="3" priority="9">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2">
    <dataValidation type="list" errorStyle="information" allowBlank="1" showInputMessage="1" showErrorMessage="1" promptTitle="Tariff selection" prompt="Choose tariff from drop down list" sqref="B10" xr:uid="{00000000-0002-0000-3200-000000000000}">
      <formula1>#REF!</formula1>
    </dataValidation>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86</vt:i4>
      </vt:variant>
    </vt:vector>
  </HeadingPairs>
  <TitlesOfParts>
    <vt:vector size="149"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Costs_H</vt:lpstr>
      <vt:lpstr>Annex 7 Pass-Through Costs_J</vt:lpstr>
      <vt:lpstr>Annex 7 Pass-Through Costs_K</vt:lpstr>
      <vt:lpstr>Annex 7 Pass-Through Costs_L</vt:lpstr>
      <vt:lpstr>Annex 7 Pass-Through Costs_M</vt:lpstr>
      <vt:lpstr>Annex 7 Pass-Through Costs_N</vt:lpstr>
      <vt:lpstr>Annex 7 Pass-Through Costs_P</vt:lpstr>
      <vt:lpstr>Nodal prices</vt:lpstr>
      <vt:lpstr>SSC TPR unit rate lookup</vt:lpstr>
      <vt:lpstr>Charge Calculator</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Will Ellis</cp:lastModifiedBy>
  <cp:lastPrinted>2019-01-15T12:12:59Z</cp:lastPrinted>
  <dcterms:created xsi:type="dcterms:W3CDTF">2009-11-12T11:38:00Z</dcterms:created>
  <dcterms:modified xsi:type="dcterms:W3CDTF">2025-03-13T11:53:58Z</dcterms:modified>
</cp:coreProperties>
</file>