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Leep-fs01\e\DATA\Operations Archive\Not Migrated to SharePoint\OPERATIONS\Peel Electricity Networks Ltd\Use of System Charges\2027-28\2026-05 LY9\"/>
    </mc:Choice>
  </mc:AlternateContent>
  <xr:revisionPtr revIDLastSave="0" documentId="13_ncr:1_{061CD25D-75A8-4BF2-A892-FAE10817F064}" xr6:coauthVersionLast="47" xr6:coauthVersionMax="47" xr10:uidLastSave="{00000000-0000-0000-0000-000000000000}"/>
  <bookViews>
    <workbookView xWindow="38280" yWindow="-120" windowWidth="38640" windowHeight="21120" tabRatio="877" xr2:uid="{24F8ECCC-0B84-45FF-8D62-CF737133FBA0}"/>
  </bookViews>
  <sheets>
    <sheet name="Overview" sheetId="1" r:id="rId1"/>
    <sheet name="Annex 1 LV and HV charges_A" sheetId="17" r:id="rId2"/>
    <sheet name="Annex 1 LV and HV charges_B" sheetId="18" r:id="rId3"/>
    <sheet name="Annex 1 LV and HV charges_C" sheetId="19" r:id="rId4"/>
    <sheet name="Annex 1 LV and HV charges_D" sheetId="20" r:id="rId5"/>
    <sheet name="Annex 1 LV and HV charges_E" sheetId="21" r:id="rId6"/>
    <sheet name="Annex 1 LV and HV charges_F" sheetId="22" r:id="rId7"/>
    <sheet name="Annex 1 LV and HV charges_G" sheetId="23" r:id="rId8"/>
    <sheet name="Annex 1 LV and HV charges_H" sheetId="57" r:id="rId9"/>
    <sheet name="Annex 1 LV and HV charges_J" sheetId="24" r:id="rId10"/>
    <sheet name="Annex 1 LV and HV charges_K" sheetId="25" r:id="rId11"/>
    <sheet name="Annex 1 LV and HV charges_L" sheetId="26" r:id="rId12"/>
    <sheet name="Annex 1 LV and HV charges_M" sheetId="27" r:id="rId13"/>
    <sheet name="Annex 1 LV and HV charges_N" sheetId="61" r:id="rId14"/>
    <sheet name="Annex 1 LV and HV charges_P" sheetId="60" r:id="rId15"/>
    <sheet name="Annex 2 EHV charges" sheetId="28" r:id="rId16"/>
    <sheet name="Annex 3 Preserved charges" sheetId="29" r:id="rId17"/>
    <sheet name="Annex 4 LDNO charges_A" sheetId="30" r:id="rId18"/>
    <sheet name="Annex 4 LDNO charges_B" sheetId="31" r:id="rId19"/>
    <sheet name="Annex 4 LDNO charges_C" sheetId="32" r:id="rId20"/>
    <sheet name="Annex 4 LDNO charges_D" sheetId="33" r:id="rId21"/>
    <sheet name="Annex 4 LDNO charges_E" sheetId="35" r:id="rId22"/>
    <sheet name="Annex 4 LDNO charges_F" sheetId="34" r:id="rId23"/>
    <sheet name="Annex 4 LDNO charges_G" sheetId="36" r:id="rId24"/>
    <sheet name="Annex 4 LDNO charges_H" sheetId="58" r:id="rId25"/>
    <sheet name="Annex 4 LDNO charges_J" sheetId="37" r:id="rId26"/>
    <sheet name="Annex 4 LDNO charges_K" sheetId="38" r:id="rId27"/>
    <sheet name="Annex 4 LDNO charges_L" sheetId="39" r:id="rId28"/>
    <sheet name="Annex 4 LDNO charges_M" sheetId="40" r:id="rId29"/>
    <sheet name="Annex 4 LDNO charges_N" sheetId="62" r:id="rId30"/>
    <sheet name="Annex 4 LDNO charges_P" sheetId="63" r:id="rId31"/>
    <sheet name="Annex 5 LLFs_A" sheetId="41" r:id="rId32"/>
    <sheet name="Annex 5 LLFs_B" sheetId="42" r:id="rId33"/>
    <sheet name="Annex 5 LLFs_C" sheetId="43" r:id="rId34"/>
    <sheet name="Annex 5 LLFs_D" sheetId="44" r:id="rId35"/>
    <sheet name="Annex 5 LLFs_E" sheetId="45" r:id="rId36"/>
    <sheet name="Annex 5 LLFs_F" sheetId="46" r:id="rId37"/>
    <sheet name="Annex 5 LLFs_G" sheetId="48" r:id="rId38"/>
    <sheet name="Annex 5 LLFs_H" sheetId="59" r:id="rId39"/>
    <sheet name="Annex 5 LLFs_J" sheetId="49" r:id="rId40"/>
    <sheet name="Annex 5 LLFs_K" sheetId="50" r:id="rId41"/>
    <sheet name="Annex 5 LLFs_L" sheetId="51" r:id="rId42"/>
    <sheet name="Annex 5 LLFs_M" sheetId="52" r:id="rId43"/>
    <sheet name="Annex 5 LLFs_N" sheetId="64" r:id="rId44"/>
    <sheet name="Annex 5 LLFs_P" sheetId="65" r:id="rId45"/>
    <sheet name="Annex 6 New or Amended EHV" sheetId="53" r:id="rId46"/>
    <sheet name="Annex 7 Pass-Through Costs_A" sheetId="66" r:id="rId47"/>
    <sheet name="Annex 7 Pass-Through Costs_B" sheetId="67" r:id="rId48"/>
    <sheet name="Annex 7 Pass-Through Costs_C" sheetId="68" r:id="rId49"/>
    <sheet name="Annex 7 Pass-Through Costs_D" sheetId="69" r:id="rId50"/>
    <sheet name="Annex 7 Pass-Through Costs_E" sheetId="70" r:id="rId51"/>
    <sheet name="Annex 7 Pass-Through Costs_F" sheetId="71" r:id="rId52"/>
    <sheet name="Annex 7 Pass-Through Costs_G" sheetId="72" r:id="rId53"/>
    <sheet name="Annex 7 Pass-Through Costs_H" sheetId="73" r:id="rId54"/>
    <sheet name="Annex 7 Pass-Through Costs_J" sheetId="74" r:id="rId55"/>
    <sheet name="Annex 7 Pass-Through Costs_K" sheetId="75" r:id="rId56"/>
    <sheet name="Annex 7 Pass-Through Costs_L" sheetId="76" r:id="rId57"/>
    <sheet name="Annex 7 Pass-Through Costs_M" sheetId="77" r:id="rId58"/>
    <sheet name="Annex 7 Pass-Through Costs_N" sheetId="78" r:id="rId59"/>
    <sheet name="Annex 7 Pass-Through Costs_P" sheetId="79" r:id="rId60"/>
    <sheet name="Nodal prices" sheetId="54" r:id="rId61"/>
    <sheet name="SSC TPR unit rate lookup" sheetId="16" r:id="rId62"/>
    <sheet name="Residual Charging Bands" sheetId="80" r:id="rId63"/>
    <sheet name="TNUoS Mapping" sheetId="81" r:id="rId64"/>
    <sheet name="Charge Calculator" sheetId="15" r:id="rId65"/>
  </sheets>
  <definedNames>
    <definedName name="_xlnm._FilterDatabase" localSheetId="1" hidden="1">'Annex 1 LV and HV charges_A'!$A$13:$S$32</definedName>
    <definedName name="_xlnm._FilterDatabase" localSheetId="3" hidden="1">'Annex 1 LV and HV charges_C'!$A$13:$K$32</definedName>
    <definedName name="_xlnm._FilterDatabase" localSheetId="4" hidden="1">'Annex 1 LV and HV charges_D'!$A$14:$O$32</definedName>
    <definedName name="_xlnm._FilterDatabase" localSheetId="9" hidden="1">'Annex 1 LV and HV charges_J'!$A$13:$K$32</definedName>
    <definedName name="_xlnm._FilterDatabase" localSheetId="15" hidden="1">'Annex 2 EHV charges'!$A$10:$M$10</definedName>
    <definedName name="_xlnm._FilterDatabase" localSheetId="17" hidden="1">'Annex 4 LDNO charges_A'!$A$13:$J$67</definedName>
    <definedName name="_xlnm._FilterDatabase" localSheetId="19" hidden="1">'Annex 4 LDNO charges_C'!$B$13:$J$140</definedName>
    <definedName name="_xlnm._FilterDatabase" localSheetId="20" hidden="1">'Annex 4 LDNO charges_D'!$A$13:$J$140</definedName>
    <definedName name="_xlnm._FilterDatabase" localSheetId="25" hidden="1">'Annex 4 LDNO charges_J'!$B$13:$J$140</definedName>
    <definedName name="_xlnm._FilterDatabase" localSheetId="35" hidden="1">'Annex 5 LLFs_E'!#REF!</definedName>
    <definedName name="_xlnm._FilterDatabase" localSheetId="40" hidden="1">'Annex 5 LLFs_K'!#REF!</definedName>
    <definedName name="_xlnm._FilterDatabase" localSheetId="41" hidden="1">'Annex 5 LLFs_L'!#REF!</definedName>
    <definedName name="_xlnm._FilterDatabase" localSheetId="43" hidden="1">'Annex 5 LLFs_N'!#REF!</definedName>
    <definedName name="_xlnm._FilterDatabase" localSheetId="61" hidden="1">'SSC TPR unit rate lookup'!$A$28:$D$1205</definedName>
    <definedName name="OLE_LINK1" localSheetId="16">'Annex 3 Preserved charges'!#REF!</definedName>
    <definedName name="_xlnm.Print_Area" localSheetId="1">'Annex 1 LV and HV charges_A'!$A$2:$K$32</definedName>
    <definedName name="_xlnm.Print_Area" localSheetId="2">'Annex 1 LV and HV charges_B'!$A$2:$K$32</definedName>
    <definedName name="_xlnm.Print_Area" localSheetId="3">'Annex 1 LV and HV charges_C'!$A$2:$K$32</definedName>
    <definedName name="_xlnm.Print_Area" localSheetId="4">'Annex 1 LV and HV charges_D'!$A$2:$K$32</definedName>
    <definedName name="_xlnm.Print_Area" localSheetId="5">'Annex 1 LV and HV charges_E'!$A$1:$L$32</definedName>
    <definedName name="_xlnm.Print_Area" localSheetId="6">'Annex 1 LV and HV charges_F'!$A$2:$K$32</definedName>
    <definedName name="_xlnm.Print_Area" localSheetId="7">'Annex 1 LV and HV charges_G'!$A$2:$K$33</definedName>
    <definedName name="_xlnm.Print_Area" localSheetId="8">'Annex 1 LV and HV charges_H'!$A$2:$K$32</definedName>
    <definedName name="_xlnm.Print_Area" localSheetId="9">'Annex 1 LV and HV charges_J'!$A$2:$K$32</definedName>
    <definedName name="_xlnm.Print_Area" localSheetId="10">'Annex 1 LV and HV charges_K'!$A$2:$K$32</definedName>
    <definedName name="_xlnm.Print_Area" localSheetId="11">'Annex 1 LV and HV charges_L'!$A$2:$K$32</definedName>
    <definedName name="_xlnm.Print_Area" localSheetId="12">'Annex 1 LV and HV charges_M'!$A$2:$K$32</definedName>
    <definedName name="_xlnm.Print_Area" localSheetId="13">'Annex 1 LV and HV charges_N'!$A$2:$K$32</definedName>
    <definedName name="_xlnm.Print_Area" localSheetId="14">'Annex 1 LV and HV charges_P'!$A$2:$K$32</definedName>
    <definedName name="_xlnm.Print_Area" localSheetId="15">'Annex 2 EHV charges'!$A$2:$M$132</definedName>
    <definedName name="_xlnm.Print_Area" localSheetId="16">'Annex 3 Preserved charges'!$A$2:$J$12</definedName>
    <definedName name="_xlnm.Print_Area" localSheetId="17">'Annex 4 LDNO charges_A'!$A$2:$J$67</definedName>
    <definedName name="_xlnm.Print_Area" localSheetId="18">'Annex 4 LDNO charges_B'!$A$1:$AT$149</definedName>
    <definedName name="_xlnm.Print_Area" localSheetId="19">'Annex 4 LDNO charges_C'!$A$2:$J$140</definedName>
    <definedName name="_xlnm.Print_Area" localSheetId="20">'Annex 4 LDNO charges_D'!$A$2:$J$140</definedName>
    <definedName name="_xlnm.Print_Area" localSheetId="21">'Annex 4 LDNO charges_E'!$A$1:$AM$158</definedName>
    <definedName name="_xlnm.Print_Area" localSheetId="22">'Annex 4 LDNO charges_F'!$A$2:$J$140</definedName>
    <definedName name="_xlnm.Print_Area" localSheetId="23">'Annex 4 LDNO charges_G'!$A$2:$J$140</definedName>
    <definedName name="_xlnm.Print_Area" localSheetId="24">'Annex 4 LDNO charges_H'!$A$2:$J$140</definedName>
    <definedName name="_xlnm.Print_Area" localSheetId="25">'Annex 4 LDNO charges_J'!$A$2:$J$140</definedName>
    <definedName name="_xlnm.Print_Area" localSheetId="26">'Annex 4 LDNO charges_K'!$A$2:$J$140</definedName>
    <definedName name="_xlnm.Print_Area" localSheetId="27">'Annex 4 LDNO charges_L'!$A$2:$J$140</definedName>
    <definedName name="_xlnm.Print_Area" localSheetId="28">'Annex 4 LDNO charges_M'!$A$2:$J$140</definedName>
    <definedName name="_xlnm.Print_Area" localSheetId="29">'Annex 4 LDNO charges_N'!$A$2:$J$140</definedName>
    <definedName name="_xlnm.Print_Area" localSheetId="30">'Annex 4 LDNO charges_P'!$A$2:$J$140</definedName>
    <definedName name="_xlnm.Print_Area" localSheetId="31">'Annex 5 LLFs_A'!$A$3:$H$31</definedName>
    <definedName name="_xlnm.Print_Area" localSheetId="32">'Annex 5 LLFs_B'!$A$3:$F$32</definedName>
    <definedName name="_xlnm.Print_Area" localSheetId="33">'Annex 5 LLFs_C'!$A$3:$G$31</definedName>
    <definedName name="_xlnm.Print_Area" localSheetId="34">'Annex 5 LLFs_D'!$A$3:$F$32</definedName>
    <definedName name="_xlnm.Print_Area" localSheetId="35">'Annex 5 LLFs_E'!$A$3:$F$32</definedName>
    <definedName name="_xlnm.Print_Area" localSheetId="36">'Annex 5 LLFs_F'!$A$3:$F$32</definedName>
    <definedName name="_xlnm.Print_Area" localSheetId="37">'Annex 5 LLFs_G'!$A$3:$F$31</definedName>
    <definedName name="_xlnm.Print_Area" localSheetId="38">'Annex 5 LLFs_H'!$A$3:$F$30</definedName>
    <definedName name="_xlnm.Print_Area" localSheetId="39">'Annex 5 LLFs_J'!$A$3:$G$31</definedName>
    <definedName name="_xlnm.Print_Area" localSheetId="40">'Annex 5 LLFs_K'!$A$3:$F$32</definedName>
    <definedName name="_xlnm.Print_Area" localSheetId="41">'Annex 5 LLFs_L'!$A$3:$F$32</definedName>
    <definedName name="_xlnm.Print_Area" localSheetId="42">'Annex 5 LLFs_M'!$A$3:$F$31</definedName>
    <definedName name="_xlnm.Print_Area" localSheetId="43">'Annex 5 LLFs_N'!$A$3:$F$32</definedName>
    <definedName name="_xlnm.Print_Area" localSheetId="44">'Annex 5 LLFs_P'!$A$3:$F$29</definedName>
    <definedName name="_xlnm.Print_Area" localSheetId="45">'Annex 6 New or Amended EHV'!$A$4:$O$109</definedName>
    <definedName name="_xlnm.Print_Area" localSheetId="60">'Nodal prices'!$A$2:$D$3</definedName>
    <definedName name="_xlnm.Print_Titles" localSheetId="1">'Annex 1 LV and HV charges_A'!$2:$13</definedName>
    <definedName name="_xlnm.Print_Titles" localSheetId="2">'Annex 1 LV and HV charges_B'!$2:$13</definedName>
    <definedName name="_xlnm.Print_Titles" localSheetId="3">'Annex 1 LV and HV charges_C'!$2:$12</definedName>
    <definedName name="_xlnm.Print_Titles" localSheetId="4">'Annex 1 LV and HV charges_D'!$2:$14</definedName>
    <definedName name="_xlnm.Print_Titles" localSheetId="5">'Annex 1 LV and HV charges_E'!$2:$13</definedName>
    <definedName name="_xlnm.Print_Titles" localSheetId="6">'Annex 1 LV and HV charges_F'!$2:$13</definedName>
    <definedName name="_xlnm.Print_Titles" localSheetId="7">'Annex 1 LV and HV charges_G'!$2:$13</definedName>
    <definedName name="_xlnm.Print_Titles" localSheetId="8">'Annex 1 LV and HV charges_H'!$2:$13</definedName>
    <definedName name="_xlnm.Print_Titles" localSheetId="9">'Annex 1 LV and HV charges_J'!$2:$13</definedName>
    <definedName name="_xlnm.Print_Titles" localSheetId="10">'Annex 1 LV and HV charges_K'!$2:$13</definedName>
    <definedName name="_xlnm.Print_Titles" localSheetId="11">'Annex 1 LV and HV charges_L'!$2:$13</definedName>
    <definedName name="_xlnm.Print_Titles" localSheetId="12">'Annex 1 LV and HV charges_M'!$2:$13</definedName>
    <definedName name="_xlnm.Print_Titles" localSheetId="13">'Annex 1 LV and HV charges_N'!$2:$13</definedName>
    <definedName name="_xlnm.Print_Titles" localSheetId="14">'Annex 1 LV and HV charges_P'!$2:$13</definedName>
    <definedName name="_xlnm.Print_Titles" localSheetId="17">'Annex 4 LDNO charges_A'!$13:$13</definedName>
    <definedName name="_xlnm.Print_Titles" localSheetId="18">'Annex 4 LDNO charges_B'!$13:$13</definedName>
    <definedName name="_xlnm.Print_Titles" localSheetId="19">'Annex 4 LDNO charges_C'!$13:$13</definedName>
    <definedName name="_xlnm.Print_Titles" localSheetId="20">'Annex 4 LDNO charges_D'!$13:$13</definedName>
    <definedName name="_xlnm.Print_Titles" localSheetId="21">'Annex 4 LDNO charges_E'!$13:$13</definedName>
    <definedName name="_xlnm.Print_Titles" localSheetId="22">'Annex 4 LDNO charges_F'!$13:$13</definedName>
    <definedName name="_xlnm.Print_Titles" localSheetId="23">'Annex 4 LDNO charges_G'!$13:$13</definedName>
    <definedName name="_xlnm.Print_Titles" localSheetId="24">'Annex 4 LDNO charges_H'!$13:$13</definedName>
    <definedName name="_xlnm.Print_Titles" localSheetId="25">'Annex 4 LDNO charges_J'!$13:$13</definedName>
    <definedName name="_xlnm.Print_Titles" localSheetId="26">'Annex 4 LDNO charges_K'!$13:$13</definedName>
    <definedName name="_xlnm.Print_Titles" localSheetId="27">'Annex 4 LDNO charges_L'!$13:$13</definedName>
    <definedName name="_xlnm.Print_Titles" localSheetId="28">'Annex 4 LDNO charges_M'!$13:$13</definedName>
    <definedName name="_xlnm.Print_Titles" localSheetId="29">'Annex 4 LDNO charges_N'!$13:$13</definedName>
    <definedName name="_xlnm.Print_Titles" localSheetId="30">'Annex 4 LDNO charges_P'!$13:$13</definedName>
    <definedName name="_xlnm.Print_Titles" localSheetId="35">'Annex 5 LLFs_E'!$26:$26</definedName>
    <definedName name="_xlnm.Print_Titles" localSheetId="36">'Annex 5 LLFs_F'!$26:$26</definedName>
    <definedName name="_xlnm.Print_Titles" localSheetId="38">'Annex 5 LLFs_H'!$24:$24</definedName>
    <definedName name="_xlnm.Print_Titles" localSheetId="39">'Annex 5 LLFs_J'!$25:$25</definedName>
    <definedName name="_xlnm.Print_Titles" localSheetId="40">'Annex 5 LLFs_K'!$26:$26</definedName>
    <definedName name="_xlnm.Print_Titles" localSheetId="41">'Annex 5 LLFs_L'!$26:$26</definedName>
    <definedName name="_xlnm.Print_Titles" localSheetId="42">'Annex 5 LLFs_M'!$25:$25</definedName>
    <definedName name="_xlnm.Print_Titles" localSheetId="43">'Annex 5 LLFs_N'!$26:$26</definedName>
    <definedName name="_xlnm.Print_Titles" localSheetId="44">'Annex 5 LLFs_P'!$23:$23</definedName>
    <definedName name="_xlnm.Print_Titles" localSheetId="45">'Annex 6 New or Amended EHV'!$4:$5</definedName>
    <definedName name="_xlnm.Print_Titles" localSheetId="60">'Nodal prices'!$2:$3</definedName>
    <definedName name="_xlnm.Print_Titles" localSheetId="61">'SSC TPR unit rate lookup'!$28:$28</definedName>
    <definedName name="Z_5032A364_B81A_48DA_88DA_AB3B86B47EE9_.wvu.PrintArea" localSheetId="1" hidden="1">'Annex 1 LV and HV charges_A'!$A$2:$K$32</definedName>
    <definedName name="Z_5032A364_B81A_48DA_88DA_AB3B86B47EE9_.wvu.PrintArea" localSheetId="2" hidden="1">'Annex 1 LV and HV charges_B'!$A$2:$K$32</definedName>
    <definedName name="Z_5032A364_B81A_48DA_88DA_AB3B86B47EE9_.wvu.PrintArea" localSheetId="3" hidden="1">'Annex 1 LV and HV charges_C'!$A$2:$K$32</definedName>
    <definedName name="Z_5032A364_B81A_48DA_88DA_AB3B86B47EE9_.wvu.PrintArea" localSheetId="4" hidden="1">'Annex 1 LV and HV charges_D'!$A$2:$K$32</definedName>
    <definedName name="Z_5032A364_B81A_48DA_88DA_AB3B86B47EE9_.wvu.PrintArea" localSheetId="5" hidden="1">'Annex 1 LV and HV charges_E'!$A$2:$K$32</definedName>
    <definedName name="Z_5032A364_B81A_48DA_88DA_AB3B86B47EE9_.wvu.PrintArea" localSheetId="6" hidden="1">'Annex 1 LV and HV charges_F'!$A$2:$K$32</definedName>
    <definedName name="Z_5032A364_B81A_48DA_88DA_AB3B86B47EE9_.wvu.PrintArea" localSheetId="7" hidden="1">'Annex 1 LV and HV charges_G'!$A$2:$K$33</definedName>
    <definedName name="Z_5032A364_B81A_48DA_88DA_AB3B86B47EE9_.wvu.PrintArea" localSheetId="8" hidden="1">'Annex 1 LV and HV charges_H'!$A$2:$K$32</definedName>
    <definedName name="Z_5032A364_B81A_48DA_88DA_AB3B86B47EE9_.wvu.PrintArea" localSheetId="9" hidden="1">'Annex 1 LV and HV charges_J'!$A$2:$K$32</definedName>
    <definedName name="Z_5032A364_B81A_48DA_88DA_AB3B86B47EE9_.wvu.PrintArea" localSheetId="10" hidden="1">'Annex 1 LV and HV charges_K'!$A$2:$K$32</definedName>
    <definedName name="Z_5032A364_B81A_48DA_88DA_AB3B86B47EE9_.wvu.PrintArea" localSheetId="11" hidden="1">'Annex 1 LV and HV charges_L'!$A$2:$K$32</definedName>
    <definedName name="Z_5032A364_B81A_48DA_88DA_AB3B86B47EE9_.wvu.PrintArea" localSheetId="12" hidden="1">'Annex 1 LV and HV charges_M'!$A$2:$K$32</definedName>
    <definedName name="Z_5032A364_B81A_48DA_88DA_AB3B86B47EE9_.wvu.PrintArea" localSheetId="13" hidden="1">'Annex 1 LV and HV charges_N'!$A$2:$K$32</definedName>
    <definedName name="Z_5032A364_B81A_48DA_88DA_AB3B86B47EE9_.wvu.PrintArea" localSheetId="14" hidden="1">'Annex 1 LV and HV charges_P'!$A$2:$K$32</definedName>
    <definedName name="Z_5032A364_B81A_48DA_88DA_AB3B86B47EE9_.wvu.PrintArea" localSheetId="15" hidden="1">'Annex 2 EHV charges'!$A$2:$G$10</definedName>
    <definedName name="Z_5032A364_B81A_48DA_88DA_AB3B86B47EE9_.wvu.PrintArea" localSheetId="16" hidden="1">'Annex 3 Preserved charges'!$A$2:$J$12</definedName>
    <definedName name="Z_5032A364_B81A_48DA_88DA_AB3B86B47EE9_.wvu.PrintArea" localSheetId="17" hidden="1">'Annex 4 LDNO charges_A'!$A$2:$I$67</definedName>
    <definedName name="Z_5032A364_B81A_48DA_88DA_AB3B86B47EE9_.wvu.PrintArea" localSheetId="18" hidden="1">'Annex 4 LDNO charges_B'!$A$2:$I$140</definedName>
    <definedName name="Z_5032A364_B81A_48DA_88DA_AB3B86B47EE9_.wvu.PrintArea" localSheetId="19" hidden="1">'Annex 4 LDNO charges_C'!$A$2:$I$140</definedName>
    <definedName name="Z_5032A364_B81A_48DA_88DA_AB3B86B47EE9_.wvu.PrintArea" localSheetId="20" hidden="1">'Annex 4 LDNO charges_D'!$A$2:$I$140</definedName>
    <definedName name="Z_5032A364_B81A_48DA_88DA_AB3B86B47EE9_.wvu.PrintArea" localSheetId="21" hidden="1">'Annex 4 LDNO charges_E'!$A$2:$I$140</definedName>
    <definedName name="Z_5032A364_B81A_48DA_88DA_AB3B86B47EE9_.wvu.PrintArea" localSheetId="22" hidden="1">'Annex 4 LDNO charges_F'!$A$2:$I$140</definedName>
    <definedName name="Z_5032A364_B81A_48DA_88DA_AB3B86B47EE9_.wvu.PrintArea" localSheetId="23" hidden="1">'Annex 4 LDNO charges_G'!$A$2:$I$140</definedName>
    <definedName name="Z_5032A364_B81A_48DA_88DA_AB3B86B47EE9_.wvu.PrintArea" localSheetId="24" hidden="1">'Annex 4 LDNO charges_H'!$A$2:$I$140</definedName>
    <definedName name="Z_5032A364_B81A_48DA_88DA_AB3B86B47EE9_.wvu.PrintArea" localSheetId="25" hidden="1">'Annex 4 LDNO charges_J'!$A$2:$I$140</definedName>
    <definedName name="Z_5032A364_B81A_48DA_88DA_AB3B86B47EE9_.wvu.PrintArea" localSheetId="26" hidden="1">'Annex 4 LDNO charges_K'!$A$2:$I$140</definedName>
    <definedName name="Z_5032A364_B81A_48DA_88DA_AB3B86B47EE9_.wvu.PrintArea" localSheetId="27" hidden="1">'Annex 4 LDNO charges_L'!$A$2:$I$140</definedName>
    <definedName name="Z_5032A364_B81A_48DA_88DA_AB3B86B47EE9_.wvu.PrintArea" localSheetId="28" hidden="1">'Annex 4 LDNO charges_M'!$A$2:$I$140</definedName>
    <definedName name="Z_5032A364_B81A_48DA_88DA_AB3B86B47EE9_.wvu.PrintArea" localSheetId="29" hidden="1">'Annex 4 LDNO charges_N'!$A$2:$I$140</definedName>
    <definedName name="Z_5032A364_B81A_48DA_88DA_AB3B86B47EE9_.wvu.PrintArea" localSheetId="30" hidden="1">'Annex 4 LDNO charges_P'!$A$2:$I$140</definedName>
    <definedName name="Z_5032A364_B81A_48DA_88DA_AB3B86B47EE9_.wvu.PrintArea" localSheetId="31" hidden="1">'Annex 5 LLFs_A'!$A$3:$F$30</definedName>
    <definedName name="Z_5032A364_B81A_48DA_88DA_AB3B86B47EE9_.wvu.PrintArea" localSheetId="32" hidden="1">'Annex 5 LLFs_B'!$A$3:$F$32</definedName>
    <definedName name="Z_5032A364_B81A_48DA_88DA_AB3B86B47EE9_.wvu.PrintArea" localSheetId="33" hidden="1">'Annex 5 LLFs_C'!$A$3:$E$31</definedName>
    <definedName name="Z_5032A364_B81A_48DA_88DA_AB3B86B47EE9_.wvu.PrintArea" localSheetId="34" hidden="1">'Annex 5 LLFs_D'!$A$3:$F$32</definedName>
    <definedName name="Z_5032A364_B81A_48DA_88DA_AB3B86B47EE9_.wvu.PrintArea" localSheetId="35" hidden="1">'Annex 5 LLFs_E'!$A$3:$F$32</definedName>
    <definedName name="Z_5032A364_B81A_48DA_88DA_AB3B86B47EE9_.wvu.PrintArea" localSheetId="36" hidden="1">'Annex 5 LLFs_F'!$A$3:$F$32</definedName>
    <definedName name="Z_5032A364_B81A_48DA_88DA_AB3B86B47EE9_.wvu.PrintArea" localSheetId="37" hidden="1">'Annex 5 LLFs_G'!$A$3:$F$31</definedName>
    <definedName name="Z_5032A364_B81A_48DA_88DA_AB3B86B47EE9_.wvu.PrintArea" localSheetId="38" hidden="1">'Annex 5 LLFs_H'!$A$3:$F$30</definedName>
    <definedName name="Z_5032A364_B81A_48DA_88DA_AB3B86B47EE9_.wvu.PrintArea" localSheetId="39" hidden="1">'Annex 5 LLFs_J'!$A$3:$E$31</definedName>
    <definedName name="Z_5032A364_B81A_48DA_88DA_AB3B86B47EE9_.wvu.PrintArea" localSheetId="40" hidden="1">'Annex 5 LLFs_K'!$A$3:$F$32</definedName>
    <definedName name="Z_5032A364_B81A_48DA_88DA_AB3B86B47EE9_.wvu.PrintArea" localSheetId="41" hidden="1">'Annex 5 LLFs_L'!$A$3:$F$32</definedName>
    <definedName name="Z_5032A364_B81A_48DA_88DA_AB3B86B47EE9_.wvu.PrintArea" localSheetId="42" hidden="1">'Annex 5 LLFs_M'!$A$3:$F$31</definedName>
    <definedName name="Z_5032A364_B81A_48DA_88DA_AB3B86B47EE9_.wvu.PrintArea" localSheetId="43" hidden="1">'Annex 5 LLFs_N'!$A$3:$F$32</definedName>
    <definedName name="Z_5032A364_B81A_48DA_88DA_AB3B86B47EE9_.wvu.PrintArea" localSheetId="44" hidden="1">'Annex 5 LLFs_P'!$A$3:$F$29</definedName>
    <definedName name="Z_5032A364_B81A_48DA_88DA_AB3B86B47EE9_.wvu.PrintArea" localSheetId="45" hidden="1">'Annex 6 New or Amended EHV'!$A$1:$M$28</definedName>
    <definedName name="Z_5032A364_B81A_48DA_88DA_AB3B86B47EE9_.wvu.PrintArea" localSheetId="60" hidden="1">'Nodal prices'!$A$2:$D$3</definedName>
    <definedName name="Z_5032A364_B81A_48DA_88DA_AB3B86B47EE9_.wvu.PrintTitles" localSheetId="1" hidden="1">'Annex 1 LV and HV charges_A'!$2:$13</definedName>
    <definedName name="Z_5032A364_B81A_48DA_88DA_AB3B86B47EE9_.wvu.PrintTitles" localSheetId="2" hidden="1">'Annex 1 LV and HV charges_B'!$2:$13</definedName>
    <definedName name="Z_5032A364_B81A_48DA_88DA_AB3B86B47EE9_.wvu.PrintTitles" localSheetId="3" hidden="1">'Annex 1 LV and HV charges_C'!$2:$12</definedName>
    <definedName name="Z_5032A364_B81A_48DA_88DA_AB3B86B47EE9_.wvu.PrintTitles" localSheetId="4" hidden="1">'Annex 1 LV and HV charges_D'!$2:$14</definedName>
    <definedName name="Z_5032A364_B81A_48DA_88DA_AB3B86B47EE9_.wvu.PrintTitles" localSheetId="5" hidden="1">'Annex 1 LV and HV charges_E'!$2:$13</definedName>
    <definedName name="Z_5032A364_B81A_48DA_88DA_AB3B86B47EE9_.wvu.PrintTitles" localSheetId="6" hidden="1">'Annex 1 LV and HV charges_F'!$2:$13</definedName>
    <definedName name="Z_5032A364_B81A_48DA_88DA_AB3B86B47EE9_.wvu.PrintTitles" localSheetId="7" hidden="1">'Annex 1 LV and HV charges_G'!$2:$13</definedName>
    <definedName name="Z_5032A364_B81A_48DA_88DA_AB3B86B47EE9_.wvu.PrintTitles" localSheetId="8" hidden="1">'Annex 1 LV and HV charges_H'!$2:$13</definedName>
    <definedName name="Z_5032A364_B81A_48DA_88DA_AB3B86B47EE9_.wvu.PrintTitles" localSheetId="9" hidden="1">'Annex 1 LV and HV charges_J'!$2:$13</definedName>
    <definedName name="Z_5032A364_B81A_48DA_88DA_AB3B86B47EE9_.wvu.PrintTitles" localSheetId="10" hidden="1">'Annex 1 LV and HV charges_K'!$2:$13</definedName>
    <definedName name="Z_5032A364_B81A_48DA_88DA_AB3B86B47EE9_.wvu.PrintTitles" localSheetId="11" hidden="1">'Annex 1 LV and HV charges_L'!$2:$13</definedName>
    <definedName name="Z_5032A364_B81A_48DA_88DA_AB3B86B47EE9_.wvu.PrintTitles" localSheetId="12" hidden="1">'Annex 1 LV and HV charges_M'!$2:$13</definedName>
    <definedName name="Z_5032A364_B81A_48DA_88DA_AB3B86B47EE9_.wvu.PrintTitles" localSheetId="13" hidden="1">'Annex 1 LV and HV charges_N'!$2:$13</definedName>
    <definedName name="Z_5032A364_B81A_48DA_88DA_AB3B86B47EE9_.wvu.PrintTitles" localSheetId="14" hidden="1">'Annex 1 LV and HV charges_P'!$2:$13</definedName>
    <definedName name="Z_5032A364_B81A_48DA_88DA_AB3B86B47EE9_.wvu.PrintTitles" localSheetId="15" hidden="1">'Annex 2 EHV charges'!$2:$10</definedName>
    <definedName name="Z_5032A364_B81A_48DA_88DA_AB3B86B47EE9_.wvu.PrintTitles" localSheetId="17" hidden="1">'Annex 4 LDNO charges_A'!$2:$13</definedName>
    <definedName name="Z_5032A364_B81A_48DA_88DA_AB3B86B47EE9_.wvu.PrintTitles" localSheetId="18" hidden="1">'Annex 4 LDNO charges_B'!$2:$13</definedName>
    <definedName name="Z_5032A364_B81A_48DA_88DA_AB3B86B47EE9_.wvu.PrintTitles" localSheetId="19" hidden="1">'Annex 4 LDNO charges_C'!$2:$13</definedName>
    <definedName name="Z_5032A364_B81A_48DA_88DA_AB3B86B47EE9_.wvu.PrintTitles" localSheetId="20" hidden="1">'Annex 4 LDNO charges_D'!$2:$13</definedName>
    <definedName name="Z_5032A364_B81A_48DA_88DA_AB3B86B47EE9_.wvu.PrintTitles" localSheetId="21" hidden="1">'Annex 4 LDNO charges_E'!$2:$13</definedName>
    <definedName name="Z_5032A364_B81A_48DA_88DA_AB3B86B47EE9_.wvu.PrintTitles" localSheetId="22" hidden="1">'Annex 4 LDNO charges_F'!$2:$13</definedName>
    <definedName name="Z_5032A364_B81A_48DA_88DA_AB3B86B47EE9_.wvu.PrintTitles" localSheetId="23" hidden="1">'Annex 4 LDNO charges_G'!$2:$13</definedName>
    <definedName name="Z_5032A364_B81A_48DA_88DA_AB3B86B47EE9_.wvu.PrintTitles" localSheetId="24" hidden="1">'Annex 4 LDNO charges_H'!$2:$13</definedName>
    <definedName name="Z_5032A364_B81A_48DA_88DA_AB3B86B47EE9_.wvu.PrintTitles" localSheetId="25" hidden="1">'Annex 4 LDNO charges_J'!$2:$13</definedName>
    <definedName name="Z_5032A364_B81A_48DA_88DA_AB3B86B47EE9_.wvu.PrintTitles" localSheetId="26" hidden="1">'Annex 4 LDNO charges_K'!$2:$13</definedName>
    <definedName name="Z_5032A364_B81A_48DA_88DA_AB3B86B47EE9_.wvu.PrintTitles" localSheetId="27" hidden="1">'Annex 4 LDNO charges_L'!$2:$13</definedName>
    <definedName name="Z_5032A364_B81A_48DA_88DA_AB3B86B47EE9_.wvu.PrintTitles" localSheetId="28" hidden="1">'Annex 4 LDNO charges_M'!$2:$13</definedName>
    <definedName name="Z_5032A364_B81A_48DA_88DA_AB3B86B47EE9_.wvu.PrintTitles" localSheetId="29" hidden="1">'Annex 4 LDNO charges_N'!$2:$13</definedName>
    <definedName name="Z_5032A364_B81A_48DA_88DA_AB3B86B47EE9_.wvu.PrintTitles" localSheetId="30" hidden="1">'Annex 4 LDNO charges_P'!$2:$13</definedName>
    <definedName name="Z_5032A364_B81A_48DA_88DA_AB3B86B47EE9_.wvu.PrintTitles" localSheetId="45" hidden="1">'Annex 6 New or Amended EHV'!$4:$5</definedName>
    <definedName name="Z_5032A364_B81A_48DA_88DA_AB3B86B47EE9_.wvu.PrintTitles" localSheetId="60" hidden="1">'Nodal prices'!$2:$3</definedName>
  </definedNames>
  <calcPr calcId="191029"/>
  <customWorkbookViews>
    <customWorkbookView name="Oliver Day - Personal View" guid="{5032A364-B81A-48DA-88DA-AB3B86B47EE9}" mergeInterval="0" personalView="1" maximized="1" xWindow="1" yWindow="1" windowWidth="1280" windowHeight="807" tabRatio="854"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81" l="1"/>
  <c r="B12" i="81"/>
  <c r="B13" i="81"/>
  <c r="B18" i="81"/>
  <c r="B23" i="81"/>
  <c r="B29" i="81"/>
  <c r="B30" i="81"/>
  <c r="B31" i="81"/>
  <c r="B32" i="81"/>
  <c r="B33" i="81"/>
  <c r="B34" i="81"/>
  <c r="B35" i="81"/>
  <c r="B36" i="81"/>
  <c r="B37" i="81"/>
  <c r="C4" i="1" l="1"/>
  <c r="A2" i="80" l="1"/>
  <c r="A2" i="81"/>
  <c r="F79" i="69" l="1"/>
  <c r="F58" i="69"/>
  <c r="F37" i="69"/>
  <c r="F26" i="69"/>
  <c r="F79" i="72"/>
  <c r="F58" i="72"/>
  <c r="F37" i="72"/>
  <c r="F26" i="72"/>
  <c r="F79" i="73"/>
  <c r="F58" i="73"/>
  <c r="F37" i="73"/>
  <c r="F26" i="73"/>
  <c r="F79" i="79"/>
  <c r="F58" i="79"/>
  <c r="F37" i="79"/>
  <c r="F26" i="79"/>
  <c r="F79" i="78"/>
  <c r="F58" i="78"/>
  <c r="F37" i="78"/>
  <c r="F26" i="78"/>
  <c r="F9" i="63" l="1"/>
  <c r="D9" i="63"/>
  <c r="D7" i="63"/>
  <c r="J6" i="63"/>
  <c r="F9" i="62"/>
  <c r="I8" i="62"/>
  <c r="B8" i="62"/>
  <c r="H7" i="62"/>
  <c r="C7" i="62"/>
  <c r="I6" i="62"/>
  <c r="D6" i="62"/>
  <c r="H9" i="37"/>
  <c r="H10" i="58"/>
  <c r="D9" i="58"/>
  <c r="J8" i="58"/>
  <c r="H8" i="58"/>
  <c r="A8" i="58"/>
  <c r="F7" i="58"/>
  <c r="D7" i="58"/>
  <c r="H6" i="58"/>
  <c r="C6" i="58"/>
  <c r="H9" i="34"/>
  <c r="J8" i="34"/>
  <c r="I7" i="34"/>
  <c r="D7" i="34"/>
  <c r="J6" i="34"/>
  <c r="A6" i="34"/>
  <c r="F10" i="33"/>
  <c r="J9" i="33"/>
  <c r="F8" i="33"/>
  <c r="J7" i="33"/>
  <c r="F6" i="33"/>
  <c r="B6" i="33"/>
  <c r="H10" i="32"/>
  <c r="F10" i="32"/>
  <c r="J9" i="32"/>
  <c r="I9" i="32"/>
  <c r="H8" i="32"/>
  <c r="F8" i="32"/>
  <c r="J7" i="32"/>
  <c r="A7" i="32"/>
  <c r="H6" i="32"/>
  <c r="B6" i="32"/>
  <c r="I8" i="31"/>
  <c r="H8" i="31"/>
  <c r="F8" i="31"/>
  <c r="I7" i="31"/>
  <c r="F7" i="31"/>
  <c r="D7" i="31"/>
  <c r="A7" i="31"/>
  <c r="I6" i="31"/>
  <c r="F6" i="31"/>
  <c r="D6" i="31"/>
  <c r="B6" i="31"/>
  <c r="H9" i="30"/>
  <c r="F9" i="30"/>
  <c r="J8" i="30"/>
  <c r="I8" i="30"/>
  <c r="H8" i="30"/>
  <c r="F8" i="30"/>
  <c r="B8" i="30"/>
  <c r="A8" i="30"/>
  <c r="J7" i="30"/>
  <c r="I7" i="30"/>
  <c r="H7" i="30"/>
  <c r="F7" i="30"/>
  <c r="D7" i="30"/>
  <c r="C7" i="30"/>
  <c r="B7" i="30"/>
  <c r="A7" i="30"/>
  <c r="J6" i="30"/>
  <c r="I6" i="30"/>
  <c r="H6" i="30"/>
  <c r="F6" i="30"/>
  <c r="D6" i="30"/>
  <c r="C6" i="30"/>
  <c r="B6" i="30"/>
  <c r="A6" i="30"/>
  <c r="A2" i="60"/>
  <c r="A2" i="61"/>
  <c r="A2" i="27"/>
  <c r="A2" i="26"/>
  <c r="A2" i="25"/>
  <c r="A2" i="24"/>
  <c r="A2" i="57"/>
  <c r="A2" i="23"/>
  <c r="A2" i="22"/>
  <c r="A2" i="21"/>
  <c r="A2" i="20"/>
  <c r="B12" i="1" s="1"/>
  <c r="A2" i="19"/>
  <c r="A2" i="18"/>
  <c r="A2" i="17"/>
  <c r="A47" i="60"/>
  <c r="A46" i="27"/>
  <c r="A47" i="20"/>
  <c r="A46" i="57"/>
  <c r="A2" i="79"/>
  <c r="A2" i="78"/>
  <c r="A2" i="77"/>
  <c r="A2" i="76"/>
  <c r="A2" i="75"/>
  <c r="A2" i="74"/>
  <c r="A2" i="73"/>
  <c r="A2" i="72"/>
  <c r="A2" i="71"/>
  <c r="A2" i="70"/>
  <c r="A2" i="69"/>
  <c r="A2" i="68"/>
  <c r="A2" i="67"/>
  <c r="A2" i="66"/>
  <c r="A2" i="30"/>
  <c r="A3" i="65"/>
  <c r="B54" i="1" s="1"/>
  <c r="A3" i="64"/>
  <c r="B53" i="1" s="1"/>
  <c r="A3" i="52"/>
  <c r="B52" i="1" s="1"/>
  <c r="A3" i="51"/>
  <c r="B51" i="1" s="1"/>
  <c r="A3" i="50"/>
  <c r="B50" i="1" s="1"/>
  <c r="A3" i="49"/>
  <c r="B49" i="1" s="1"/>
  <c r="A3" i="59"/>
  <c r="B48" i="1" s="1"/>
  <c r="A3" i="48"/>
  <c r="B47" i="1" s="1"/>
  <c r="A3" i="46"/>
  <c r="A3" i="45"/>
  <c r="A3" i="44"/>
  <c r="B44" i="1" s="1"/>
  <c r="A3" i="43"/>
  <c r="B43" i="1" s="1"/>
  <c r="A3" i="42"/>
  <c r="B42" i="1" s="1"/>
  <c r="A3" i="41"/>
  <c r="A2" i="63"/>
  <c r="B39" i="1" s="1"/>
  <c r="Q203" i="63"/>
  <c r="P203" i="63"/>
  <c r="O203" i="63"/>
  <c r="N203" i="63"/>
  <c r="M203" i="63"/>
  <c r="L203" i="63"/>
  <c r="K203" i="63"/>
  <c r="Q202" i="63"/>
  <c r="P202" i="63"/>
  <c r="O202" i="63"/>
  <c r="N202" i="63"/>
  <c r="M202" i="63"/>
  <c r="L202" i="63"/>
  <c r="K202" i="63"/>
  <c r="Q201" i="63"/>
  <c r="P201" i="63"/>
  <c r="O201" i="63"/>
  <c r="N201" i="63"/>
  <c r="M201" i="63"/>
  <c r="L201" i="63"/>
  <c r="K201" i="63"/>
  <c r="Q200" i="63"/>
  <c r="P200" i="63"/>
  <c r="O200" i="63"/>
  <c r="N200" i="63"/>
  <c r="M200" i="63"/>
  <c r="L200" i="63"/>
  <c r="K200" i="63"/>
  <c r="Q199" i="63"/>
  <c r="P199" i="63"/>
  <c r="O199" i="63"/>
  <c r="N199" i="63"/>
  <c r="M199" i="63"/>
  <c r="L199" i="63"/>
  <c r="K199" i="63"/>
  <c r="Q198" i="63"/>
  <c r="P198" i="63"/>
  <c r="O198" i="63"/>
  <c r="N198" i="63"/>
  <c r="M198" i="63"/>
  <c r="L198" i="63"/>
  <c r="K198" i="63"/>
  <c r="Q197" i="63"/>
  <c r="P197" i="63"/>
  <c r="O197" i="63"/>
  <c r="N197" i="63"/>
  <c r="M197" i="63"/>
  <c r="L197" i="63"/>
  <c r="K197" i="63"/>
  <c r="Q196" i="63"/>
  <c r="P196" i="63"/>
  <c r="O196" i="63"/>
  <c r="N196" i="63"/>
  <c r="M196" i="63"/>
  <c r="L196" i="63"/>
  <c r="K196" i="63"/>
  <c r="Q195" i="63"/>
  <c r="P195" i="63"/>
  <c r="O195" i="63"/>
  <c r="N195" i="63"/>
  <c r="M195" i="63"/>
  <c r="L195" i="63"/>
  <c r="K195" i="63"/>
  <c r="Q194" i="63"/>
  <c r="P194" i="63"/>
  <c r="O194" i="63"/>
  <c r="N194" i="63"/>
  <c r="M194" i="63"/>
  <c r="L194" i="63"/>
  <c r="K194" i="63"/>
  <c r="Q193" i="63"/>
  <c r="P193" i="63"/>
  <c r="O193" i="63"/>
  <c r="N193" i="63"/>
  <c r="M193" i="63"/>
  <c r="L193" i="63"/>
  <c r="K193" i="63"/>
  <c r="Q192" i="63"/>
  <c r="P192" i="63"/>
  <c r="O192" i="63"/>
  <c r="N192" i="63"/>
  <c r="M192" i="63"/>
  <c r="L192" i="63"/>
  <c r="K192" i="63"/>
  <c r="Q191" i="63"/>
  <c r="P191" i="63"/>
  <c r="O191" i="63"/>
  <c r="N191" i="63"/>
  <c r="M191" i="63"/>
  <c r="L191" i="63"/>
  <c r="K191" i="63"/>
  <c r="Q190" i="63"/>
  <c r="P190" i="63"/>
  <c r="O190" i="63"/>
  <c r="N190" i="63"/>
  <c r="M190" i="63"/>
  <c r="L190" i="63"/>
  <c r="K190" i="63"/>
  <c r="Q189" i="63"/>
  <c r="P189" i="63"/>
  <c r="O189" i="63"/>
  <c r="N189" i="63"/>
  <c r="M189" i="63"/>
  <c r="L189" i="63"/>
  <c r="K189" i="63"/>
  <c r="Q188" i="63"/>
  <c r="P188" i="63"/>
  <c r="O188" i="63"/>
  <c r="N188" i="63"/>
  <c r="M188" i="63"/>
  <c r="L188" i="63"/>
  <c r="K188" i="63"/>
  <c r="Q187" i="63"/>
  <c r="P187" i="63"/>
  <c r="O187" i="63"/>
  <c r="N187" i="63"/>
  <c r="M187" i="63"/>
  <c r="L187" i="63"/>
  <c r="K187" i="63"/>
  <c r="Q186" i="63"/>
  <c r="P186" i="63"/>
  <c r="O186" i="63"/>
  <c r="N186" i="63"/>
  <c r="M186" i="63"/>
  <c r="L186" i="63"/>
  <c r="K186" i="63"/>
  <c r="Q185" i="63"/>
  <c r="P185" i="63"/>
  <c r="O185" i="63"/>
  <c r="N185" i="63"/>
  <c r="M185" i="63"/>
  <c r="L185" i="63"/>
  <c r="K185" i="63"/>
  <c r="Q184" i="63"/>
  <c r="P184" i="63"/>
  <c r="O184" i="63"/>
  <c r="N184" i="63"/>
  <c r="M184" i="63"/>
  <c r="L184" i="63"/>
  <c r="K184" i="63"/>
  <c r="Q183" i="63"/>
  <c r="P183" i="63"/>
  <c r="O183" i="63"/>
  <c r="N183" i="63"/>
  <c r="M183" i="63"/>
  <c r="L183" i="63"/>
  <c r="K183" i="63"/>
  <c r="Q182" i="63"/>
  <c r="P182" i="63"/>
  <c r="O182" i="63"/>
  <c r="N182" i="63"/>
  <c r="M182" i="63"/>
  <c r="L182" i="63"/>
  <c r="K182" i="63"/>
  <c r="Q181" i="63"/>
  <c r="P181" i="63"/>
  <c r="O181" i="63"/>
  <c r="N181" i="63"/>
  <c r="M181" i="63"/>
  <c r="L181" i="63"/>
  <c r="K181" i="63"/>
  <c r="Q180" i="63"/>
  <c r="P180" i="63"/>
  <c r="O180" i="63"/>
  <c r="N180" i="63"/>
  <c r="M180" i="63"/>
  <c r="L180" i="63"/>
  <c r="K180" i="63"/>
  <c r="Q179" i="63"/>
  <c r="P179" i="63"/>
  <c r="O179" i="63"/>
  <c r="N179" i="63"/>
  <c r="M179" i="63"/>
  <c r="L179" i="63"/>
  <c r="K179" i="63"/>
  <c r="Q178" i="63"/>
  <c r="P178" i="63"/>
  <c r="O178" i="63"/>
  <c r="N178" i="63"/>
  <c r="M178" i="63"/>
  <c r="L178" i="63"/>
  <c r="K178" i="63"/>
  <c r="Q177" i="63"/>
  <c r="P177" i="63"/>
  <c r="O177" i="63"/>
  <c r="N177" i="63"/>
  <c r="M177" i="63"/>
  <c r="L177" i="63"/>
  <c r="K177" i="63"/>
  <c r="Q176" i="63"/>
  <c r="P176" i="63"/>
  <c r="O176" i="63"/>
  <c r="N176" i="63"/>
  <c r="M176" i="63"/>
  <c r="L176" i="63"/>
  <c r="K176" i="63"/>
  <c r="Q175" i="63"/>
  <c r="P175" i="63"/>
  <c r="O175" i="63"/>
  <c r="N175" i="63"/>
  <c r="M175" i="63"/>
  <c r="L175" i="63"/>
  <c r="K175" i="63"/>
  <c r="Q174" i="63"/>
  <c r="P174" i="63"/>
  <c r="O174" i="63"/>
  <c r="N174" i="63"/>
  <c r="M174" i="63"/>
  <c r="L174" i="63"/>
  <c r="K174" i="63"/>
  <c r="Q173" i="63"/>
  <c r="P173" i="63"/>
  <c r="O173" i="63"/>
  <c r="N173" i="63"/>
  <c r="M173" i="63"/>
  <c r="L173" i="63"/>
  <c r="K173" i="63"/>
  <c r="Q172" i="63"/>
  <c r="P172" i="63"/>
  <c r="O172" i="63"/>
  <c r="N172" i="63"/>
  <c r="M172" i="63"/>
  <c r="L172" i="63"/>
  <c r="K172" i="63"/>
  <c r="Q171" i="63"/>
  <c r="P171" i="63"/>
  <c r="O171" i="63"/>
  <c r="N171" i="63"/>
  <c r="M171" i="63"/>
  <c r="L171" i="63"/>
  <c r="K171" i="63"/>
  <c r="Q170" i="63"/>
  <c r="P170" i="63"/>
  <c r="O170" i="63"/>
  <c r="N170" i="63"/>
  <c r="M170" i="63"/>
  <c r="L170" i="63"/>
  <c r="K170" i="63"/>
  <c r="Q169" i="63"/>
  <c r="P169" i="63"/>
  <c r="O169" i="63"/>
  <c r="N169" i="63"/>
  <c r="M169" i="63"/>
  <c r="L169" i="63"/>
  <c r="K169" i="63"/>
  <c r="Q168" i="63"/>
  <c r="P168" i="63"/>
  <c r="O168" i="63"/>
  <c r="N168" i="63"/>
  <c r="M168" i="63"/>
  <c r="L168" i="63"/>
  <c r="K168" i="63"/>
  <c r="Q167" i="63"/>
  <c r="P167" i="63"/>
  <c r="O167" i="63"/>
  <c r="N167" i="63"/>
  <c r="M167" i="63"/>
  <c r="L167" i="63"/>
  <c r="K167" i="63"/>
  <c r="Q166" i="63"/>
  <c r="P166" i="63"/>
  <c r="O166" i="63"/>
  <c r="N166" i="63"/>
  <c r="M166" i="63"/>
  <c r="L166" i="63"/>
  <c r="K166" i="63"/>
  <c r="Q165" i="63"/>
  <c r="P165" i="63"/>
  <c r="O165" i="63"/>
  <c r="N165" i="63"/>
  <c r="M165" i="63"/>
  <c r="L165" i="63"/>
  <c r="K165" i="63"/>
  <c r="Q164" i="63"/>
  <c r="P164" i="63"/>
  <c r="O164" i="63"/>
  <c r="N164" i="63"/>
  <c r="M164" i="63"/>
  <c r="L164" i="63"/>
  <c r="K164" i="63"/>
  <c r="Q163" i="63"/>
  <c r="P163" i="63"/>
  <c r="O163" i="63"/>
  <c r="N163" i="63"/>
  <c r="M163" i="63"/>
  <c r="L163" i="63"/>
  <c r="K163" i="63"/>
  <c r="Q162" i="63"/>
  <c r="P162" i="63"/>
  <c r="O162" i="63"/>
  <c r="N162" i="63"/>
  <c r="M162" i="63"/>
  <c r="L162" i="63"/>
  <c r="K162" i="63"/>
  <c r="Q161" i="63"/>
  <c r="P161" i="63"/>
  <c r="O161" i="63"/>
  <c r="N161" i="63"/>
  <c r="M161" i="63"/>
  <c r="L161" i="63"/>
  <c r="K161" i="63"/>
  <c r="Q160" i="63"/>
  <c r="P160" i="63"/>
  <c r="O160" i="63"/>
  <c r="N160" i="63"/>
  <c r="M160" i="63"/>
  <c r="L160" i="63"/>
  <c r="K160" i="63"/>
  <c r="Q159" i="63"/>
  <c r="P159" i="63"/>
  <c r="O159" i="63"/>
  <c r="N159" i="63"/>
  <c r="M159" i="63"/>
  <c r="L159" i="63"/>
  <c r="K159" i="63"/>
  <c r="Q158" i="63"/>
  <c r="P158" i="63"/>
  <c r="O158" i="63"/>
  <c r="N158" i="63"/>
  <c r="M158" i="63"/>
  <c r="L158" i="63"/>
  <c r="K158" i="63"/>
  <c r="Q157" i="63"/>
  <c r="P157" i="63"/>
  <c r="O157" i="63"/>
  <c r="N157" i="63"/>
  <c r="M157" i="63"/>
  <c r="L157" i="63"/>
  <c r="K157" i="63"/>
  <c r="Q156" i="63"/>
  <c r="P156" i="63"/>
  <c r="O156" i="63"/>
  <c r="N156" i="63"/>
  <c r="M156" i="63"/>
  <c r="L156" i="63"/>
  <c r="K156" i="63"/>
  <c r="Q155" i="63"/>
  <c r="P155" i="63"/>
  <c r="O155" i="63"/>
  <c r="N155" i="63"/>
  <c r="M155" i="63"/>
  <c r="L155" i="63"/>
  <c r="K155" i="63"/>
  <c r="Q154" i="63"/>
  <c r="P154" i="63"/>
  <c r="O154" i="63"/>
  <c r="N154" i="63"/>
  <c r="M154" i="63"/>
  <c r="L154" i="63"/>
  <c r="K154" i="63"/>
  <c r="Q153" i="63"/>
  <c r="P153" i="63"/>
  <c r="O153" i="63"/>
  <c r="N153" i="63"/>
  <c r="M153" i="63"/>
  <c r="L153" i="63"/>
  <c r="K153" i="63"/>
  <c r="Q152" i="63"/>
  <c r="P152" i="63"/>
  <c r="O152" i="63"/>
  <c r="N152" i="63"/>
  <c r="M152" i="63"/>
  <c r="L152" i="63"/>
  <c r="K152" i="63"/>
  <c r="Q151" i="63"/>
  <c r="P151" i="63"/>
  <c r="O151" i="63"/>
  <c r="N151" i="63"/>
  <c r="M151" i="63"/>
  <c r="L151" i="63"/>
  <c r="K151" i="63"/>
  <c r="Q150" i="63"/>
  <c r="P150" i="63"/>
  <c r="O150" i="63"/>
  <c r="N150" i="63"/>
  <c r="M150" i="63"/>
  <c r="L150" i="63"/>
  <c r="K150" i="63"/>
  <c r="Q149" i="63"/>
  <c r="P149" i="63"/>
  <c r="O149" i="63"/>
  <c r="N149" i="63"/>
  <c r="M149" i="63"/>
  <c r="L149" i="63"/>
  <c r="K149" i="63"/>
  <c r="Q148" i="63"/>
  <c r="P148" i="63"/>
  <c r="O148" i="63"/>
  <c r="N148" i="63"/>
  <c r="M148" i="63"/>
  <c r="L148" i="63"/>
  <c r="K148" i="63"/>
  <c r="Q147" i="63"/>
  <c r="P147" i="63"/>
  <c r="O147" i="63"/>
  <c r="N147" i="63"/>
  <c r="M147" i="63"/>
  <c r="L147" i="63"/>
  <c r="K147" i="63"/>
  <c r="Q146" i="63"/>
  <c r="P146" i="63"/>
  <c r="O146" i="63"/>
  <c r="N146" i="63"/>
  <c r="M146" i="63"/>
  <c r="L146" i="63"/>
  <c r="K146" i="63"/>
  <c r="Q145" i="63"/>
  <c r="P145" i="63"/>
  <c r="O145" i="63"/>
  <c r="N145" i="63"/>
  <c r="M145" i="63"/>
  <c r="L145" i="63"/>
  <c r="K145" i="63"/>
  <c r="Q144" i="63"/>
  <c r="P144" i="63"/>
  <c r="O144" i="63"/>
  <c r="N144" i="63"/>
  <c r="M144" i="63"/>
  <c r="L144" i="63"/>
  <c r="K144" i="63"/>
  <c r="Q143" i="63"/>
  <c r="P143" i="63"/>
  <c r="O143" i="63"/>
  <c r="N143" i="63"/>
  <c r="M143" i="63"/>
  <c r="L143" i="63"/>
  <c r="K143" i="63"/>
  <c r="Q142" i="63"/>
  <c r="P142" i="63"/>
  <c r="O142" i="63"/>
  <c r="N142" i="63"/>
  <c r="M142" i="63"/>
  <c r="L142" i="63"/>
  <c r="K142" i="63"/>
  <c r="Q141" i="63"/>
  <c r="P141" i="63"/>
  <c r="O141" i="63"/>
  <c r="N141" i="63"/>
  <c r="M141" i="63"/>
  <c r="L141" i="63"/>
  <c r="K141" i="63"/>
  <c r="Q140" i="63"/>
  <c r="P140" i="63"/>
  <c r="O140" i="63"/>
  <c r="N140" i="63"/>
  <c r="M140" i="63"/>
  <c r="L140" i="63"/>
  <c r="K140" i="63"/>
  <c r="Q139" i="63"/>
  <c r="P139" i="63"/>
  <c r="O139" i="63"/>
  <c r="N139" i="63"/>
  <c r="M139" i="63"/>
  <c r="L139" i="63"/>
  <c r="K139" i="63"/>
  <c r="Q138" i="63"/>
  <c r="P138" i="63"/>
  <c r="O138" i="63"/>
  <c r="N138" i="63"/>
  <c r="M138" i="63"/>
  <c r="L138" i="63"/>
  <c r="K138" i="63"/>
  <c r="Q137" i="63"/>
  <c r="P137" i="63"/>
  <c r="O137" i="63"/>
  <c r="N137" i="63"/>
  <c r="M137" i="63"/>
  <c r="L137" i="63"/>
  <c r="K137" i="63"/>
  <c r="Q136" i="63"/>
  <c r="P136" i="63"/>
  <c r="O136" i="63"/>
  <c r="N136" i="63"/>
  <c r="M136" i="63"/>
  <c r="L136" i="63"/>
  <c r="K136" i="63"/>
  <c r="Q135" i="63"/>
  <c r="P135" i="63"/>
  <c r="O135" i="63"/>
  <c r="N135" i="63"/>
  <c r="M135" i="63"/>
  <c r="L135" i="63"/>
  <c r="K135" i="63"/>
  <c r="Q134" i="63"/>
  <c r="P134" i="63"/>
  <c r="O134" i="63"/>
  <c r="N134" i="63"/>
  <c r="M134" i="63"/>
  <c r="L134" i="63"/>
  <c r="K134" i="63"/>
  <c r="Q133" i="63"/>
  <c r="P133" i="63"/>
  <c r="O133" i="63"/>
  <c r="N133" i="63"/>
  <c r="M133" i="63"/>
  <c r="L133" i="63"/>
  <c r="K133" i="63"/>
  <c r="Q132" i="63"/>
  <c r="P132" i="63"/>
  <c r="O132" i="63"/>
  <c r="N132" i="63"/>
  <c r="M132" i="63"/>
  <c r="L132" i="63"/>
  <c r="K132" i="63"/>
  <c r="Q131" i="63"/>
  <c r="P131" i="63"/>
  <c r="O131" i="63"/>
  <c r="N131" i="63"/>
  <c r="M131" i="63"/>
  <c r="L131" i="63"/>
  <c r="K131" i="63"/>
  <c r="Q130" i="63"/>
  <c r="P130" i="63"/>
  <c r="O130" i="63"/>
  <c r="N130" i="63"/>
  <c r="M130" i="63"/>
  <c r="L130" i="63"/>
  <c r="K130" i="63"/>
  <c r="Q129" i="63"/>
  <c r="P129" i="63"/>
  <c r="O129" i="63"/>
  <c r="N129" i="63"/>
  <c r="M129" i="63"/>
  <c r="L129" i="63"/>
  <c r="K129" i="63"/>
  <c r="Q128" i="63"/>
  <c r="P128" i="63"/>
  <c r="O128" i="63"/>
  <c r="N128" i="63"/>
  <c r="M128" i="63"/>
  <c r="L128" i="63"/>
  <c r="K128" i="63"/>
  <c r="Q127" i="63"/>
  <c r="P127" i="63"/>
  <c r="O127" i="63"/>
  <c r="N127" i="63"/>
  <c r="M127" i="63"/>
  <c r="L127" i="63"/>
  <c r="K127" i="63"/>
  <c r="Q126" i="63"/>
  <c r="P126" i="63"/>
  <c r="O126" i="63"/>
  <c r="N126" i="63"/>
  <c r="M126" i="63"/>
  <c r="L126" i="63"/>
  <c r="K126" i="63"/>
  <c r="Q125" i="63"/>
  <c r="P125" i="63"/>
  <c r="O125" i="63"/>
  <c r="N125" i="63"/>
  <c r="M125" i="63"/>
  <c r="L125" i="63"/>
  <c r="K125" i="63"/>
  <c r="Q124" i="63"/>
  <c r="P124" i="63"/>
  <c r="O124" i="63"/>
  <c r="N124" i="63"/>
  <c r="M124" i="63"/>
  <c r="L124" i="63"/>
  <c r="K124" i="63"/>
  <c r="Q123" i="63"/>
  <c r="P123" i="63"/>
  <c r="O123" i="63"/>
  <c r="N123" i="63"/>
  <c r="M123" i="63"/>
  <c r="L123" i="63"/>
  <c r="K123" i="63"/>
  <c r="Q122" i="63"/>
  <c r="P122" i="63"/>
  <c r="O122" i="63"/>
  <c r="N122" i="63"/>
  <c r="M122" i="63"/>
  <c r="L122" i="63"/>
  <c r="K122" i="63"/>
  <c r="Q121" i="63"/>
  <c r="P121" i="63"/>
  <c r="O121" i="63"/>
  <c r="N121" i="63"/>
  <c r="M121" i="63"/>
  <c r="L121" i="63"/>
  <c r="K121" i="63"/>
  <c r="Q120" i="63"/>
  <c r="P120" i="63"/>
  <c r="O120" i="63"/>
  <c r="N120" i="63"/>
  <c r="M120" i="63"/>
  <c r="L120" i="63"/>
  <c r="K120" i="63"/>
  <c r="Q119" i="63"/>
  <c r="P119" i="63"/>
  <c r="O119" i="63"/>
  <c r="N119" i="63"/>
  <c r="M119" i="63"/>
  <c r="L119" i="63"/>
  <c r="K119" i="63"/>
  <c r="Q118" i="63"/>
  <c r="P118" i="63"/>
  <c r="O118" i="63"/>
  <c r="N118" i="63"/>
  <c r="M118" i="63"/>
  <c r="L118" i="63"/>
  <c r="K118" i="63"/>
  <c r="Q117" i="63"/>
  <c r="P117" i="63"/>
  <c r="O117" i="63"/>
  <c r="N117" i="63"/>
  <c r="M117" i="63"/>
  <c r="L117" i="63"/>
  <c r="K117" i="63"/>
  <c r="Q116" i="63"/>
  <c r="P116" i="63"/>
  <c r="O116" i="63"/>
  <c r="N116" i="63"/>
  <c r="M116" i="63"/>
  <c r="L116" i="63"/>
  <c r="K116" i="63"/>
  <c r="Q115" i="63"/>
  <c r="P115" i="63"/>
  <c r="O115" i="63"/>
  <c r="N115" i="63"/>
  <c r="M115" i="63"/>
  <c r="L115" i="63"/>
  <c r="K115" i="63"/>
  <c r="Q114" i="63"/>
  <c r="P114" i="63"/>
  <c r="O114" i="63"/>
  <c r="N114" i="63"/>
  <c r="M114" i="63"/>
  <c r="L114" i="63"/>
  <c r="K114" i="63"/>
  <c r="Q113" i="63"/>
  <c r="P113" i="63"/>
  <c r="O113" i="63"/>
  <c r="N113" i="63"/>
  <c r="M113" i="63"/>
  <c r="L113" i="63"/>
  <c r="K113" i="63"/>
  <c r="Q112" i="63"/>
  <c r="P112" i="63"/>
  <c r="O112" i="63"/>
  <c r="N112" i="63"/>
  <c r="M112" i="63"/>
  <c r="L112" i="63"/>
  <c r="K112" i="63"/>
  <c r="Q111" i="63"/>
  <c r="P111" i="63"/>
  <c r="O111" i="63"/>
  <c r="N111" i="63"/>
  <c r="M111" i="63"/>
  <c r="L111" i="63"/>
  <c r="K111" i="63"/>
  <c r="Q110" i="63"/>
  <c r="P110" i="63"/>
  <c r="O110" i="63"/>
  <c r="N110" i="63"/>
  <c r="M110" i="63"/>
  <c r="L110" i="63"/>
  <c r="K110" i="63"/>
  <c r="Q109" i="63"/>
  <c r="P109" i="63"/>
  <c r="O109" i="63"/>
  <c r="N109" i="63"/>
  <c r="M109" i="63"/>
  <c r="L109" i="63"/>
  <c r="K109" i="63"/>
  <c r="Q108" i="63"/>
  <c r="P108" i="63"/>
  <c r="O108" i="63"/>
  <c r="N108" i="63"/>
  <c r="M108" i="63"/>
  <c r="L108" i="63"/>
  <c r="K108" i="63"/>
  <c r="Q107" i="63"/>
  <c r="P107" i="63"/>
  <c r="O107" i="63"/>
  <c r="N107" i="63"/>
  <c r="M107" i="63"/>
  <c r="L107" i="63"/>
  <c r="K107" i="63"/>
  <c r="Q106" i="63"/>
  <c r="P106" i="63"/>
  <c r="O106" i="63"/>
  <c r="N106" i="63"/>
  <c r="M106" i="63"/>
  <c r="L106" i="63"/>
  <c r="K106" i="63"/>
  <c r="Q105" i="63"/>
  <c r="P105" i="63"/>
  <c r="O105" i="63"/>
  <c r="N105" i="63"/>
  <c r="M105" i="63"/>
  <c r="L105" i="63"/>
  <c r="K105" i="63"/>
  <c r="Q104" i="63"/>
  <c r="P104" i="63"/>
  <c r="O104" i="63"/>
  <c r="N104" i="63"/>
  <c r="M104" i="63"/>
  <c r="L104" i="63"/>
  <c r="K104" i="63"/>
  <c r="Q103" i="63"/>
  <c r="P103" i="63"/>
  <c r="O103" i="63"/>
  <c r="N103" i="63"/>
  <c r="M103" i="63"/>
  <c r="L103" i="63"/>
  <c r="K103" i="63"/>
  <c r="Q102" i="63"/>
  <c r="P102" i="63"/>
  <c r="O102" i="63"/>
  <c r="N102" i="63"/>
  <c r="M102" i="63"/>
  <c r="L102" i="63"/>
  <c r="K102" i="63"/>
  <c r="Q101" i="63"/>
  <c r="P101" i="63"/>
  <c r="O101" i="63"/>
  <c r="N101" i="63"/>
  <c r="M101" i="63"/>
  <c r="L101" i="63"/>
  <c r="K101" i="63"/>
  <c r="Q100" i="63"/>
  <c r="P100" i="63"/>
  <c r="O100" i="63"/>
  <c r="N100" i="63"/>
  <c r="M100" i="63"/>
  <c r="L100" i="63"/>
  <c r="K100" i="63"/>
  <c r="Q99" i="63"/>
  <c r="P99" i="63"/>
  <c r="O99" i="63"/>
  <c r="N99" i="63"/>
  <c r="M99" i="63"/>
  <c r="L99" i="63"/>
  <c r="K99" i="63"/>
  <c r="Q98" i="63"/>
  <c r="P98" i="63"/>
  <c r="O98" i="63"/>
  <c r="N98" i="63"/>
  <c r="M98" i="63"/>
  <c r="L98" i="63"/>
  <c r="K98" i="63"/>
  <c r="Q97" i="63"/>
  <c r="P97" i="63"/>
  <c r="O97" i="63"/>
  <c r="N97" i="63"/>
  <c r="M97" i="63"/>
  <c r="L97" i="63"/>
  <c r="K97" i="63"/>
  <c r="Q96" i="63"/>
  <c r="P96" i="63"/>
  <c r="O96" i="63"/>
  <c r="N96" i="63"/>
  <c r="M96" i="63"/>
  <c r="L96" i="63"/>
  <c r="K96" i="63"/>
  <c r="Q95" i="63"/>
  <c r="P95" i="63"/>
  <c r="O95" i="63"/>
  <c r="N95" i="63"/>
  <c r="M95" i="63"/>
  <c r="L95" i="63"/>
  <c r="K95" i="63"/>
  <c r="Q94" i="63"/>
  <c r="P94" i="63"/>
  <c r="O94" i="63"/>
  <c r="N94" i="63"/>
  <c r="M94" i="63"/>
  <c r="L94" i="63"/>
  <c r="K94" i="63"/>
  <c r="Q93" i="63"/>
  <c r="P93" i="63"/>
  <c r="O93" i="63"/>
  <c r="N93" i="63"/>
  <c r="M93" i="63"/>
  <c r="L93" i="63"/>
  <c r="K93" i="63"/>
  <c r="Q92" i="63"/>
  <c r="P92" i="63"/>
  <c r="O92" i="63"/>
  <c r="N92" i="63"/>
  <c r="M92" i="63"/>
  <c r="L92" i="63"/>
  <c r="K92" i="63"/>
  <c r="Q91" i="63"/>
  <c r="P91" i="63"/>
  <c r="O91" i="63"/>
  <c r="N91" i="63"/>
  <c r="M91" i="63"/>
  <c r="L91" i="63"/>
  <c r="K91" i="63"/>
  <c r="Q90" i="63"/>
  <c r="P90" i="63"/>
  <c r="O90" i="63"/>
  <c r="N90" i="63"/>
  <c r="M90" i="63"/>
  <c r="L90" i="63"/>
  <c r="K90" i="63"/>
  <c r="Q89" i="63"/>
  <c r="P89" i="63"/>
  <c r="O89" i="63"/>
  <c r="N89" i="63"/>
  <c r="M89" i="63"/>
  <c r="L89" i="63"/>
  <c r="K89" i="63"/>
  <c r="Q88" i="63"/>
  <c r="P88" i="63"/>
  <c r="O88" i="63"/>
  <c r="N88" i="63"/>
  <c r="M88" i="63"/>
  <c r="L88" i="63"/>
  <c r="K88" i="63"/>
  <c r="Q87" i="63"/>
  <c r="P87" i="63"/>
  <c r="O87" i="63"/>
  <c r="N87" i="63"/>
  <c r="M87" i="63"/>
  <c r="L87" i="63"/>
  <c r="K87" i="63"/>
  <c r="Q86" i="63"/>
  <c r="P86" i="63"/>
  <c r="O86" i="63"/>
  <c r="N86" i="63"/>
  <c r="M86" i="63"/>
  <c r="L86" i="63"/>
  <c r="K86" i="63"/>
  <c r="Q85" i="63"/>
  <c r="P85" i="63"/>
  <c r="O85" i="63"/>
  <c r="N85" i="63"/>
  <c r="M85" i="63"/>
  <c r="L85" i="63"/>
  <c r="K85" i="63"/>
  <c r="Q84" i="63"/>
  <c r="P84" i="63"/>
  <c r="O84" i="63"/>
  <c r="N84" i="63"/>
  <c r="M84" i="63"/>
  <c r="L84" i="63"/>
  <c r="K84" i="63"/>
  <c r="Q83" i="63"/>
  <c r="P83" i="63"/>
  <c r="O83" i="63"/>
  <c r="N83" i="63"/>
  <c r="M83" i="63"/>
  <c r="L83" i="63"/>
  <c r="K83" i="63"/>
  <c r="Q82" i="63"/>
  <c r="P82" i="63"/>
  <c r="O82" i="63"/>
  <c r="N82" i="63"/>
  <c r="M82" i="63"/>
  <c r="L82" i="63"/>
  <c r="K82" i="63"/>
  <c r="Q81" i="63"/>
  <c r="P81" i="63"/>
  <c r="O81" i="63"/>
  <c r="N81" i="63"/>
  <c r="M81" i="63"/>
  <c r="L81" i="63"/>
  <c r="K81" i="63"/>
  <c r="Q80" i="63"/>
  <c r="P80" i="63"/>
  <c r="O80" i="63"/>
  <c r="N80" i="63"/>
  <c r="M80" i="63"/>
  <c r="L80" i="63"/>
  <c r="K80" i="63"/>
  <c r="Q79" i="63"/>
  <c r="P79" i="63"/>
  <c r="O79" i="63"/>
  <c r="N79" i="63"/>
  <c r="M79" i="63"/>
  <c r="L79" i="63"/>
  <c r="K79" i="63"/>
  <c r="Q78" i="63"/>
  <c r="P78" i="63"/>
  <c r="O78" i="63"/>
  <c r="N78" i="63"/>
  <c r="M78" i="63"/>
  <c r="L78" i="63"/>
  <c r="K78" i="63"/>
  <c r="Q77" i="63"/>
  <c r="P77" i="63"/>
  <c r="O77" i="63"/>
  <c r="N77" i="63"/>
  <c r="M77" i="63"/>
  <c r="L77" i="63"/>
  <c r="K77" i="63"/>
  <c r="Q76" i="63"/>
  <c r="P76" i="63"/>
  <c r="O76" i="63"/>
  <c r="N76" i="63"/>
  <c r="M76" i="63"/>
  <c r="L76" i="63"/>
  <c r="K76" i="63"/>
  <c r="Q75" i="63"/>
  <c r="P75" i="63"/>
  <c r="O75" i="63"/>
  <c r="N75" i="63"/>
  <c r="M75" i="63"/>
  <c r="L75" i="63"/>
  <c r="K75" i="63"/>
  <c r="Q74" i="63"/>
  <c r="P74" i="63"/>
  <c r="O74" i="63"/>
  <c r="N74" i="63"/>
  <c r="M74" i="63"/>
  <c r="L74" i="63"/>
  <c r="K74" i="63"/>
  <c r="Q73" i="63"/>
  <c r="P73" i="63"/>
  <c r="O73" i="63"/>
  <c r="N73" i="63"/>
  <c r="M73" i="63"/>
  <c r="L73" i="63"/>
  <c r="K73" i="63"/>
  <c r="Q72" i="63"/>
  <c r="P72" i="63"/>
  <c r="O72" i="63"/>
  <c r="N72" i="63"/>
  <c r="M72" i="63"/>
  <c r="L72" i="63"/>
  <c r="K72" i="63"/>
  <c r="Q71" i="63"/>
  <c r="P71" i="63"/>
  <c r="O71" i="63"/>
  <c r="N71" i="63"/>
  <c r="M71" i="63"/>
  <c r="L71" i="63"/>
  <c r="K71" i="63"/>
  <c r="Q70" i="63"/>
  <c r="P70" i="63"/>
  <c r="O70" i="63"/>
  <c r="N70" i="63"/>
  <c r="M70" i="63"/>
  <c r="L70" i="63"/>
  <c r="K70" i="63"/>
  <c r="Q69" i="63"/>
  <c r="P69" i="63"/>
  <c r="O69" i="63"/>
  <c r="N69" i="63"/>
  <c r="M69" i="63"/>
  <c r="L69" i="63"/>
  <c r="K69" i="63"/>
  <c r="Q68" i="63"/>
  <c r="P68" i="63"/>
  <c r="O68" i="63"/>
  <c r="N68" i="63"/>
  <c r="M68" i="63"/>
  <c r="L68" i="63"/>
  <c r="K68" i="63"/>
  <c r="Q67" i="63"/>
  <c r="P67" i="63"/>
  <c r="O67" i="63"/>
  <c r="N67" i="63"/>
  <c r="M67" i="63"/>
  <c r="L67" i="63"/>
  <c r="K67" i="63"/>
  <c r="Q66" i="63"/>
  <c r="P66" i="63"/>
  <c r="O66" i="63"/>
  <c r="N66" i="63"/>
  <c r="M66" i="63"/>
  <c r="L66" i="63"/>
  <c r="K66" i="63"/>
  <c r="Q65" i="63"/>
  <c r="P65" i="63"/>
  <c r="O65" i="63"/>
  <c r="N65" i="63"/>
  <c r="M65" i="63"/>
  <c r="L65" i="63"/>
  <c r="K65" i="63"/>
  <c r="Q64" i="63"/>
  <c r="P64" i="63"/>
  <c r="O64" i="63"/>
  <c r="N64" i="63"/>
  <c r="M64" i="63"/>
  <c r="L64" i="63"/>
  <c r="K64" i="63"/>
  <c r="Q63" i="63"/>
  <c r="P63" i="63"/>
  <c r="O63" i="63"/>
  <c r="N63" i="63"/>
  <c r="M63" i="63"/>
  <c r="L63" i="63"/>
  <c r="K63" i="63"/>
  <c r="Q62" i="63"/>
  <c r="P62" i="63"/>
  <c r="O62" i="63"/>
  <c r="N62" i="63"/>
  <c r="M62" i="63"/>
  <c r="L62" i="63"/>
  <c r="K62" i="63"/>
  <c r="Q61" i="63"/>
  <c r="P61" i="63"/>
  <c r="O61" i="63"/>
  <c r="N61" i="63"/>
  <c r="M61" i="63"/>
  <c r="L61" i="63"/>
  <c r="K61" i="63"/>
  <c r="Q60" i="63"/>
  <c r="P60" i="63"/>
  <c r="O60" i="63"/>
  <c r="N60" i="63"/>
  <c r="M60" i="63"/>
  <c r="L60" i="63"/>
  <c r="K60" i="63"/>
  <c r="Q59" i="63"/>
  <c r="P59" i="63"/>
  <c r="O59" i="63"/>
  <c r="N59" i="63"/>
  <c r="M59" i="63"/>
  <c r="L59" i="63"/>
  <c r="K59" i="63"/>
  <c r="Q58" i="63"/>
  <c r="P58" i="63"/>
  <c r="O58" i="63"/>
  <c r="N58" i="63"/>
  <c r="M58" i="63"/>
  <c r="L58" i="63"/>
  <c r="K58" i="63"/>
  <c r="Q57" i="63"/>
  <c r="P57" i="63"/>
  <c r="O57" i="63"/>
  <c r="N57" i="63"/>
  <c r="M57" i="63"/>
  <c r="L57" i="63"/>
  <c r="K57" i="63"/>
  <c r="Q56" i="63"/>
  <c r="P56" i="63"/>
  <c r="O56" i="63"/>
  <c r="N56" i="63"/>
  <c r="M56" i="63"/>
  <c r="L56" i="63"/>
  <c r="K56" i="63"/>
  <c r="Q55" i="63"/>
  <c r="P55" i="63"/>
  <c r="O55" i="63"/>
  <c r="N55" i="63"/>
  <c r="M55" i="63"/>
  <c r="L55" i="63"/>
  <c r="K55" i="63"/>
  <c r="Q54" i="63"/>
  <c r="P54" i="63"/>
  <c r="O54" i="63"/>
  <c r="N54" i="63"/>
  <c r="M54" i="63"/>
  <c r="L54" i="63"/>
  <c r="K54" i="63"/>
  <c r="Q53" i="63"/>
  <c r="P53" i="63"/>
  <c r="O53" i="63"/>
  <c r="N53" i="63"/>
  <c r="M53" i="63"/>
  <c r="L53" i="63"/>
  <c r="K53" i="63"/>
  <c r="Q52" i="63"/>
  <c r="P52" i="63"/>
  <c r="O52" i="63"/>
  <c r="N52" i="63"/>
  <c r="M52" i="63"/>
  <c r="L52" i="63"/>
  <c r="K52" i="63"/>
  <c r="Q51" i="63"/>
  <c r="P51" i="63"/>
  <c r="O51" i="63"/>
  <c r="N51" i="63"/>
  <c r="M51" i="63"/>
  <c r="L51" i="63"/>
  <c r="K51" i="63"/>
  <c r="Q50" i="63"/>
  <c r="P50" i="63"/>
  <c r="O50" i="63"/>
  <c r="N50" i="63"/>
  <c r="M50" i="63"/>
  <c r="L50" i="63"/>
  <c r="K50" i="63"/>
  <c r="Q49" i="63"/>
  <c r="P49" i="63"/>
  <c r="O49" i="63"/>
  <c r="N49" i="63"/>
  <c r="M49" i="63"/>
  <c r="L49" i="63"/>
  <c r="K49" i="63"/>
  <c r="Q48" i="63"/>
  <c r="P48" i="63"/>
  <c r="O48" i="63"/>
  <c r="N48" i="63"/>
  <c r="M48" i="63"/>
  <c r="L48" i="63"/>
  <c r="K48" i="63"/>
  <c r="Q47" i="63"/>
  <c r="P47" i="63"/>
  <c r="O47" i="63"/>
  <c r="N47" i="63"/>
  <c r="M47" i="63"/>
  <c r="L47" i="63"/>
  <c r="K47" i="63"/>
  <c r="Q46" i="63"/>
  <c r="P46" i="63"/>
  <c r="O46" i="63"/>
  <c r="N46" i="63"/>
  <c r="M46" i="63"/>
  <c r="L46" i="63"/>
  <c r="K46" i="63"/>
  <c r="Q45" i="63"/>
  <c r="P45" i="63"/>
  <c r="O45" i="63"/>
  <c r="N45" i="63"/>
  <c r="M45" i="63"/>
  <c r="L45" i="63"/>
  <c r="K45" i="63"/>
  <c r="Q44" i="63"/>
  <c r="P44" i="63"/>
  <c r="O44" i="63"/>
  <c r="N44" i="63"/>
  <c r="M44" i="63"/>
  <c r="L44" i="63"/>
  <c r="K44" i="63"/>
  <c r="Q43" i="63"/>
  <c r="P43" i="63"/>
  <c r="O43" i="63"/>
  <c r="N43" i="63"/>
  <c r="M43" i="63"/>
  <c r="L43" i="63"/>
  <c r="K43" i="63"/>
  <c r="Q42" i="63"/>
  <c r="P42" i="63"/>
  <c r="O42" i="63"/>
  <c r="N42" i="63"/>
  <c r="M42" i="63"/>
  <c r="L42" i="63"/>
  <c r="K42" i="63"/>
  <c r="Q41" i="63"/>
  <c r="P41" i="63"/>
  <c r="O41" i="63"/>
  <c r="N41" i="63"/>
  <c r="M41" i="63"/>
  <c r="L41" i="63"/>
  <c r="K41" i="63"/>
  <c r="Q40" i="63"/>
  <c r="P40" i="63"/>
  <c r="O40" i="63"/>
  <c r="N40" i="63"/>
  <c r="M40" i="63"/>
  <c r="L40" i="63"/>
  <c r="K40" i="63"/>
  <c r="Q39" i="63"/>
  <c r="P39" i="63"/>
  <c r="O39" i="63"/>
  <c r="N39" i="63"/>
  <c r="M39" i="63"/>
  <c r="L39" i="63"/>
  <c r="K39" i="63"/>
  <c r="Q38" i="63"/>
  <c r="P38" i="63"/>
  <c r="O38" i="63"/>
  <c r="N38" i="63"/>
  <c r="M38" i="63"/>
  <c r="L38" i="63"/>
  <c r="K38" i="63"/>
  <c r="Q37" i="63"/>
  <c r="P37" i="63"/>
  <c r="O37" i="63"/>
  <c r="N37" i="63"/>
  <c r="M37" i="63"/>
  <c r="L37" i="63"/>
  <c r="K37" i="63"/>
  <c r="Q36" i="63"/>
  <c r="P36" i="63"/>
  <c r="O36" i="63"/>
  <c r="N36" i="63"/>
  <c r="M36" i="63"/>
  <c r="L36" i="63"/>
  <c r="K36" i="63"/>
  <c r="Q35" i="63"/>
  <c r="P35" i="63"/>
  <c r="O35" i="63"/>
  <c r="N35" i="63"/>
  <c r="M35" i="63"/>
  <c r="L35" i="63"/>
  <c r="K35" i="63"/>
  <c r="Q34" i="63"/>
  <c r="P34" i="63"/>
  <c r="O34" i="63"/>
  <c r="N34" i="63"/>
  <c r="M34" i="63"/>
  <c r="L34" i="63"/>
  <c r="K34" i="63"/>
  <c r="Q33" i="63"/>
  <c r="P33" i="63"/>
  <c r="O33" i="63"/>
  <c r="N33" i="63"/>
  <c r="M33" i="63"/>
  <c r="L33" i="63"/>
  <c r="K33" i="63"/>
  <c r="Q32" i="63"/>
  <c r="P32" i="63"/>
  <c r="O32" i="63"/>
  <c r="N32" i="63"/>
  <c r="M32" i="63"/>
  <c r="L32" i="63"/>
  <c r="K32" i="63"/>
  <c r="Q31" i="63"/>
  <c r="P31" i="63"/>
  <c r="O31" i="63"/>
  <c r="N31" i="63"/>
  <c r="M31" i="63"/>
  <c r="L31" i="63"/>
  <c r="K31" i="63"/>
  <c r="Q30" i="63"/>
  <c r="P30" i="63"/>
  <c r="O30" i="63"/>
  <c r="N30" i="63"/>
  <c r="M30" i="63"/>
  <c r="L30" i="63"/>
  <c r="K30" i="63"/>
  <c r="Q29" i="63"/>
  <c r="P29" i="63"/>
  <c r="O29" i="63"/>
  <c r="N29" i="63"/>
  <c r="M29" i="63"/>
  <c r="L29" i="63"/>
  <c r="K29" i="63"/>
  <c r="Q28" i="63"/>
  <c r="P28" i="63"/>
  <c r="O28" i="63"/>
  <c r="N28" i="63"/>
  <c r="M28" i="63"/>
  <c r="L28" i="63"/>
  <c r="K28" i="63"/>
  <c r="Q27" i="63"/>
  <c r="P27" i="63"/>
  <c r="O27" i="63"/>
  <c r="N27" i="63"/>
  <c r="M27" i="63"/>
  <c r="L27" i="63"/>
  <c r="K27" i="63"/>
  <c r="Q26" i="63"/>
  <c r="P26" i="63"/>
  <c r="O26" i="63"/>
  <c r="N26" i="63"/>
  <c r="M26" i="63"/>
  <c r="L26" i="63"/>
  <c r="K26" i="63"/>
  <c r="Q25" i="63"/>
  <c r="P25" i="63"/>
  <c r="O25" i="63"/>
  <c r="N25" i="63"/>
  <c r="M25" i="63"/>
  <c r="L25" i="63"/>
  <c r="K25" i="63"/>
  <c r="Q24" i="63"/>
  <c r="P24" i="63"/>
  <c r="O24" i="63"/>
  <c r="N24" i="63"/>
  <c r="M24" i="63"/>
  <c r="L24" i="63"/>
  <c r="K24" i="63"/>
  <c r="Q23" i="63"/>
  <c r="P23" i="63"/>
  <c r="O23" i="63"/>
  <c r="N23" i="63"/>
  <c r="M23" i="63"/>
  <c r="L23" i="63"/>
  <c r="K23" i="63"/>
  <c r="Q22" i="63"/>
  <c r="P22" i="63"/>
  <c r="O22" i="63"/>
  <c r="N22" i="63"/>
  <c r="M22" i="63"/>
  <c r="L22" i="63"/>
  <c r="K22" i="63"/>
  <c r="Q21" i="63"/>
  <c r="P21" i="63"/>
  <c r="O21" i="63"/>
  <c r="N21" i="63"/>
  <c r="M21" i="63"/>
  <c r="L21" i="63"/>
  <c r="K21" i="63"/>
  <c r="Q20" i="63"/>
  <c r="P20" i="63"/>
  <c r="O20" i="63"/>
  <c r="N20" i="63"/>
  <c r="M20" i="63"/>
  <c r="L20" i="63"/>
  <c r="K20" i="63"/>
  <c r="Q19" i="63"/>
  <c r="P19" i="63"/>
  <c r="O19" i="63"/>
  <c r="N19" i="63"/>
  <c r="M19" i="63"/>
  <c r="L19" i="63"/>
  <c r="K19" i="63"/>
  <c r="Q18" i="63"/>
  <c r="P18" i="63"/>
  <c r="O18" i="63"/>
  <c r="N18" i="63"/>
  <c r="M18" i="63"/>
  <c r="L18" i="63"/>
  <c r="K18" i="63"/>
  <c r="Q17" i="63"/>
  <c r="P17" i="63"/>
  <c r="O17" i="63"/>
  <c r="N17" i="63"/>
  <c r="M17" i="63"/>
  <c r="L17" i="63"/>
  <c r="K17" i="63"/>
  <c r="Q16" i="63"/>
  <c r="P16" i="63"/>
  <c r="O16" i="63"/>
  <c r="N16" i="63"/>
  <c r="M16" i="63"/>
  <c r="L16" i="63"/>
  <c r="K16" i="63"/>
  <c r="Q15" i="63"/>
  <c r="P15" i="63"/>
  <c r="O15" i="63"/>
  <c r="N15" i="63"/>
  <c r="M15" i="63"/>
  <c r="L15" i="63"/>
  <c r="K15" i="63"/>
  <c r="Q14" i="63"/>
  <c r="P14" i="63"/>
  <c r="O14" i="63"/>
  <c r="N14" i="63"/>
  <c r="M14" i="63"/>
  <c r="L14" i="63"/>
  <c r="K14" i="63"/>
  <c r="A2" i="62"/>
  <c r="Q203" i="62"/>
  <c r="P203" i="62"/>
  <c r="O203" i="62"/>
  <c r="N203" i="62"/>
  <c r="M203" i="62"/>
  <c r="L203" i="62"/>
  <c r="K203" i="62"/>
  <c r="Q202" i="62"/>
  <c r="P202" i="62"/>
  <c r="O202" i="62"/>
  <c r="N202" i="62"/>
  <c r="M202" i="62"/>
  <c r="L202" i="62"/>
  <c r="K202" i="62"/>
  <c r="Q201" i="62"/>
  <c r="P201" i="62"/>
  <c r="O201" i="62"/>
  <c r="N201" i="62"/>
  <c r="M201" i="62"/>
  <c r="L201" i="62"/>
  <c r="K201" i="62"/>
  <c r="Q200" i="62"/>
  <c r="P200" i="62"/>
  <c r="O200" i="62"/>
  <c r="N200" i="62"/>
  <c r="M200" i="62"/>
  <c r="L200" i="62"/>
  <c r="K200" i="62"/>
  <c r="Q199" i="62"/>
  <c r="P199" i="62"/>
  <c r="O199" i="62"/>
  <c r="N199" i="62"/>
  <c r="M199" i="62"/>
  <c r="L199" i="62"/>
  <c r="K199" i="62"/>
  <c r="Q198" i="62"/>
  <c r="P198" i="62"/>
  <c r="O198" i="62"/>
  <c r="N198" i="62"/>
  <c r="M198" i="62"/>
  <c r="L198" i="62"/>
  <c r="K198" i="62"/>
  <c r="Q197" i="62"/>
  <c r="P197" i="62"/>
  <c r="O197" i="62"/>
  <c r="N197" i="62"/>
  <c r="M197" i="62"/>
  <c r="L197" i="62"/>
  <c r="K197" i="62"/>
  <c r="Q196" i="62"/>
  <c r="P196" i="62"/>
  <c r="O196" i="62"/>
  <c r="N196" i="62"/>
  <c r="M196" i="62"/>
  <c r="L196" i="62"/>
  <c r="K196" i="62"/>
  <c r="Q195" i="62"/>
  <c r="P195" i="62"/>
  <c r="O195" i="62"/>
  <c r="N195" i="62"/>
  <c r="M195" i="62"/>
  <c r="L195" i="62"/>
  <c r="K195" i="62"/>
  <c r="Q194" i="62"/>
  <c r="P194" i="62"/>
  <c r="O194" i="62"/>
  <c r="N194" i="62"/>
  <c r="M194" i="62"/>
  <c r="L194" i="62"/>
  <c r="K194" i="62"/>
  <c r="Q193" i="62"/>
  <c r="P193" i="62"/>
  <c r="O193" i="62"/>
  <c r="N193" i="62"/>
  <c r="M193" i="62"/>
  <c r="L193" i="62"/>
  <c r="K193" i="62"/>
  <c r="Q192" i="62"/>
  <c r="P192" i="62"/>
  <c r="O192" i="62"/>
  <c r="N192" i="62"/>
  <c r="M192" i="62"/>
  <c r="L192" i="62"/>
  <c r="K192" i="62"/>
  <c r="Q191" i="62"/>
  <c r="P191" i="62"/>
  <c r="O191" i="62"/>
  <c r="N191" i="62"/>
  <c r="M191" i="62"/>
  <c r="L191" i="62"/>
  <c r="K191" i="62"/>
  <c r="Q190" i="62"/>
  <c r="P190" i="62"/>
  <c r="O190" i="62"/>
  <c r="N190" i="62"/>
  <c r="M190" i="62"/>
  <c r="L190" i="62"/>
  <c r="K190" i="62"/>
  <c r="Q189" i="62"/>
  <c r="P189" i="62"/>
  <c r="O189" i="62"/>
  <c r="N189" i="62"/>
  <c r="M189" i="62"/>
  <c r="L189" i="62"/>
  <c r="K189" i="62"/>
  <c r="Q188" i="62"/>
  <c r="P188" i="62"/>
  <c r="O188" i="62"/>
  <c r="N188" i="62"/>
  <c r="M188" i="62"/>
  <c r="L188" i="62"/>
  <c r="K188" i="62"/>
  <c r="Q187" i="62"/>
  <c r="P187" i="62"/>
  <c r="O187" i="62"/>
  <c r="N187" i="62"/>
  <c r="M187" i="62"/>
  <c r="L187" i="62"/>
  <c r="K187" i="62"/>
  <c r="Q186" i="62"/>
  <c r="P186" i="62"/>
  <c r="O186" i="62"/>
  <c r="N186" i="62"/>
  <c r="M186" i="62"/>
  <c r="L186" i="62"/>
  <c r="K186" i="62"/>
  <c r="Q185" i="62"/>
  <c r="P185" i="62"/>
  <c r="O185" i="62"/>
  <c r="N185" i="62"/>
  <c r="M185" i="62"/>
  <c r="L185" i="62"/>
  <c r="K185" i="62"/>
  <c r="Q184" i="62"/>
  <c r="P184" i="62"/>
  <c r="O184" i="62"/>
  <c r="N184" i="62"/>
  <c r="M184" i="62"/>
  <c r="L184" i="62"/>
  <c r="K184" i="62"/>
  <c r="Q183" i="62"/>
  <c r="P183" i="62"/>
  <c r="O183" i="62"/>
  <c r="N183" i="62"/>
  <c r="M183" i="62"/>
  <c r="L183" i="62"/>
  <c r="K183" i="62"/>
  <c r="Q182" i="62"/>
  <c r="P182" i="62"/>
  <c r="O182" i="62"/>
  <c r="N182" i="62"/>
  <c r="M182" i="62"/>
  <c r="L182" i="62"/>
  <c r="K182" i="62"/>
  <c r="Q181" i="62"/>
  <c r="P181" i="62"/>
  <c r="O181" i="62"/>
  <c r="N181" i="62"/>
  <c r="M181" i="62"/>
  <c r="L181" i="62"/>
  <c r="K181" i="62"/>
  <c r="Q180" i="62"/>
  <c r="P180" i="62"/>
  <c r="O180" i="62"/>
  <c r="N180" i="62"/>
  <c r="M180" i="62"/>
  <c r="L180" i="62"/>
  <c r="K180" i="62"/>
  <c r="Q179" i="62"/>
  <c r="P179" i="62"/>
  <c r="O179" i="62"/>
  <c r="N179" i="62"/>
  <c r="M179" i="62"/>
  <c r="L179" i="62"/>
  <c r="K179" i="62"/>
  <c r="Q178" i="62"/>
  <c r="P178" i="62"/>
  <c r="O178" i="62"/>
  <c r="N178" i="62"/>
  <c r="M178" i="62"/>
  <c r="L178" i="62"/>
  <c r="K178" i="62"/>
  <c r="Q177" i="62"/>
  <c r="P177" i="62"/>
  <c r="O177" i="62"/>
  <c r="N177" i="62"/>
  <c r="M177" i="62"/>
  <c r="L177" i="62"/>
  <c r="K177" i="62"/>
  <c r="Q176" i="62"/>
  <c r="P176" i="62"/>
  <c r="O176" i="62"/>
  <c r="N176" i="62"/>
  <c r="M176" i="62"/>
  <c r="L176" i="62"/>
  <c r="K176" i="62"/>
  <c r="Q175" i="62"/>
  <c r="P175" i="62"/>
  <c r="O175" i="62"/>
  <c r="N175" i="62"/>
  <c r="M175" i="62"/>
  <c r="L175" i="62"/>
  <c r="K175" i="62"/>
  <c r="Q174" i="62"/>
  <c r="P174" i="62"/>
  <c r="O174" i="62"/>
  <c r="N174" i="62"/>
  <c r="M174" i="62"/>
  <c r="L174" i="62"/>
  <c r="K174" i="62"/>
  <c r="Q173" i="62"/>
  <c r="P173" i="62"/>
  <c r="O173" i="62"/>
  <c r="N173" i="62"/>
  <c r="M173" i="62"/>
  <c r="L173" i="62"/>
  <c r="K173" i="62"/>
  <c r="Q172" i="62"/>
  <c r="P172" i="62"/>
  <c r="O172" i="62"/>
  <c r="N172" i="62"/>
  <c r="M172" i="62"/>
  <c r="L172" i="62"/>
  <c r="K172" i="62"/>
  <c r="Q171" i="62"/>
  <c r="P171" i="62"/>
  <c r="O171" i="62"/>
  <c r="N171" i="62"/>
  <c r="M171" i="62"/>
  <c r="L171" i="62"/>
  <c r="K171" i="62"/>
  <c r="Q170" i="62"/>
  <c r="P170" i="62"/>
  <c r="O170" i="62"/>
  <c r="N170" i="62"/>
  <c r="M170" i="62"/>
  <c r="L170" i="62"/>
  <c r="K170" i="62"/>
  <c r="Q169" i="62"/>
  <c r="P169" i="62"/>
  <c r="O169" i="62"/>
  <c r="N169" i="62"/>
  <c r="M169" i="62"/>
  <c r="L169" i="62"/>
  <c r="K169" i="62"/>
  <c r="Q168" i="62"/>
  <c r="P168" i="62"/>
  <c r="O168" i="62"/>
  <c r="N168" i="62"/>
  <c r="M168" i="62"/>
  <c r="L168" i="62"/>
  <c r="K168" i="62"/>
  <c r="Q167" i="62"/>
  <c r="P167" i="62"/>
  <c r="O167" i="62"/>
  <c r="N167" i="62"/>
  <c r="M167" i="62"/>
  <c r="L167" i="62"/>
  <c r="K167" i="62"/>
  <c r="Q166" i="62"/>
  <c r="P166" i="62"/>
  <c r="O166" i="62"/>
  <c r="N166" i="62"/>
  <c r="M166" i="62"/>
  <c r="L166" i="62"/>
  <c r="K166" i="62"/>
  <c r="Q165" i="62"/>
  <c r="P165" i="62"/>
  <c r="O165" i="62"/>
  <c r="N165" i="62"/>
  <c r="M165" i="62"/>
  <c r="L165" i="62"/>
  <c r="K165" i="62"/>
  <c r="Q164" i="62"/>
  <c r="P164" i="62"/>
  <c r="O164" i="62"/>
  <c r="N164" i="62"/>
  <c r="M164" i="62"/>
  <c r="L164" i="62"/>
  <c r="K164" i="62"/>
  <c r="Q163" i="62"/>
  <c r="P163" i="62"/>
  <c r="O163" i="62"/>
  <c r="N163" i="62"/>
  <c r="M163" i="62"/>
  <c r="L163" i="62"/>
  <c r="K163" i="62"/>
  <c r="Q162" i="62"/>
  <c r="P162" i="62"/>
  <c r="O162" i="62"/>
  <c r="N162" i="62"/>
  <c r="M162" i="62"/>
  <c r="L162" i="62"/>
  <c r="K162" i="62"/>
  <c r="Q161" i="62"/>
  <c r="P161" i="62"/>
  <c r="O161" i="62"/>
  <c r="N161" i="62"/>
  <c r="M161" i="62"/>
  <c r="L161" i="62"/>
  <c r="K161" i="62"/>
  <c r="Q160" i="62"/>
  <c r="P160" i="62"/>
  <c r="O160" i="62"/>
  <c r="N160" i="62"/>
  <c r="M160" i="62"/>
  <c r="L160" i="62"/>
  <c r="K160" i="62"/>
  <c r="Q159" i="62"/>
  <c r="P159" i="62"/>
  <c r="O159" i="62"/>
  <c r="N159" i="62"/>
  <c r="M159" i="62"/>
  <c r="L159" i="62"/>
  <c r="K159" i="62"/>
  <c r="Q158" i="62"/>
  <c r="P158" i="62"/>
  <c r="O158" i="62"/>
  <c r="N158" i="62"/>
  <c r="M158" i="62"/>
  <c r="L158" i="62"/>
  <c r="K158" i="62"/>
  <c r="Q157" i="62"/>
  <c r="P157" i="62"/>
  <c r="O157" i="62"/>
  <c r="N157" i="62"/>
  <c r="M157" i="62"/>
  <c r="L157" i="62"/>
  <c r="K157" i="62"/>
  <c r="Q156" i="62"/>
  <c r="P156" i="62"/>
  <c r="O156" i="62"/>
  <c r="N156" i="62"/>
  <c r="M156" i="62"/>
  <c r="L156" i="62"/>
  <c r="K156" i="62"/>
  <c r="Q155" i="62"/>
  <c r="P155" i="62"/>
  <c r="O155" i="62"/>
  <c r="N155" i="62"/>
  <c r="M155" i="62"/>
  <c r="L155" i="62"/>
  <c r="K155" i="62"/>
  <c r="Q154" i="62"/>
  <c r="P154" i="62"/>
  <c r="O154" i="62"/>
  <c r="N154" i="62"/>
  <c r="M154" i="62"/>
  <c r="L154" i="62"/>
  <c r="K154" i="62"/>
  <c r="Q153" i="62"/>
  <c r="P153" i="62"/>
  <c r="O153" i="62"/>
  <c r="N153" i="62"/>
  <c r="M153" i="62"/>
  <c r="L153" i="62"/>
  <c r="K153" i="62"/>
  <c r="Q152" i="62"/>
  <c r="P152" i="62"/>
  <c r="O152" i="62"/>
  <c r="N152" i="62"/>
  <c r="M152" i="62"/>
  <c r="L152" i="62"/>
  <c r="K152" i="62"/>
  <c r="Q151" i="62"/>
  <c r="P151" i="62"/>
  <c r="O151" i="62"/>
  <c r="N151" i="62"/>
  <c r="M151" i="62"/>
  <c r="L151" i="62"/>
  <c r="K151" i="62"/>
  <c r="Q150" i="62"/>
  <c r="P150" i="62"/>
  <c r="O150" i="62"/>
  <c r="N150" i="62"/>
  <c r="M150" i="62"/>
  <c r="L150" i="62"/>
  <c r="K150" i="62"/>
  <c r="Q149" i="62"/>
  <c r="P149" i="62"/>
  <c r="O149" i="62"/>
  <c r="N149" i="62"/>
  <c r="M149" i="62"/>
  <c r="L149" i="62"/>
  <c r="K149" i="62"/>
  <c r="Q148" i="62"/>
  <c r="P148" i="62"/>
  <c r="O148" i="62"/>
  <c r="N148" i="62"/>
  <c r="M148" i="62"/>
  <c r="L148" i="62"/>
  <c r="K148" i="62"/>
  <c r="Q147" i="62"/>
  <c r="P147" i="62"/>
  <c r="O147" i="62"/>
  <c r="N147" i="62"/>
  <c r="M147" i="62"/>
  <c r="L147" i="62"/>
  <c r="K147" i="62"/>
  <c r="Q146" i="62"/>
  <c r="P146" i="62"/>
  <c r="O146" i="62"/>
  <c r="N146" i="62"/>
  <c r="M146" i="62"/>
  <c r="L146" i="62"/>
  <c r="K146" i="62"/>
  <c r="Q145" i="62"/>
  <c r="P145" i="62"/>
  <c r="O145" i="62"/>
  <c r="N145" i="62"/>
  <c r="M145" i="62"/>
  <c r="L145" i="62"/>
  <c r="K145" i="62"/>
  <c r="Q144" i="62"/>
  <c r="P144" i="62"/>
  <c r="O144" i="62"/>
  <c r="N144" i="62"/>
  <c r="M144" i="62"/>
  <c r="L144" i="62"/>
  <c r="K144" i="62"/>
  <c r="Q143" i="62"/>
  <c r="P143" i="62"/>
  <c r="O143" i="62"/>
  <c r="N143" i="62"/>
  <c r="M143" i="62"/>
  <c r="L143" i="62"/>
  <c r="K143" i="62"/>
  <c r="Q142" i="62"/>
  <c r="P142" i="62"/>
  <c r="O142" i="62"/>
  <c r="N142" i="62"/>
  <c r="M142" i="62"/>
  <c r="L142" i="62"/>
  <c r="K142" i="62"/>
  <c r="Q141" i="62"/>
  <c r="P141" i="62"/>
  <c r="O141" i="62"/>
  <c r="N141" i="62"/>
  <c r="M141" i="62"/>
  <c r="L141" i="62"/>
  <c r="K141" i="62"/>
  <c r="Q140" i="62"/>
  <c r="P140" i="62"/>
  <c r="O140" i="62"/>
  <c r="N140" i="62"/>
  <c r="M140" i="62"/>
  <c r="L140" i="62"/>
  <c r="K140" i="62"/>
  <c r="Q139" i="62"/>
  <c r="P139" i="62"/>
  <c r="O139" i="62"/>
  <c r="N139" i="62"/>
  <c r="M139" i="62"/>
  <c r="L139" i="62"/>
  <c r="K139" i="62"/>
  <c r="Q138" i="62"/>
  <c r="P138" i="62"/>
  <c r="O138" i="62"/>
  <c r="N138" i="62"/>
  <c r="M138" i="62"/>
  <c r="L138" i="62"/>
  <c r="K138" i="62"/>
  <c r="Q137" i="62"/>
  <c r="P137" i="62"/>
  <c r="O137" i="62"/>
  <c r="N137" i="62"/>
  <c r="M137" i="62"/>
  <c r="L137" i="62"/>
  <c r="K137" i="62"/>
  <c r="Q136" i="62"/>
  <c r="P136" i="62"/>
  <c r="O136" i="62"/>
  <c r="N136" i="62"/>
  <c r="M136" i="62"/>
  <c r="L136" i="62"/>
  <c r="K136" i="62"/>
  <c r="Q135" i="62"/>
  <c r="P135" i="62"/>
  <c r="O135" i="62"/>
  <c r="N135" i="62"/>
  <c r="M135" i="62"/>
  <c r="L135" i="62"/>
  <c r="K135" i="62"/>
  <c r="Q134" i="62"/>
  <c r="P134" i="62"/>
  <c r="O134" i="62"/>
  <c r="N134" i="62"/>
  <c r="M134" i="62"/>
  <c r="L134" i="62"/>
  <c r="K134" i="62"/>
  <c r="Q133" i="62"/>
  <c r="P133" i="62"/>
  <c r="O133" i="62"/>
  <c r="N133" i="62"/>
  <c r="M133" i="62"/>
  <c r="L133" i="62"/>
  <c r="K133" i="62"/>
  <c r="Q132" i="62"/>
  <c r="P132" i="62"/>
  <c r="O132" i="62"/>
  <c r="N132" i="62"/>
  <c r="M132" i="62"/>
  <c r="L132" i="62"/>
  <c r="K132" i="62"/>
  <c r="Q131" i="62"/>
  <c r="P131" i="62"/>
  <c r="O131" i="62"/>
  <c r="N131" i="62"/>
  <c r="M131" i="62"/>
  <c r="L131" i="62"/>
  <c r="K131" i="62"/>
  <c r="Q130" i="62"/>
  <c r="P130" i="62"/>
  <c r="O130" i="62"/>
  <c r="N130" i="62"/>
  <c r="M130" i="62"/>
  <c r="L130" i="62"/>
  <c r="K130" i="62"/>
  <c r="Q129" i="62"/>
  <c r="P129" i="62"/>
  <c r="O129" i="62"/>
  <c r="N129" i="62"/>
  <c r="M129" i="62"/>
  <c r="L129" i="62"/>
  <c r="K129" i="62"/>
  <c r="Q128" i="62"/>
  <c r="P128" i="62"/>
  <c r="O128" i="62"/>
  <c r="N128" i="62"/>
  <c r="M128" i="62"/>
  <c r="L128" i="62"/>
  <c r="K128" i="62"/>
  <c r="Q127" i="62"/>
  <c r="P127" i="62"/>
  <c r="O127" i="62"/>
  <c r="N127" i="62"/>
  <c r="M127" i="62"/>
  <c r="L127" i="62"/>
  <c r="K127" i="62"/>
  <c r="Q126" i="62"/>
  <c r="P126" i="62"/>
  <c r="O126" i="62"/>
  <c r="N126" i="62"/>
  <c r="M126" i="62"/>
  <c r="L126" i="62"/>
  <c r="K126" i="62"/>
  <c r="Q125" i="62"/>
  <c r="P125" i="62"/>
  <c r="O125" i="62"/>
  <c r="N125" i="62"/>
  <c r="M125" i="62"/>
  <c r="L125" i="62"/>
  <c r="K125" i="62"/>
  <c r="Q124" i="62"/>
  <c r="P124" i="62"/>
  <c r="O124" i="62"/>
  <c r="N124" i="62"/>
  <c r="M124" i="62"/>
  <c r="L124" i="62"/>
  <c r="K124" i="62"/>
  <c r="Q123" i="62"/>
  <c r="P123" i="62"/>
  <c r="O123" i="62"/>
  <c r="N123" i="62"/>
  <c r="M123" i="62"/>
  <c r="L123" i="62"/>
  <c r="K123" i="62"/>
  <c r="Q122" i="62"/>
  <c r="P122" i="62"/>
  <c r="O122" i="62"/>
  <c r="N122" i="62"/>
  <c r="M122" i="62"/>
  <c r="L122" i="62"/>
  <c r="K122" i="62"/>
  <c r="Q121" i="62"/>
  <c r="P121" i="62"/>
  <c r="O121" i="62"/>
  <c r="N121" i="62"/>
  <c r="M121" i="62"/>
  <c r="L121" i="62"/>
  <c r="K121" i="62"/>
  <c r="Q120" i="62"/>
  <c r="P120" i="62"/>
  <c r="O120" i="62"/>
  <c r="N120" i="62"/>
  <c r="M120" i="62"/>
  <c r="L120" i="62"/>
  <c r="K120" i="62"/>
  <c r="Q119" i="62"/>
  <c r="P119" i="62"/>
  <c r="O119" i="62"/>
  <c r="N119" i="62"/>
  <c r="M119" i="62"/>
  <c r="L119" i="62"/>
  <c r="K119" i="62"/>
  <c r="Q118" i="62"/>
  <c r="P118" i="62"/>
  <c r="O118" i="62"/>
  <c r="N118" i="62"/>
  <c r="M118" i="62"/>
  <c r="L118" i="62"/>
  <c r="K118" i="62"/>
  <c r="Q117" i="62"/>
  <c r="P117" i="62"/>
  <c r="O117" i="62"/>
  <c r="N117" i="62"/>
  <c r="M117" i="62"/>
  <c r="L117" i="62"/>
  <c r="K117" i="62"/>
  <c r="Q116" i="62"/>
  <c r="P116" i="62"/>
  <c r="O116" i="62"/>
  <c r="N116" i="62"/>
  <c r="M116" i="62"/>
  <c r="L116" i="62"/>
  <c r="K116" i="62"/>
  <c r="Q115" i="62"/>
  <c r="P115" i="62"/>
  <c r="O115" i="62"/>
  <c r="N115" i="62"/>
  <c r="M115" i="62"/>
  <c r="L115" i="62"/>
  <c r="K115" i="62"/>
  <c r="Q114" i="62"/>
  <c r="P114" i="62"/>
  <c r="O114" i="62"/>
  <c r="N114" i="62"/>
  <c r="M114" i="62"/>
  <c r="L114" i="62"/>
  <c r="K114" i="62"/>
  <c r="Q113" i="62"/>
  <c r="P113" i="62"/>
  <c r="O113" i="62"/>
  <c r="N113" i="62"/>
  <c r="M113" i="62"/>
  <c r="L113" i="62"/>
  <c r="K113" i="62"/>
  <c r="Q112" i="62"/>
  <c r="P112" i="62"/>
  <c r="O112" i="62"/>
  <c r="N112" i="62"/>
  <c r="M112" i="62"/>
  <c r="L112" i="62"/>
  <c r="K112" i="62"/>
  <c r="Q111" i="62"/>
  <c r="P111" i="62"/>
  <c r="O111" i="62"/>
  <c r="N111" i="62"/>
  <c r="M111" i="62"/>
  <c r="L111" i="62"/>
  <c r="K111" i="62"/>
  <c r="Q110" i="62"/>
  <c r="P110" i="62"/>
  <c r="O110" i="62"/>
  <c r="N110" i="62"/>
  <c r="M110" i="62"/>
  <c r="L110" i="62"/>
  <c r="K110" i="62"/>
  <c r="Q109" i="62"/>
  <c r="P109" i="62"/>
  <c r="O109" i="62"/>
  <c r="N109" i="62"/>
  <c r="M109" i="62"/>
  <c r="L109" i="62"/>
  <c r="K109" i="62"/>
  <c r="Q108" i="62"/>
  <c r="P108" i="62"/>
  <c r="O108" i="62"/>
  <c r="N108" i="62"/>
  <c r="M108" i="62"/>
  <c r="L108" i="62"/>
  <c r="K108" i="62"/>
  <c r="Q107" i="62"/>
  <c r="P107" i="62"/>
  <c r="O107" i="62"/>
  <c r="N107" i="62"/>
  <c r="M107" i="62"/>
  <c r="L107" i="62"/>
  <c r="K107" i="62"/>
  <c r="Q106" i="62"/>
  <c r="P106" i="62"/>
  <c r="O106" i="62"/>
  <c r="N106" i="62"/>
  <c r="M106" i="62"/>
  <c r="L106" i="62"/>
  <c r="K106" i="62"/>
  <c r="Q105" i="62"/>
  <c r="P105" i="62"/>
  <c r="O105" i="62"/>
  <c r="N105" i="62"/>
  <c r="M105" i="62"/>
  <c r="L105" i="62"/>
  <c r="K105" i="62"/>
  <c r="Q104" i="62"/>
  <c r="P104" i="62"/>
  <c r="O104" i="62"/>
  <c r="N104" i="62"/>
  <c r="M104" i="62"/>
  <c r="L104" i="62"/>
  <c r="K104" i="62"/>
  <c r="Q103" i="62"/>
  <c r="P103" i="62"/>
  <c r="O103" i="62"/>
  <c r="N103" i="62"/>
  <c r="M103" i="62"/>
  <c r="L103" i="62"/>
  <c r="K103" i="62"/>
  <c r="Q102" i="62"/>
  <c r="P102" i="62"/>
  <c r="O102" i="62"/>
  <c r="N102" i="62"/>
  <c r="M102" i="62"/>
  <c r="L102" i="62"/>
  <c r="K102" i="62"/>
  <c r="Q101" i="62"/>
  <c r="P101" i="62"/>
  <c r="O101" i="62"/>
  <c r="N101" i="62"/>
  <c r="M101" i="62"/>
  <c r="L101" i="62"/>
  <c r="K101" i="62"/>
  <c r="Q100" i="62"/>
  <c r="P100" i="62"/>
  <c r="O100" i="62"/>
  <c r="N100" i="62"/>
  <c r="M100" i="62"/>
  <c r="L100" i="62"/>
  <c r="K100" i="62"/>
  <c r="Q99" i="62"/>
  <c r="P99" i="62"/>
  <c r="O99" i="62"/>
  <c r="N99" i="62"/>
  <c r="M99" i="62"/>
  <c r="L99" i="62"/>
  <c r="K99" i="62"/>
  <c r="Q98" i="62"/>
  <c r="P98" i="62"/>
  <c r="O98" i="62"/>
  <c r="N98" i="62"/>
  <c r="M98" i="62"/>
  <c r="L98" i="62"/>
  <c r="K98" i="62"/>
  <c r="Q97" i="62"/>
  <c r="P97" i="62"/>
  <c r="O97" i="62"/>
  <c r="N97" i="62"/>
  <c r="M97" i="62"/>
  <c r="L97" i="62"/>
  <c r="K97" i="62"/>
  <c r="Q96" i="62"/>
  <c r="P96" i="62"/>
  <c r="O96" i="62"/>
  <c r="N96" i="62"/>
  <c r="M96" i="62"/>
  <c r="L96" i="62"/>
  <c r="K96" i="62"/>
  <c r="Q95" i="62"/>
  <c r="P95" i="62"/>
  <c r="O95" i="62"/>
  <c r="N95" i="62"/>
  <c r="M95" i="62"/>
  <c r="L95" i="62"/>
  <c r="K95" i="62"/>
  <c r="Q94" i="62"/>
  <c r="P94" i="62"/>
  <c r="O94" i="62"/>
  <c r="N94" i="62"/>
  <c r="M94" i="62"/>
  <c r="L94" i="62"/>
  <c r="K94" i="62"/>
  <c r="Q93" i="62"/>
  <c r="P93" i="62"/>
  <c r="O93" i="62"/>
  <c r="N93" i="62"/>
  <c r="M93" i="62"/>
  <c r="L93" i="62"/>
  <c r="K93" i="62"/>
  <c r="Q92" i="62"/>
  <c r="P92" i="62"/>
  <c r="O92" i="62"/>
  <c r="N92" i="62"/>
  <c r="M92" i="62"/>
  <c r="L92" i="62"/>
  <c r="K92" i="62"/>
  <c r="Q91" i="62"/>
  <c r="P91" i="62"/>
  <c r="O91" i="62"/>
  <c r="N91" i="62"/>
  <c r="M91" i="62"/>
  <c r="L91" i="62"/>
  <c r="K91" i="62"/>
  <c r="Q90" i="62"/>
  <c r="P90" i="62"/>
  <c r="O90" i="62"/>
  <c r="N90" i="62"/>
  <c r="M90" i="62"/>
  <c r="L90" i="62"/>
  <c r="K90" i="62"/>
  <c r="Q89" i="62"/>
  <c r="P89" i="62"/>
  <c r="O89" i="62"/>
  <c r="N89" i="62"/>
  <c r="M89" i="62"/>
  <c r="L89" i="62"/>
  <c r="K89" i="62"/>
  <c r="Q88" i="62"/>
  <c r="P88" i="62"/>
  <c r="O88" i="62"/>
  <c r="N88" i="62"/>
  <c r="M88" i="62"/>
  <c r="L88" i="62"/>
  <c r="K88" i="62"/>
  <c r="Q87" i="62"/>
  <c r="P87" i="62"/>
  <c r="O87" i="62"/>
  <c r="N87" i="62"/>
  <c r="M87" i="62"/>
  <c r="L87" i="62"/>
  <c r="K87" i="62"/>
  <c r="Q86" i="62"/>
  <c r="P86" i="62"/>
  <c r="O86" i="62"/>
  <c r="N86" i="62"/>
  <c r="M86" i="62"/>
  <c r="L86" i="62"/>
  <c r="K86" i="62"/>
  <c r="Q85" i="62"/>
  <c r="P85" i="62"/>
  <c r="O85" i="62"/>
  <c r="N85" i="62"/>
  <c r="M85" i="62"/>
  <c r="L85" i="62"/>
  <c r="K85" i="62"/>
  <c r="Q84" i="62"/>
  <c r="P84" i="62"/>
  <c r="O84" i="62"/>
  <c r="N84" i="62"/>
  <c r="M84" i="62"/>
  <c r="L84" i="62"/>
  <c r="K84" i="62"/>
  <c r="Q83" i="62"/>
  <c r="P83" i="62"/>
  <c r="O83" i="62"/>
  <c r="N83" i="62"/>
  <c r="M83" i="62"/>
  <c r="L83" i="62"/>
  <c r="K83" i="62"/>
  <c r="Q82" i="62"/>
  <c r="P82" i="62"/>
  <c r="O82" i="62"/>
  <c r="N82" i="62"/>
  <c r="M82" i="62"/>
  <c r="L82" i="62"/>
  <c r="K82" i="62"/>
  <c r="Q81" i="62"/>
  <c r="P81" i="62"/>
  <c r="O81" i="62"/>
  <c r="N81" i="62"/>
  <c r="M81" i="62"/>
  <c r="L81" i="62"/>
  <c r="K81" i="62"/>
  <c r="Q80" i="62"/>
  <c r="P80" i="62"/>
  <c r="O80" i="62"/>
  <c r="N80" i="62"/>
  <c r="M80" i="62"/>
  <c r="L80" i="62"/>
  <c r="K80" i="62"/>
  <c r="Q79" i="62"/>
  <c r="P79" i="62"/>
  <c r="O79" i="62"/>
  <c r="N79" i="62"/>
  <c r="M79" i="62"/>
  <c r="L79" i="62"/>
  <c r="K79" i="62"/>
  <c r="Q78" i="62"/>
  <c r="P78" i="62"/>
  <c r="O78" i="62"/>
  <c r="N78" i="62"/>
  <c r="M78" i="62"/>
  <c r="L78" i="62"/>
  <c r="K78" i="62"/>
  <c r="Q77" i="62"/>
  <c r="P77" i="62"/>
  <c r="O77" i="62"/>
  <c r="N77" i="62"/>
  <c r="M77" i="62"/>
  <c r="L77" i="62"/>
  <c r="K77" i="62"/>
  <c r="Q76" i="62"/>
  <c r="P76" i="62"/>
  <c r="O76" i="62"/>
  <c r="N76" i="62"/>
  <c r="M76" i="62"/>
  <c r="L76" i="62"/>
  <c r="K76" i="62"/>
  <c r="Q75" i="62"/>
  <c r="P75" i="62"/>
  <c r="O75" i="62"/>
  <c r="N75" i="62"/>
  <c r="M75" i="62"/>
  <c r="L75" i="62"/>
  <c r="K75" i="62"/>
  <c r="Q74" i="62"/>
  <c r="P74" i="62"/>
  <c r="O74" i="62"/>
  <c r="N74" i="62"/>
  <c r="M74" i="62"/>
  <c r="L74" i="62"/>
  <c r="K74" i="62"/>
  <c r="Q73" i="62"/>
  <c r="P73" i="62"/>
  <c r="O73" i="62"/>
  <c r="N73" i="62"/>
  <c r="M73" i="62"/>
  <c r="L73" i="62"/>
  <c r="K73" i="62"/>
  <c r="Q72" i="62"/>
  <c r="P72" i="62"/>
  <c r="O72" i="62"/>
  <c r="N72" i="62"/>
  <c r="M72" i="62"/>
  <c r="L72" i="62"/>
  <c r="K72" i="62"/>
  <c r="Q71" i="62"/>
  <c r="P71" i="62"/>
  <c r="O71" i="62"/>
  <c r="N71" i="62"/>
  <c r="M71" i="62"/>
  <c r="L71" i="62"/>
  <c r="K71" i="62"/>
  <c r="Q70" i="62"/>
  <c r="P70" i="62"/>
  <c r="O70" i="62"/>
  <c r="N70" i="62"/>
  <c r="M70" i="62"/>
  <c r="L70" i="62"/>
  <c r="K70" i="62"/>
  <c r="Q69" i="62"/>
  <c r="P69" i="62"/>
  <c r="O69" i="62"/>
  <c r="N69" i="62"/>
  <c r="M69" i="62"/>
  <c r="L69" i="62"/>
  <c r="K69" i="62"/>
  <c r="Q68" i="62"/>
  <c r="P68" i="62"/>
  <c r="O68" i="62"/>
  <c r="N68" i="62"/>
  <c r="M68" i="62"/>
  <c r="L68" i="62"/>
  <c r="K68" i="62"/>
  <c r="Q67" i="62"/>
  <c r="P67" i="62"/>
  <c r="O67" i="62"/>
  <c r="N67" i="62"/>
  <c r="M67" i="62"/>
  <c r="L67" i="62"/>
  <c r="K67" i="62"/>
  <c r="Q66" i="62"/>
  <c r="P66" i="62"/>
  <c r="O66" i="62"/>
  <c r="N66" i="62"/>
  <c r="M66" i="62"/>
  <c r="L66" i="62"/>
  <c r="K66" i="62"/>
  <c r="Q65" i="62"/>
  <c r="P65" i="62"/>
  <c r="O65" i="62"/>
  <c r="N65" i="62"/>
  <c r="M65" i="62"/>
  <c r="L65" i="62"/>
  <c r="K65" i="62"/>
  <c r="Q64" i="62"/>
  <c r="P64" i="62"/>
  <c r="O64" i="62"/>
  <c r="N64" i="62"/>
  <c r="M64" i="62"/>
  <c r="L64" i="62"/>
  <c r="K64" i="62"/>
  <c r="Q63" i="62"/>
  <c r="P63" i="62"/>
  <c r="O63" i="62"/>
  <c r="N63" i="62"/>
  <c r="M63" i="62"/>
  <c r="L63" i="62"/>
  <c r="K63" i="62"/>
  <c r="Q62" i="62"/>
  <c r="P62" i="62"/>
  <c r="O62" i="62"/>
  <c r="N62" i="62"/>
  <c r="M62" i="62"/>
  <c r="L62" i="62"/>
  <c r="K62" i="62"/>
  <c r="Q61" i="62"/>
  <c r="P61" i="62"/>
  <c r="O61" i="62"/>
  <c r="N61" i="62"/>
  <c r="M61" i="62"/>
  <c r="L61" i="62"/>
  <c r="K61" i="62"/>
  <c r="Q60" i="62"/>
  <c r="P60" i="62"/>
  <c r="O60" i="62"/>
  <c r="N60" i="62"/>
  <c r="M60" i="62"/>
  <c r="L60" i="62"/>
  <c r="K60" i="62"/>
  <c r="Q59" i="62"/>
  <c r="P59" i="62"/>
  <c r="O59" i="62"/>
  <c r="N59" i="62"/>
  <c r="M59" i="62"/>
  <c r="L59" i="62"/>
  <c r="K59" i="62"/>
  <c r="Q58" i="62"/>
  <c r="P58" i="62"/>
  <c r="O58" i="62"/>
  <c r="N58" i="62"/>
  <c r="M58" i="62"/>
  <c r="L58" i="62"/>
  <c r="K58" i="62"/>
  <c r="Q57" i="62"/>
  <c r="P57" i="62"/>
  <c r="O57" i="62"/>
  <c r="N57" i="62"/>
  <c r="M57" i="62"/>
  <c r="L57" i="62"/>
  <c r="K57" i="62"/>
  <c r="Q56" i="62"/>
  <c r="P56" i="62"/>
  <c r="O56" i="62"/>
  <c r="N56" i="62"/>
  <c r="M56" i="62"/>
  <c r="L56" i="62"/>
  <c r="K56" i="62"/>
  <c r="Q55" i="62"/>
  <c r="P55" i="62"/>
  <c r="O55" i="62"/>
  <c r="N55" i="62"/>
  <c r="M55" i="62"/>
  <c r="L55" i="62"/>
  <c r="K55" i="62"/>
  <c r="Q54" i="62"/>
  <c r="P54" i="62"/>
  <c r="O54" i="62"/>
  <c r="N54" i="62"/>
  <c r="M54" i="62"/>
  <c r="L54" i="62"/>
  <c r="K54" i="62"/>
  <c r="Q53" i="62"/>
  <c r="P53" i="62"/>
  <c r="O53" i="62"/>
  <c r="N53" i="62"/>
  <c r="M53" i="62"/>
  <c r="L53" i="62"/>
  <c r="K53" i="62"/>
  <c r="Q52" i="62"/>
  <c r="P52" i="62"/>
  <c r="O52" i="62"/>
  <c r="N52" i="62"/>
  <c r="M52" i="62"/>
  <c r="L52" i="62"/>
  <c r="K52" i="62"/>
  <c r="Q51" i="62"/>
  <c r="P51" i="62"/>
  <c r="O51" i="62"/>
  <c r="N51" i="62"/>
  <c r="M51" i="62"/>
  <c r="L51" i="62"/>
  <c r="K51" i="62"/>
  <c r="Q50" i="62"/>
  <c r="P50" i="62"/>
  <c r="O50" i="62"/>
  <c r="N50" i="62"/>
  <c r="M50" i="62"/>
  <c r="L50" i="62"/>
  <c r="K50" i="62"/>
  <c r="Q49" i="62"/>
  <c r="P49" i="62"/>
  <c r="O49" i="62"/>
  <c r="N49" i="62"/>
  <c r="M49" i="62"/>
  <c r="L49" i="62"/>
  <c r="K49" i="62"/>
  <c r="Q48" i="62"/>
  <c r="P48" i="62"/>
  <c r="O48" i="62"/>
  <c r="N48" i="62"/>
  <c r="M48" i="62"/>
  <c r="L48" i="62"/>
  <c r="K48" i="62"/>
  <c r="Q47" i="62"/>
  <c r="P47" i="62"/>
  <c r="O47" i="62"/>
  <c r="N47" i="62"/>
  <c r="M47" i="62"/>
  <c r="L47" i="62"/>
  <c r="K47" i="62"/>
  <c r="Q46" i="62"/>
  <c r="P46" i="62"/>
  <c r="O46" i="62"/>
  <c r="N46" i="62"/>
  <c r="M46" i="62"/>
  <c r="L46" i="62"/>
  <c r="K46" i="62"/>
  <c r="Q45" i="62"/>
  <c r="P45" i="62"/>
  <c r="O45" i="62"/>
  <c r="N45" i="62"/>
  <c r="M45" i="62"/>
  <c r="L45" i="62"/>
  <c r="K45" i="62"/>
  <c r="Q44" i="62"/>
  <c r="P44" i="62"/>
  <c r="O44" i="62"/>
  <c r="N44" i="62"/>
  <c r="M44" i="62"/>
  <c r="L44" i="62"/>
  <c r="K44" i="62"/>
  <c r="Q43" i="62"/>
  <c r="P43" i="62"/>
  <c r="O43" i="62"/>
  <c r="N43" i="62"/>
  <c r="M43" i="62"/>
  <c r="L43" i="62"/>
  <c r="K43" i="62"/>
  <c r="Q42" i="62"/>
  <c r="P42" i="62"/>
  <c r="O42" i="62"/>
  <c r="N42" i="62"/>
  <c r="M42" i="62"/>
  <c r="L42" i="62"/>
  <c r="K42" i="62"/>
  <c r="Q41" i="62"/>
  <c r="P41" i="62"/>
  <c r="O41" i="62"/>
  <c r="N41" i="62"/>
  <c r="M41" i="62"/>
  <c r="L41" i="62"/>
  <c r="K41" i="62"/>
  <c r="Q40" i="62"/>
  <c r="P40" i="62"/>
  <c r="O40" i="62"/>
  <c r="N40" i="62"/>
  <c r="M40" i="62"/>
  <c r="L40" i="62"/>
  <c r="K40" i="62"/>
  <c r="Q39" i="62"/>
  <c r="P39" i="62"/>
  <c r="O39" i="62"/>
  <c r="N39" i="62"/>
  <c r="M39" i="62"/>
  <c r="L39" i="62"/>
  <c r="K39" i="62"/>
  <c r="Q38" i="62"/>
  <c r="P38" i="62"/>
  <c r="O38" i="62"/>
  <c r="N38" i="62"/>
  <c r="M38" i="62"/>
  <c r="L38" i="62"/>
  <c r="K38" i="62"/>
  <c r="Q37" i="62"/>
  <c r="P37" i="62"/>
  <c r="O37" i="62"/>
  <c r="N37" i="62"/>
  <c r="M37" i="62"/>
  <c r="L37" i="62"/>
  <c r="K37" i="62"/>
  <c r="Q36" i="62"/>
  <c r="P36" i="62"/>
  <c r="O36" i="62"/>
  <c r="N36" i="62"/>
  <c r="M36" i="62"/>
  <c r="L36" i="62"/>
  <c r="K36" i="62"/>
  <c r="Q35" i="62"/>
  <c r="P35" i="62"/>
  <c r="O35" i="62"/>
  <c r="N35" i="62"/>
  <c r="M35" i="62"/>
  <c r="L35" i="62"/>
  <c r="K35" i="62"/>
  <c r="Q34" i="62"/>
  <c r="P34" i="62"/>
  <c r="O34" i="62"/>
  <c r="N34" i="62"/>
  <c r="M34" i="62"/>
  <c r="L34" i="62"/>
  <c r="K34" i="62"/>
  <c r="Q33" i="62"/>
  <c r="P33" i="62"/>
  <c r="O33" i="62"/>
  <c r="N33" i="62"/>
  <c r="M33" i="62"/>
  <c r="L33" i="62"/>
  <c r="K33" i="62"/>
  <c r="Q32" i="62"/>
  <c r="P32" i="62"/>
  <c r="O32" i="62"/>
  <c r="N32" i="62"/>
  <c r="M32" i="62"/>
  <c r="L32" i="62"/>
  <c r="K32" i="62"/>
  <c r="Q31" i="62"/>
  <c r="P31" i="62"/>
  <c r="O31" i="62"/>
  <c r="N31" i="62"/>
  <c r="M31" i="62"/>
  <c r="L31" i="62"/>
  <c r="K31" i="62"/>
  <c r="Q30" i="62"/>
  <c r="P30" i="62"/>
  <c r="O30" i="62"/>
  <c r="N30" i="62"/>
  <c r="M30" i="62"/>
  <c r="L30" i="62"/>
  <c r="K30" i="62"/>
  <c r="Q29" i="62"/>
  <c r="P29" i="62"/>
  <c r="O29" i="62"/>
  <c r="N29" i="62"/>
  <c r="M29" i="62"/>
  <c r="L29" i="62"/>
  <c r="K29" i="62"/>
  <c r="Q28" i="62"/>
  <c r="P28" i="62"/>
  <c r="O28" i="62"/>
  <c r="N28" i="62"/>
  <c r="M28" i="62"/>
  <c r="L28" i="62"/>
  <c r="K28" i="62"/>
  <c r="Q27" i="62"/>
  <c r="P27" i="62"/>
  <c r="O27" i="62"/>
  <c r="N27" i="62"/>
  <c r="M27" i="62"/>
  <c r="L27" i="62"/>
  <c r="K27" i="62"/>
  <c r="Q26" i="62"/>
  <c r="P26" i="62"/>
  <c r="O26" i="62"/>
  <c r="N26" i="62"/>
  <c r="M26" i="62"/>
  <c r="L26" i="62"/>
  <c r="K26" i="62"/>
  <c r="Q25" i="62"/>
  <c r="P25" i="62"/>
  <c r="O25" i="62"/>
  <c r="N25" i="62"/>
  <c r="M25" i="62"/>
  <c r="L25" i="62"/>
  <c r="K25" i="62"/>
  <c r="Q24" i="62"/>
  <c r="P24" i="62"/>
  <c r="O24" i="62"/>
  <c r="N24" i="62"/>
  <c r="M24" i="62"/>
  <c r="L24" i="62"/>
  <c r="K24" i="62"/>
  <c r="Q23" i="62"/>
  <c r="P23" i="62"/>
  <c r="O23" i="62"/>
  <c r="N23" i="62"/>
  <c r="M23" i="62"/>
  <c r="L23" i="62"/>
  <c r="K23" i="62"/>
  <c r="Q22" i="62"/>
  <c r="P22" i="62"/>
  <c r="O22" i="62"/>
  <c r="N22" i="62"/>
  <c r="M22" i="62"/>
  <c r="L22" i="62"/>
  <c r="K22" i="62"/>
  <c r="Q21" i="62"/>
  <c r="P21" i="62"/>
  <c r="O21" i="62"/>
  <c r="N21" i="62"/>
  <c r="M21" i="62"/>
  <c r="L21" i="62"/>
  <c r="K21" i="62"/>
  <c r="Q20" i="62"/>
  <c r="P20" i="62"/>
  <c r="O20" i="62"/>
  <c r="N20" i="62"/>
  <c r="M20" i="62"/>
  <c r="L20" i="62"/>
  <c r="K20" i="62"/>
  <c r="Q19" i="62"/>
  <c r="P19" i="62"/>
  <c r="O19" i="62"/>
  <c r="N19" i="62"/>
  <c r="M19" i="62"/>
  <c r="L19" i="62"/>
  <c r="K19" i="62"/>
  <c r="Q18" i="62"/>
  <c r="P18" i="62"/>
  <c r="O18" i="62"/>
  <c r="N18" i="62"/>
  <c r="M18" i="62"/>
  <c r="L18" i="62"/>
  <c r="K18" i="62"/>
  <c r="Q17" i="62"/>
  <c r="P17" i="62"/>
  <c r="O17" i="62"/>
  <c r="N17" i="62"/>
  <c r="M17" i="62"/>
  <c r="L17" i="62"/>
  <c r="K17" i="62"/>
  <c r="Q16" i="62"/>
  <c r="P16" i="62"/>
  <c r="O16" i="62"/>
  <c r="N16" i="62"/>
  <c r="M16" i="62"/>
  <c r="L16" i="62"/>
  <c r="K16" i="62"/>
  <c r="Q15" i="62"/>
  <c r="P15" i="62"/>
  <c r="O15" i="62"/>
  <c r="N15" i="62"/>
  <c r="M15" i="62"/>
  <c r="L15" i="62"/>
  <c r="K15" i="62"/>
  <c r="Q14" i="62"/>
  <c r="P14" i="62"/>
  <c r="O14" i="62"/>
  <c r="N14" i="62"/>
  <c r="M14" i="62"/>
  <c r="L14" i="62"/>
  <c r="K14" i="62"/>
  <c r="A2" i="40"/>
  <c r="B37" i="1" s="1"/>
  <c r="Q203" i="40"/>
  <c r="P203" i="40"/>
  <c r="O203" i="40"/>
  <c r="N203" i="40"/>
  <c r="M203" i="40"/>
  <c r="L203" i="40"/>
  <c r="K203" i="40"/>
  <c r="Q202" i="40"/>
  <c r="P202" i="40"/>
  <c r="O202" i="40"/>
  <c r="N202" i="40"/>
  <c r="M202" i="40"/>
  <c r="L202" i="40"/>
  <c r="K202" i="40"/>
  <c r="Q201" i="40"/>
  <c r="P201" i="40"/>
  <c r="O201" i="40"/>
  <c r="N201" i="40"/>
  <c r="M201" i="40"/>
  <c r="L201" i="40"/>
  <c r="K201" i="40"/>
  <c r="Q200" i="40"/>
  <c r="P200" i="40"/>
  <c r="O200" i="40"/>
  <c r="N200" i="40"/>
  <c r="M200" i="40"/>
  <c r="L200" i="40"/>
  <c r="K200" i="40"/>
  <c r="Q199" i="40"/>
  <c r="P199" i="40"/>
  <c r="O199" i="40"/>
  <c r="N199" i="40"/>
  <c r="M199" i="40"/>
  <c r="L199" i="40"/>
  <c r="K199" i="40"/>
  <c r="Q198" i="40"/>
  <c r="P198" i="40"/>
  <c r="O198" i="40"/>
  <c r="N198" i="40"/>
  <c r="M198" i="40"/>
  <c r="L198" i="40"/>
  <c r="K198" i="40"/>
  <c r="Q197" i="40"/>
  <c r="P197" i="40"/>
  <c r="O197" i="40"/>
  <c r="N197" i="40"/>
  <c r="M197" i="40"/>
  <c r="L197" i="40"/>
  <c r="K197" i="40"/>
  <c r="Q196" i="40"/>
  <c r="P196" i="40"/>
  <c r="O196" i="40"/>
  <c r="N196" i="40"/>
  <c r="M196" i="40"/>
  <c r="L196" i="40"/>
  <c r="K196" i="40"/>
  <c r="Q195" i="40"/>
  <c r="P195" i="40"/>
  <c r="O195" i="40"/>
  <c r="N195" i="40"/>
  <c r="M195" i="40"/>
  <c r="L195" i="40"/>
  <c r="K195" i="40"/>
  <c r="Q194" i="40"/>
  <c r="P194" i="40"/>
  <c r="O194" i="40"/>
  <c r="N194" i="40"/>
  <c r="M194" i="40"/>
  <c r="L194" i="40"/>
  <c r="K194" i="40"/>
  <c r="Q193" i="40"/>
  <c r="P193" i="40"/>
  <c r="O193" i="40"/>
  <c r="N193" i="40"/>
  <c r="M193" i="40"/>
  <c r="L193" i="40"/>
  <c r="K193" i="40"/>
  <c r="Q192" i="40"/>
  <c r="P192" i="40"/>
  <c r="O192" i="40"/>
  <c r="N192" i="40"/>
  <c r="M192" i="40"/>
  <c r="L192" i="40"/>
  <c r="K192" i="40"/>
  <c r="Q191" i="40"/>
  <c r="P191" i="40"/>
  <c r="O191" i="40"/>
  <c r="N191" i="40"/>
  <c r="M191" i="40"/>
  <c r="L191" i="40"/>
  <c r="K191" i="40"/>
  <c r="Q190" i="40"/>
  <c r="P190" i="40"/>
  <c r="O190" i="40"/>
  <c r="N190" i="40"/>
  <c r="M190" i="40"/>
  <c r="L190" i="40"/>
  <c r="K190" i="40"/>
  <c r="Q189" i="40"/>
  <c r="P189" i="40"/>
  <c r="O189" i="40"/>
  <c r="N189" i="40"/>
  <c r="M189" i="40"/>
  <c r="L189" i="40"/>
  <c r="K189" i="40"/>
  <c r="Q188" i="40"/>
  <c r="P188" i="40"/>
  <c r="O188" i="40"/>
  <c r="N188" i="40"/>
  <c r="M188" i="40"/>
  <c r="L188" i="40"/>
  <c r="K188" i="40"/>
  <c r="Q187" i="40"/>
  <c r="P187" i="40"/>
  <c r="O187" i="40"/>
  <c r="N187" i="40"/>
  <c r="M187" i="40"/>
  <c r="L187" i="40"/>
  <c r="K187" i="40"/>
  <c r="Q186" i="40"/>
  <c r="P186" i="40"/>
  <c r="O186" i="40"/>
  <c r="N186" i="40"/>
  <c r="M186" i="40"/>
  <c r="L186" i="40"/>
  <c r="K186" i="40"/>
  <c r="Q185" i="40"/>
  <c r="P185" i="40"/>
  <c r="O185" i="40"/>
  <c r="N185" i="40"/>
  <c r="M185" i="40"/>
  <c r="L185" i="40"/>
  <c r="K185" i="40"/>
  <c r="Q184" i="40"/>
  <c r="P184" i="40"/>
  <c r="O184" i="40"/>
  <c r="N184" i="40"/>
  <c r="M184" i="40"/>
  <c r="L184" i="40"/>
  <c r="K184" i="40"/>
  <c r="Q183" i="40"/>
  <c r="P183" i="40"/>
  <c r="O183" i="40"/>
  <c r="N183" i="40"/>
  <c r="M183" i="40"/>
  <c r="L183" i="40"/>
  <c r="K183" i="40"/>
  <c r="Q182" i="40"/>
  <c r="P182" i="40"/>
  <c r="O182" i="40"/>
  <c r="N182" i="40"/>
  <c r="M182" i="40"/>
  <c r="L182" i="40"/>
  <c r="K182" i="40"/>
  <c r="Q181" i="40"/>
  <c r="P181" i="40"/>
  <c r="O181" i="40"/>
  <c r="N181" i="40"/>
  <c r="M181" i="40"/>
  <c r="L181" i="40"/>
  <c r="K181" i="40"/>
  <c r="Q180" i="40"/>
  <c r="P180" i="40"/>
  <c r="O180" i="40"/>
  <c r="N180" i="40"/>
  <c r="M180" i="40"/>
  <c r="L180" i="40"/>
  <c r="K180" i="40"/>
  <c r="Q179" i="40"/>
  <c r="P179" i="40"/>
  <c r="O179" i="40"/>
  <c r="N179" i="40"/>
  <c r="M179" i="40"/>
  <c r="L179" i="40"/>
  <c r="K179" i="40"/>
  <c r="Q178" i="40"/>
  <c r="P178" i="40"/>
  <c r="O178" i="40"/>
  <c r="N178" i="40"/>
  <c r="M178" i="40"/>
  <c r="L178" i="40"/>
  <c r="K178" i="40"/>
  <c r="Q177" i="40"/>
  <c r="P177" i="40"/>
  <c r="O177" i="40"/>
  <c r="N177" i="40"/>
  <c r="M177" i="40"/>
  <c r="L177" i="40"/>
  <c r="K177" i="40"/>
  <c r="Q176" i="40"/>
  <c r="P176" i="40"/>
  <c r="O176" i="40"/>
  <c r="N176" i="40"/>
  <c r="M176" i="40"/>
  <c r="L176" i="40"/>
  <c r="K176" i="40"/>
  <c r="Q175" i="40"/>
  <c r="P175" i="40"/>
  <c r="O175" i="40"/>
  <c r="N175" i="40"/>
  <c r="M175" i="40"/>
  <c r="L175" i="40"/>
  <c r="K175" i="40"/>
  <c r="Q174" i="40"/>
  <c r="P174" i="40"/>
  <c r="O174" i="40"/>
  <c r="N174" i="40"/>
  <c r="M174" i="40"/>
  <c r="L174" i="40"/>
  <c r="K174" i="40"/>
  <c r="Q173" i="40"/>
  <c r="P173" i="40"/>
  <c r="O173" i="40"/>
  <c r="N173" i="40"/>
  <c r="M173" i="40"/>
  <c r="L173" i="40"/>
  <c r="K173" i="40"/>
  <c r="Q172" i="40"/>
  <c r="P172" i="40"/>
  <c r="O172" i="40"/>
  <c r="N172" i="40"/>
  <c r="M172" i="40"/>
  <c r="L172" i="40"/>
  <c r="K172" i="40"/>
  <c r="Q171" i="40"/>
  <c r="P171" i="40"/>
  <c r="O171" i="40"/>
  <c r="N171" i="40"/>
  <c r="M171" i="40"/>
  <c r="L171" i="40"/>
  <c r="K171" i="40"/>
  <c r="Q170" i="40"/>
  <c r="P170" i="40"/>
  <c r="O170" i="40"/>
  <c r="N170" i="40"/>
  <c r="M170" i="40"/>
  <c r="L170" i="40"/>
  <c r="K170" i="40"/>
  <c r="Q169" i="40"/>
  <c r="P169" i="40"/>
  <c r="O169" i="40"/>
  <c r="N169" i="40"/>
  <c r="M169" i="40"/>
  <c r="L169" i="40"/>
  <c r="K169" i="40"/>
  <c r="Q168" i="40"/>
  <c r="P168" i="40"/>
  <c r="O168" i="40"/>
  <c r="N168" i="40"/>
  <c r="M168" i="40"/>
  <c r="L168" i="40"/>
  <c r="K168" i="40"/>
  <c r="Q167" i="40"/>
  <c r="P167" i="40"/>
  <c r="O167" i="40"/>
  <c r="N167" i="40"/>
  <c r="M167" i="40"/>
  <c r="L167" i="40"/>
  <c r="K167" i="40"/>
  <c r="Q166" i="40"/>
  <c r="P166" i="40"/>
  <c r="O166" i="40"/>
  <c r="N166" i="40"/>
  <c r="M166" i="40"/>
  <c r="L166" i="40"/>
  <c r="K166" i="40"/>
  <c r="Q165" i="40"/>
  <c r="P165" i="40"/>
  <c r="O165" i="40"/>
  <c r="N165" i="40"/>
  <c r="M165" i="40"/>
  <c r="L165" i="40"/>
  <c r="K165" i="40"/>
  <c r="Q164" i="40"/>
  <c r="P164" i="40"/>
  <c r="O164" i="40"/>
  <c r="N164" i="40"/>
  <c r="M164" i="40"/>
  <c r="L164" i="40"/>
  <c r="K164" i="40"/>
  <c r="Q163" i="40"/>
  <c r="P163" i="40"/>
  <c r="O163" i="40"/>
  <c r="N163" i="40"/>
  <c r="M163" i="40"/>
  <c r="L163" i="40"/>
  <c r="K163" i="40"/>
  <c r="Q162" i="40"/>
  <c r="P162" i="40"/>
  <c r="O162" i="40"/>
  <c r="N162" i="40"/>
  <c r="M162" i="40"/>
  <c r="L162" i="40"/>
  <c r="K162" i="40"/>
  <c r="Q161" i="40"/>
  <c r="P161" i="40"/>
  <c r="O161" i="40"/>
  <c r="N161" i="40"/>
  <c r="M161" i="40"/>
  <c r="L161" i="40"/>
  <c r="K161" i="40"/>
  <c r="Q160" i="40"/>
  <c r="P160" i="40"/>
  <c r="O160" i="40"/>
  <c r="N160" i="40"/>
  <c r="M160" i="40"/>
  <c r="L160" i="40"/>
  <c r="K160" i="40"/>
  <c r="Q159" i="40"/>
  <c r="P159" i="40"/>
  <c r="O159" i="40"/>
  <c r="N159" i="40"/>
  <c r="M159" i="40"/>
  <c r="L159" i="40"/>
  <c r="K159" i="40"/>
  <c r="Q158" i="40"/>
  <c r="P158" i="40"/>
  <c r="O158" i="40"/>
  <c r="N158" i="40"/>
  <c r="M158" i="40"/>
  <c r="L158" i="40"/>
  <c r="K158" i="40"/>
  <c r="Q157" i="40"/>
  <c r="P157" i="40"/>
  <c r="O157" i="40"/>
  <c r="N157" i="40"/>
  <c r="M157" i="40"/>
  <c r="L157" i="40"/>
  <c r="K157" i="40"/>
  <c r="Q156" i="40"/>
  <c r="P156" i="40"/>
  <c r="O156" i="40"/>
  <c r="N156" i="40"/>
  <c r="M156" i="40"/>
  <c r="L156" i="40"/>
  <c r="K156" i="40"/>
  <c r="Q155" i="40"/>
  <c r="P155" i="40"/>
  <c r="O155" i="40"/>
  <c r="N155" i="40"/>
  <c r="M155" i="40"/>
  <c r="L155" i="40"/>
  <c r="K155" i="40"/>
  <c r="Q154" i="40"/>
  <c r="P154" i="40"/>
  <c r="O154" i="40"/>
  <c r="N154" i="40"/>
  <c r="M154" i="40"/>
  <c r="L154" i="40"/>
  <c r="K154" i="40"/>
  <c r="Q153" i="40"/>
  <c r="P153" i="40"/>
  <c r="O153" i="40"/>
  <c r="N153" i="40"/>
  <c r="M153" i="40"/>
  <c r="L153" i="40"/>
  <c r="K153" i="40"/>
  <c r="Q152" i="40"/>
  <c r="P152" i="40"/>
  <c r="O152" i="40"/>
  <c r="N152" i="40"/>
  <c r="M152" i="40"/>
  <c r="L152" i="40"/>
  <c r="K152" i="40"/>
  <c r="Q151" i="40"/>
  <c r="P151" i="40"/>
  <c r="O151" i="40"/>
  <c r="N151" i="40"/>
  <c r="M151" i="40"/>
  <c r="L151" i="40"/>
  <c r="K151" i="40"/>
  <c r="Q150" i="40"/>
  <c r="P150" i="40"/>
  <c r="O150" i="40"/>
  <c r="N150" i="40"/>
  <c r="M150" i="40"/>
  <c r="L150" i="40"/>
  <c r="K150" i="40"/>
  <c r="Q149" i="40"/>
  <c r="P149" i="40"/>
  <c r="O149" i="40"/>
  <c r="N149" i="40"/>
  <c r="M149" i="40"/>
  <c r="L149" i="40"/>
  <c r="K149" i="40"/>
  <c r="Q148" i="40"/>
  <c r="P148" i="40"/>
  <c r="O148" i="40"/>
  <c r="N148" i="40"/>
  <c r="M148" i="40"/>
  <c r="L148" i="40"/>
  <c r="K148" i="40"/>
  <c r="Q147" i="40"/>
  <c r="P147" i="40"/>
  <c r="O147" i="40"/>
  <c r="N147" i="40"/>
  <c r="M147" i="40"/>
  <c r="L147" i="40"/>
  <c r="K147" i="40"/>
  <c r="Q146" i="40"/>
  <c r="P146" i="40"/>
  <c r="O146" i="40"/>
  <c r="N146" i="40"/>
  <c r="M146" i="40"/>
  <c r="L146" i="40"/>
  <c r="K146" i="40"/>
  <c r="Q145" i="40"/>
  <c r="P145" i="40"/>
  <c r="O145" i="40"/>
  <c r="N145" i="40"/>
  <c r="M145" i="40"/>
  <c r="L145" i="40"/>
  <c r="K145" i="40"/>
  <c r="Q144" i="40"/>
  <c r="P144" i="40"/>
  <c r="O144" i="40"/>
  <c r="N144" i="40"/>
  <c r="M144" i="40"/>
  <c r="L144" i="40"/>
  <c r="K144" i="40"/>
  <c r="Q143" i="40"/>
  <c r="P143" i="40"/>
  <c r="O143" i="40"/>
  <c r="N143" i="40"/>
  <c r="M143" i="40"/>
  <c r="L143" i="40"/>
  <c r="K143" i="40"/>
  <c r="Q142" i="40"/>
  <c r="P142" i="40"/>
  <c r="O142" i="40"/>
  <c r="N142" i="40"/>
  <c r="M142" i="40"/>
  <c r="L142" i="40"/>
  <c r="K142" i="40"/>
  <c r="Q141" i="40"/>
  <c r="P141" i="40"/>
  <c r="O141" i="40"/>
  <c r="N141" i="40"/>
  <c r="M141" i="40"/>
  <c r="L141" i="40"/>
  <c r="K141" i="40"/>
  <c r="Q140" i="40"/>
  <c r="P140" i="40"/>
  <c r="O140" i="40"/>
  <c r="N140" i="40"/>
  <c r="M140" i="40"/>
  <c r="L140" i="40"/>
  <c r="K140" i="40"/>
  <c r="Q139" i="40"/>
  <c r="P139" i="40"/>
  <c r="O139" i="40"/>
  <c r="N139" i="40"/>
  <c r="M139" i="40"/>
  <c r="L139" i="40"/>
  <c r="K139" i="40"/>
  <c r="Q138" i="40"/>
  <c r="P138" i="40"/>
  <c r="O138" i="40"/>
  <c r="N138" i="40"/>
  <c r="M138" i="40"/>
  <c r="L138" i="40"/>
  <c r="K138" i="40"/>
  <c r="Q137" i="40"/>
  <c r="P137" i="40"/>
  <c r="O137" i="40"/>
  <c r="N137" i="40"/>
  <c r="M137" i="40"/>
  <c r="L137" i="40"/>
  <c r="K137" i="40"/>
  <c r="Q136" i="40"/>
  <c r="P136" i="40"/>
  <c r="O136" i="40"/>
  <c r="N136" i="40"/>
  <c r="M136" i="40"/>
  <c r="L136" i="40"/>
  <c r="K136" i="40"/>
  <c r="Q135" i="40"/>
  <c r="P135" i="40"/>
  <c r="O135" i="40"/>
  <c r="N135" i="40"/>
  <c r="M135" i="40"/>
  <c r="L135" i="40"/>
  <c r="K135" i="40"/>
  <c r="Q134" i="40"/>
  <c r="P134" i="40"/>
  <c r="O134" i="40"/>
  <c r="N134" i="40"/>
  <c r="M134" i="40"/>
  <c r="L134" i="40"/>
  <c r="K134" i="40"/>
  <c r="Q133" i="40"/>
  <c r="P133" i="40"/>
  <c r="O133" i="40"/>
  <c r="N133" i="40"/>
  <c r="M133" i="40"/>
  <c r="L133" i="40"/>
  <c r="K133" i="40"/>
  <c r="Q132" i="40"/>
  <c r="P132" i="40"/>
  <c r="O132" i="40"/>
  <c r="N132" i="40"/>
  <c r="M132" i="40"/>
  <c r="L132" i="40"/>
  <c r="K132" i="40"/>
  <c r="Q131" i="40"/>
  <c r="P131" i="40"/>
  <c r="O131" i="40"/>
  <c r="N131" i="40"/>
  <c r="M131" i="40"/>
  <c r="L131" i="40"/>
  <c r="K131" i="40"/>
  <c r="Q130" i="40"/>
  <c r="P130" i="40"/>
  <c r="O130" i="40"/>
  <c r="N130" i="40"/>
  <c r="M130" i="40"/>
  <c r="L130" i="40"/>
  <c r="K130" i="40"/>
  <c r="Q129" i="40"/>
  <c r="P129" i="40"/>
  <c r="O129" i="40"/>
  <c r="N129" i="40"/>
  <c r="M129" i="40"/>
  <c r="L129" i="40"/>
  <c r="K129" i="40"/>
  <c r="Q128" i="40"/>
  <c r="P128" i="40"/>
  <c r="O128" i="40"/>
  <c r="N128" i="40"/>
  <c r="M128" i="40"/>
  <c r="L128" i="40"/>
  <c r="K128" i="40"/>
  <c r="Q127" i="40"/>
  <c r="P127" i="40"/>
  <c r="O127" i="40"/>
  <c r="N127" i="40"/>
  <c r="M127" i="40"/>
  <c r="L127" i="40"/>
  <c r="K127" i="40"/>
  <c r="Q126" i="40"/>
  <c r="P126" i="40"/>
  <c r="O126" i="40"/>
  <c r="N126" i="40"/>
  <c r="M126" i="40"/>
  <c r="L126" i="40"/>
  <c r="K126" i="40"/>
  <c r="Q125" i="40"/>
  <c r="P125" i="40"/>
  <c r="O125" i="40"/>
  <c r="N125" i="40"/>
  <c r="M125" i="40"/>
  <c r="L125" i="40"/>
  <c r="K125" i="40"/>
  <c r="Q124" i="40"/>
  <c r="P124" i="40"/>
  <c r="O124" i="40"/>
  <c r="N124" i="40"/>
  <c r="M124" i="40"/>
  <c r="L124" i="40"/>
  <c r="K124" i="40"/>
  <c r="Q123" i="40"/>
  <c r="P123" i="40"/>
  <c r="O123" i="40"/>
  <c r="N123" i="40"/>
  <c r="M123" i="40"/>
  <c r="L123" i="40"/>
  <c r="K123" i="40"/>
  <c r="Q122" i="40"/>
  <c r="P122" i="40"/>
  <c r="O122" i="40"/>
  <c r="N122" i="40"/>
  <c r="M122" i="40"/>
  <c r="L122" i="40"/>
  <c r="K122" i="40"/>
  <c r="Q121" i="40"/>
  <c r="P121" i="40"/>
  <c r="O121" i="40"/>
  <c r="N121" i="40"/>
  <c r="M121" i="40"/>
  <c r="L121" i="40"/>
  <c r="K121" i="40"/>
  <c r="Q120" i="40"/>
  <c r="P120" i="40"/>
  <c r="O120" i="40"/>
  <c r="N120" i="40"/>
  <c r="M120" i="40"/>
  <c r="L120" i="40"/>
  <c r="K120" i="40"/>
  <c r="Q119" i="40"/>
  <c r="P119" i="40"/>
  <c r="O119" i="40"/>
  <c r="N119" i="40"/>
  <c r="M119" i="40"/>
  <c r="L119" i="40"/>
  <c r="K119" i="40"/>
  <c r="Q118" i="40"/>
  <c r="P118" i="40"/>
  <c r="O118" i="40"/>
  <c r="N118" i="40"/>
  <c r="M118" i="40"/>
  <c r="L118" i="40"/>
  <c r="K118" i="40"/>
  <c r="Q117" i="40"/>
  <c r="P117" i="40"/>
  <c r="O117" i="40"/>
  <c r="N117" i="40"/>
  <c r="M117" i="40"/>
  <c r="L117" i="40"/>
  <c r="K117" i="40"/>
  <c r="Q116" i="40"/>
  <c r="P116" i="40"/>
  <c r="O116" i="40"/>
  <c r="N116" i="40"/>
  <c r="M116" i="40"/>
  <c r="L116" i="40"/>
  <c r="K116" i="40"/>
  <c r="Q115" i="40"/>
  <c r="P115" i="40"/>
  <c r="O115" i="40"/>
  <c r="N115" i="40"/>
  <c r="M115" i="40"/>
  <c r="L115" i="40"/>
  <c r="K115" i="40"/>
  <c r="Q114" i="40"/>
  <c r="P114" i="40"/>
  <c r="O114" i="40"/>
  <c r="N114" i="40"/>
  <c r="M114" i="40"/>
  <c r="L114" i="40"/>
  <c r="K114" i="40"/>
  <c r="Q113" i="40"/>
  <c r="P113" i="40"/>
  <c r="O113" i="40"/>
  <c r="N113" i="40"/>
  <c r="M113" i="40"/>
  <c r="L113" i="40"/>
  <c r="K113" i="40"/>
  <c r="Q112" i="40"/>
  <c r="P112" i="40"/>
  <c r="O112" i="40"/>
  <c r="N112" i="40"/>
  <c r="M112" i="40"/>
  <c r="L112" i="40"/>
  <c r="K112" i="40"/>
  <c r="Q111" i="40"/>
  <c r="P111" i="40"/>
  <c r="O111" i="40"/>
  <c r="N111" i="40"/>
  <c r="M111" i="40"/>
  <c r="L111" i="40"/>
  <c r="K111" i="40"/>
  <c r="Q110" i="40"/>
  <c r="P110" i="40"/>
  <c r="O110" i="40"/>
  <c r="N110" i="40"/>
  <c r="M110" i="40"/>
  <c r="L110" i="40"/>
  <c r="K110" i="40"/>
  <c r="Q109" i="40"/>
  <c r="P109" i="40"/>
  <c r="O109" i="40"/>
  <c r="N109" i="40"/>
  <c r="M109" i="40"/>
  <c r="L109" i="40"/>
  <c r="K109" i="40"/>
  <c r="Q108" i="40"/>
  <c r="P108" i="40"/>
  <c r="O108" i="40"/>
  <c r="N108" i="40"/>
  <c r="M108" i="40"/>
  <c r="L108" i="40"/>
  <c r="K108" i="40"/>
  <c r="Q107" i="40"/>
  <c r="P107" i="40"/>
  <c r="O107" i="40"/>
  <c r="N107" i="40"/>
  <c r="M107" i="40"/>
  <c r="L107" i="40"/>
  <c r="K107" i="40"/>
  <c r="Q106" i="40"/>
  <c r="P106" i="40"/>
  <c r="O106" i="40"/>
  <c r="N106" i="40"/>
  <c r="M106" i="40"/>
  <c r="L106" i="40"/>
  <c r="K106" i="40"/>
  <c r="Q105" i="40"/>
  <c r="P105" i="40"/>
  <c r="O105" i="40"/>
  <c r="N105" i="40"/>
  <c r="M105" i="40"/>
  <c r="L105" i="40"/>
  <c r="K105" i="40"/>
  <c r="Q104" i="40"/>
  <c r="P104" i="40"/>
  <c r="O104" i="40"/>
  <c r="N104" i="40"/>
  <c r="M104" i="40"/>
  <c r="L104" i="40"/>
  <c r="K104" i="40"/>
  <c r="Q103" i="40"/>
  <c r="P103" i="40"/>
  <c r="O103" i="40"/>
  <c r="N103" i="40"/>
  <c r="M103" i="40"/>
  <c r="L103" i="40"/>
  <c r="K103" i="40"/>
  <c r="Q102" i="40"/>
  <c r="P102" i="40"/>
  <c r="O102" i="40"/>
  <c r="N102" i="40"/>
  <c r="M102" i="40"/>
  <c r="L102" i="40"/>
  <c r="K102" i="40"/>
  <c r="Q101" i="40"/>
  <c r="P101" i="40"/>
  <c r="O101" i="40"/>
  <c r="N101" i="40"/>
  <c r="M101" i="40"/>
  <c r="L101" i="40"/>
  <c r="K101" i="40"/>
  <c r="Q100" i="40"/>
  <c r="P100" i="40"/>
  <c r="O100" i="40"/>
  <c r="N100" i="40"/>
  <c r="M100" i="40"/>
  <c r="L100" i="40"/>
  <c r="K100" i="40"/>
  <c r="Q99" i="40"/>
  <c r="P99" i="40"/>
  <c r="O99" i="40"/>
  <c r="N99" i="40"/>
  <c r="M99" i="40"/>
  <c r="L99" i="40"/>
  <c r="K99" i="40"/>
  <c r="Q98" i="40"/>
  <c r="P98" i="40"/>
  <c r="O98" i="40"/>
  <c r="N98" i="40"/>
  <c r="M98" i="40"/>
  <c r="L98" i="40"/>
  <c r="K98" i="40"/>
  <c r="Q97" i="40"/>
  <c r="P97" i="40"/>
  <c r="O97" i="40"/>
  <c r="N97" i="40"/>
  <c r="M97" i="40"/>
  <c r="L97" i="40"/>
  <c r="K97" i="40"/>
  <c r="Q96" i="40"/>
  <c r="P96" i="40"/>
  <c r="O96" i="40"/>
  <c r="N96" i="40"/>
  <c r="M96" i="40"/>
  <c r="L96" i="40"/>
  <c r="K96" i="40"/>
  <c r="Q95" i="40"/>
  <c r="P95" i="40"/>
  <c r="O95" i="40"/>
  <c r="N95" i="40"/>
  <c r="M95" i="40"/>
  <c r="L95" i="40"/>
  <c r="K95" i="40"/>
  <c r="Q94" i="40"/>
  <c r="P94" i="40"/>
  <c r="O94" i="40"/>
  <c r="N94" i="40"/>
  <c r="M94" i="40"/>
  <c r="L94" i="40"/>
  <c r="K94" i="40"/>
  <c r="Q93" i="40"/>
  <c r="P93" i="40"/>
  <c r="O93" i="40"/>
  <c r="N93" i="40"/>
  <c r="M93" i="40"/>
  <c r="L93" i="40"/>
  <c r="K93" i="40"/>
  <c r="Q92" i="40"/>
  <c r="P92" i="40"/>
  <c r="O92" i="40"/>
  <c r="N92" i="40"/>
  <c r="M92" i="40"/>
  <c r="L92" i="40"/>
  <c r="K92" i="40"/>
  <c r="Q91" i="40"/>
  <c r="P91" i="40"/>
  <c r="O91" i="40"/>
  <c r="N91" i="40"/>
  <c r="M91" i="40"/>
  <c r="L91" i="40"/>
  <c r="K91" i="40"/>
  <c r="Q90" i="40"/>
  <c r="P90" i="40"/>
  <c r="O90" i="40"/>
  <c r="N90" i="40"/>
  <c r="M90" i="40"/>
  <c r="L90" i="40"/>
  <c r="K90" i="40"/>
  <c r="Q89" i="40"/>
  <c r="P89" i="40"/>
  <c r="O89" i="40"/>
  <c r="N89" i="40"/>
  <c r="M89" i="40"/>
  <c r="L89" i="40"/>
  <c r="K89" i="40"/>
  <c r="Q88" i="40"/>
  <c r="P88" i="40"/>
  <c r="O88" i="40"/>
  <c r="N88" i="40"/>
  <c r="M88" i="40"/>
  <c r="L88" i="40"/>
  <c r="K88" i="40"/>
  <c r="Q87" i="40"/>
  <c r="P87" i="40"/>
  <c r="O87" i="40"/>
  <c r="N87" i="40"/>
  <c r="M87" i="40"/>
  <c r="L87" i="40"/>
  <c r="K87" i="40"/>
  <c r="Q86" i="40"/>
  <c r="P86" i="40"/>
  <c r="O86" i="40"/>
  <c r="N86" i="40"/>
  <c r="M86" i="40"/>
  <c r="L86" i="40"/>
  <c r="K86" i="40"/>
  <c r="Q85" i="40"/>
  <c r="P85" i="40"/>
  <c r="O85" i="40"/>
  <c r="N85" i="40"/>
  <c r="M85" i="40"/>
  <c r="L85" i="40"/>
  <c r="K85" i="40"/>
  <c r="Q84" i="40"/>
  <c r="P84" i="40"/>
  <c r="O84" i="40"/>
  <c r="N84" i="40"/>
  <c r="M84" i="40"/>
  <c r="L84" i="40"/>
  <c r="K84" i="40"/>
  <c r="Q83" i="40"/>
  <c r="P83" i="40"/>
  <c r="O83" i="40"/>
  <c r="N83" i="40"/>
  <c r="M83" i="40"/>
  <c r="L83" i="40"/>
  <c r="K83" i="40"/>
  <c r="Q82" i="40"/>
  <c r="P82" i="40"/>
  <c r="O82" i="40"/>
  <c r="N82" i="40"/>
  <c r="M82" i="40"/>
  <c r="L82" i="40"/>
  <c r="K82" i="40"/>
  <c r="Q81" i="40"/>
  <c r="P81" i="40"/>
  <c r="O81" i="40"/>
  <c r="N81" i="40"/>
  <c r="M81" i="40"/>
  <c r="L81" i="40"/>
  <c r="K81" i="40"/>
  <c r="Q80" i="40"/>
  <c r="P80" i="40"/>
  <c r="O80" i="40"/>
  <c r="N80" i="40"/>
  <c r="M80" i="40"/>
  <c r="L80" i="40"/>
  <c r="K80" i="40"/>
  <c r="Q79" i="40"/>
  <c r="P79" i="40"/>
  <c r="O79" i="40"/>
  <c r="N79" i="40"/>
  <c r="M79" i="40"/>
  <c r="L79" i="40"/>
  <c r="K79" i="40"/>
  <c r="Q78" i="40"/>
  <c r="P78" i="40"/>
  <c r="O78" i="40"/>
  <c r="N78" i="40"/>
  <c r="M78" i="40"/>
  <c r="L78" i="40"/>
  <c r="K78" i="40"/>
  <c r="Q77" i="40"/>
  <c r="P77" i="40"/>
  <c r="O77" i="40"/>
  <c r="N77" i="40"/>
  <c r="M77" i="40"/>
  <c r="L77" i="40"/>
  <c r="K77" i="40"/>
  <c r="Q76" i="40"/>
  <c r="P76" i="40"/>
  <c r="O76" i="40"/>
  <c r="N76" i="40"/>
  <c r="M76" i="40"/>
  <c r="L76" i="40"/>
  <c r="K76" i="40"/>
  <c r="Q75" i="40"/>
  <c r="P75" i="40"/>
  <c r="O75" i="40"/>
  <c r="N75" i="40"/>
  <c r="M75" i="40"/>
  <c r="L75" i="40"/>
  <c r="K75" i="40"/>
  <c r="Q74" i="40"/>
  <c r="P74" i="40"/>
  <c r="O74" i="40"/>
  <c r="N74" i="40"/>
  <c r="M74" i="40"/>
  <c r="L74" i="40"/>
  <c r="K74" i="40"/>
  <c r="Q73" i="40"/>
  <c r="P73" i="40"/>
  <c r="O73" i="40"/>
  <c r="N73" i="40"/>
  <c r="M73" i="40"/>
  <c r="L73" i="40"/>
  <c r="K73" i="40"/>
  <c r="Q72" i="40"/>
  <c r="P72" i="40"/>
  <c r="O72" i="40"/>
  <c r="N72" i="40"/>
  <c r="M72" i="40"/>
  <c r="L72" i="40"/>
  <c r="K72" i="40"/>
  <c r="Q71" i="40"/>
  <c r="P71" i="40"/>
  <c r="O71" i="40"/>
  <c r="N71" i="40"/>
  <c r="M71" i="40"/>
  <c r="L71" i="40"/>
  <c r="K71" i="40"/>
  <c r="Q70" i="40"/>
  <c r="P70" i="40"/>
  <c r="O70" i="40"/>
  <c r="N70" i="40"/>
  <c r="M70" i="40"/>
  <c r="L70" i="40"/>
  <c r="K70" i="40"/>
  <c r="Q69" i="40"/>
  <c r="P69" i="40"/>
  <c r="O69" i="40"/>
  <c r="N69" i="40"/>
  <c r="M69" i="40"/>
  <c r="L69" i="40"/>
  <c r="K69" i="40"/>
  <c r="Q68" i="40"/>
  <c r="P68" i="40"/>
  <c r="O68" i="40"/>
  <c r="N68" i="40"/>
  <c r="M68" i="40"/>
  <c r="L68" i="40"/>
  <c r="K68" i="40"/>
  <c r="Q67" i="40"/>
  <c r="P67" i="40"/>
  <c r="O67" i="40"/>
  <c r="N67" i="40"/>
  <c r="M67" i="40"/>
  <c r="L67" i="40"/>
  <c r="K67" i="40"/>
  <c r="Q66" i="40"/>
  <c r="P66" i="40"/>
  <c r="O66" i="40"/>
  <c r="N66" i="40"/>
  <c r="M66" i="40"/>
  <c r="L66" i="40"/>
  <c r="K66" i="40"/>
  <c r="Q65" i="40"/>
  <c r="P65" i="40"/>
  <c r="O65" i="40"/>
  <c r="N65" i="40"/>
  <c r="M65" i="40"/>
  <c r="L65" i="40"/>
  <c r="K65" i="40"/>
  <c r="Q64" i="40"/>
  <c r="P64" i="40"/>
  <c r="O64" i="40"/>
  <c r="N64" i="40"/>
  <c r="M64" i="40"/>
  <c r="L64" i="40"/>
  <c r="K64" i="40"/>
  <c r="Q63" i="40"/>
  <c r="P63" i="40"/>
  <c r="O63" i="40"/>
  <c r="N63" i="40"/>
  <c r="M63" i="40"/>
  <c r="L63" i="40"/>
  <c r="K63" i="40"/>
  <c r="Q62" i="40"/>
  <c r="P62" i="40"/>
  <c r="O62" i="40"/>
  <c r="N62" i="40"/>
  <c r="M62" i="40"/>
  <c r="L62" i="40"/>
  <c r="K62" i="40"/>
  <c r="Q61" i="40"/>
  <c r="P61" i="40"/>
  <c r="O61" i="40"/>
  <c r="N61" i="40"/>
  <c r="M61" i="40"/>
  <c r="L61" i="40"/>
  <c r="K61" i="40"/>
  <c r="Q60" i="40"/>
  <c r="P60" i="40"/>
  <c r="O60" i="40"/>
  <c r="N60" i="40"/>
  <c r="M60" i="40"/>
  <c r="L60" i="40"/>
  <c r="K60" i="40"/>
  <c r="Q59" i="40"/>
  <c r="P59" i="40"/>
  <c r="O59" i="40"/>
  <c r="N59" i="40"/>
  <c r="M59" i="40"/>
  <c r="L59" i="40"/>
  <c r="K59" i="40"/>
  <c r="Q58" i="40"/>
  <c r="P58" i="40"/>
  <c r="O58" i="40"/>
  <c r="N58" i="40"/>
  <c r="M58" i="40"/>
  <c r="L58" i="40"/>
  <c r="K58" i="40"/>
  <c r="Q57" i="40"/>
  <c r="P57" i="40"/>
  <c r="O57" i="40"/>
  <c r="N57" i="40"/>
  <c r="M57" i="40"/>
  <c r="L57" i="40"/>
  <c r="K57" i="40"/>
  <c r="Q56" i="40"/>
  <c r="P56" i="40"/>
  <c r="O56" i="40"/>
  <c r="N56" i="40"/>
  <c r="M56" i="40"/>
  <c r="L56" i="40"/>
  <c r="K56" i="40"/>
  <c r="Q55" i="40"/>
  <c r="P55" i="40"/>
  <c r="O55" i="40"/>
  <c r="N55" i="40"/>
  <c r="M55" i="40"/>
  <c r="L55" i="40"/>
  <c r="K55" i="40"/>
  <c r="Q54" i="40"/>
  <c r="P54" i="40"/>
  <c r="O54" i="40"/>
  <c r="N54" i="40"/>
  <c r="M54" i="40"/>
  <c r="L54" i="40"/>
  <c r="K54" i="40"/>
  <c r="Q53" i="40"/>
  <c r="P53" i="40"/>
  <c r="O53" i="40"/>
  <c r="N53" i="40"/>
  <c r="M53" i="40"/>
  <c r="L53" i="40"/>
  <c r="K53" i="40"/>
  <c r="Q52" i="40"/>
  <c r="P52" i="40"/>
  <c r="O52" i="40"/>
  <c r="N52" i="40"/>
  <c r="M52" i="40"/>
  <c r="L52" i="40"/>
  <c r="K52" i="40"/>
  <c r="Q51" i="40"/>
  <c r="P51" i="40"/>
  <c r="O51" i="40"/>
  <c r="N51" i="40"/>
  <c r="M51" i="40"/>
  <c r="L51" i="40"/>
  <c r="K51" i="40"/>
  <c r="Q50" i="40"/>
  <c r="P50" i="40"/>
  <c r="O50" i="40"/>
  <c r="N50" i="40"/>
  <c r="M50" i="40"/>
  <c r="L50" i="40"/>
  <c r="K50" i="40"/>
  <c r="Q49" i="40"/>
  <c r="P49" i="40"/>
  <c r="O49" i="40"/>
  <c r="N49" i="40"/>
  <c r="M49" i="40"/>
  <c r="L49" i="40"/>
  <c r="K49" i="40"/>
  <c r="Q48" i="40"/>
  <c r="P48" i="40"/>
  <c r="O48" i="40"/>
  <c r="N48" i="40"/>
  <c r="M48" i="40"/>
  <c r="L48" i="40"/>
  <c r="K48" i="40"/>
  <c r="Q47" i="40"/>
  <c r="P47" i="40"/>
  <c r="O47" i="40"/>
  <c r="N47" i="40"/>
  <c r="M47" i="40"/>
  <c r="L47" i="40"/>
  <c r="K47" i="40"/>
  <c r="Q46" i="40"/>
  <c r="P46" i="40"/>
  <c r="O46" i="40"/>
  <c r="N46" i="40"/>
  <c r="M46" i="40"/>
  <c r="L46" i="40"/>
  <c r="K46" i="40"/>
  <c r="Q45" i="40"/>
  <c r="P45" i="40"/>
  <c r="O45" i="40"/>
  <c r="N45" i="40"/>
  <c r="M45" i="40"/>
  <c r="L45" i="40"/>
  <c r="K45" i="40"/>
  <c r="Q44" i="40"/>
  <c r="P44" i="40"/>
  <c r="O44" i="40"/>
  <c r="N44" i="40"/>
  <c r="M44" i="40"/>
  <c r="L44" i="40"/>
  <c r="K44" i="40"/>
  <c r="Q43" i="40"/>
  <c r="P43" i="40"/>
  <c r="O43" i="40"/>
  <c r="N43" i="40"/>
  <c r="M43" i="40"/>
  <c r="L43" i="40"/>
  <c r="K43" i="40"/>
  <c r="Q42" i="40"/>
  <c r="P42" i="40"/>
  <c r="O42" i="40"/>
  <c r="N42" i="40"/>
  <c r="M42" i="40"/>
  <c r="L42" i="40"/>
  <c r="K42" i="40"/>
  <c r="Q41" i="40"/>
  <c r="P41" i="40"/>
  <c r="O41" i="40"/>
  <c r="N41" i="40"/>
  <c r="M41" i="40"/>
  <c r="L41" i="40"/>
  <c r="K41" i="40"/>
  <c r="Q40" i="40"/>
  <c r="P40" i="40"/>
  <c r="O40" i="40"/>
  <c r="N40" i="40"/>
  <c r="M40" i="40"/>
  <c r="L40" i="40"/>
  <c r="K40" i="40"/>
  <c r="Q39" i="40"/>
  <c r="P39" i="40"/>
  <c r="O39" i="40"/>
  <c r="N39" i="40"/>
  <c r="M39" i="40"/>
  <c r="L39" i="40"/>
  <c r="K39" i="40"/>
  <c r="Q38" i="40"/>
  <c r="P38" i="40"/>
  <c r="O38" i="40"/>
  <c r="N38" i="40"/>
  <c r="M38" i="40"/>
  <c r="L38" i="40"/>
  <c r="K38" i="40"/>
  <c r="Q37" i="40"/>
  <c r="P37" i="40"/>
  <c r="O37" i="40"/>
  <c r="N37" i="40"/>
  <c r="M37" i="40"/>
  <c r="L37" i="40"/>
  <c r="K37" i="40"/>
  <c r="Q36" i="40"/>
  <c r="P36" i="40"/>
  <c r="O36" i="40"/>
  <c r="N36" i="40"/>
  <c r="M36" i="40"/>
  <c r="L36" i="40"/>
  <c r="K36" i="40"/>
  <c r="Q35" i="40"/>
  <c r="P35" i="40"/>
  <c r="O35" i="40"/>
  <c r="N35" i="40"/>
  <c r="M35" i="40"/>
  <c r="L35" i="40"/>
  <c r="K35" i="40"/>
  <c r="Q34" i="40"/>
  <c r="P34" i="40"/>
  <c r="O34" i="40"/>
  <c r="N34" i="40"/>
  <c r="M34" i="40"/>
  <c r="L34" i="40"/>
  <c r="K34" i="40"/>
  <c r="Q33" i="40"/>
  <c r="P33" i="40"/>
  <c r="O33" i="40"/>
  <c r="N33" i="40"/>
  <c r="M33" i="40"/>
  <c r="L33" i="40"/>
  <c r="K33" i="40"/>
  <c r="Q32" i="40"/>
  <c r="P32" i="40"/>
  <c r="O32" i="40"/>
  <c r="N32" i="40"/>
  <c r="M32" i="40"/>
  <c r="L32" i="40"/>
  <c r="K32" i="40"/>
  <c r="Q31" i="40"/>
  <c r="P31" i="40"/>
  <c r="O31" i="40"/>
  <c r="N31" i="40"/>
  <c r="M31" i="40"/>
  <c r="L31" i="40"/>
  <c r="K31" i="40"/>
  <c r="Q30" i="40"/>
  <c r="P30" i="40"/>
  <c r="O30" i="40"/>
  <c r="N30" i="40"/>
  <c r="M30" i="40"/>
  <c r="L30" i="40"/>
  <c r="K30" i="40"/>
  <c r="Q29" i="40"/>
  <c r="P29" i="40"/>
  <c r="O29" i="40"/>
  <c r="N29" i="40"/>
  <c r="M29" i="40"/>
  <c r="L29" i="40"/>
  <c r="K29" i="40"/>
  <c r="Q28" i="40"/>
  <c r="P28" i="40"/>
  <c r="O28" i="40"/>
  <c r="N28" i="40"/>
  <c r="M28" i="40"/>
  <c r="L28" i="40"/>
  <c r="K28" i="40"/>
  <c r="Q27" i="40"/>
  <c r="P27" i="40"/>
  <c r="O27" i="40"/>
  <c r="N27" i="40"/>
  <c r="M27" i="40"/>
  <c r="L27" i="40"/>
  <c r="K27" i="40"/>
  <c r="Q26" i="40"/>
  <c r="P26" i="40"/>
  <c r="O26" i="40"/>
  <c r="N26" i="40"/>
  <c r="M26" i="40"/>
  <c r="L26" i="40"/>
  <c r="K26" i="40"/>
  <c r="Q25" i="40"/>
  <c r="P25" i="40"/>
  <c r="O25" i="40"/>
  <c r="N25" i="40"/>
  <c r="M25" i="40"/>
  <c r="L25" i="40"/>
  <c r="K25" i="40"/>
  <c r="Q24" i="40"/>
  <c r="P24" i="40"/>
  <c r="O24" i="40"/>
  <c r="N24" i="40"/>
  <c r="M24" i="40"/>
  <c r="L24" i="40"/>
  <c r="K24" i="40"/>
  <c r="Q23" i="40"/>
  <c r="P23" i="40"/>
  <c r="O23" i="40"/>
  <c r="N23" i="40"/>
  <c r="M23" i="40"/>
  <c r="L23" i="40"/>
  <c r="K23" i="40"/>
  <c r="Q22" i="40"/>
  <c r="P22" i="40"/>
  <c r="O22" i="40"/>
  <c r="N22" i="40"/>
  <c r="M22" i="40"/>
  <c r="L22" i="40"/>
  <c r="K22" i="40"/>
  <c r="Q21" i="40"/>
  <c r="P21" i="40"/>
  <c r="O21" i="40"/>
  <c r="N21" i="40"/>
  <c r="M21" i="40"/>
  <c r="L21" i="40"/>
  <c r="K21" i="40"/>
  <c r="Q20" i="40"/>
  <c r="P20" i="40"/>
  <c r="O20" i="40"/>
  <c r="N20" i="40"/>
  <c r="M20" i="40"/>
  <c r="L20" i="40"/>
  <c r="K20" i="40"/>
  <c r="Q19" i="40"/>
  <c r="P19" i="40"/>
  <c r="O19" i="40"/>
  <c r="N19" i="40"/>
  <c r="M19" i="40"/>
  <c r="L19" i="40"/>
  <c r="K19" i="40"/>
  <c r="Q18" i="40"/>
  <c r="P18" i="40"/>
  <c r="O18" i="40"/>
  <c r="N18" i="40"/>
  <c r="M18" i="40"/>
  <c r="L18" i="40"/>
  <c r="K18" i="40"/>
  <c r="Q17" i="40"/>
  <c r="P17" i="40"/>
  <c r="O17" i="40"/>
  <c r="N17" i="40"/>
  <c r="M17" i="40"/>
  <c r="L17" i="40"/>
  <c r="K17" i="40"/>
  <c r="Q16" i="40"/>
  <c r="P16" i="40"/>
  <c r="O16" i="40"/>
  <c r="N16" i="40"/>
  <c r="M16" i="40"/>
  <c r="L16" i="40"/>
  <c r="K16" i="40"/>
  <c r="Q15" i="40"/>
  <c r="P15" i="40"/>
  <c r="O15" i="40"/>
  <c r="N15" i="40"/>
  <c r="M15" i="40"/>
  <c r="L15" i="40"/>
  <c r="K15" i="40"/>
  <c r="Q14" i="40"/>
  <c r="P14" i="40"/>
  <c r="O14" i="40"/>
  <c r="N14" i="40"/>
  <c r="M14" i="40"/>
  <c r="L14" i="40"/>
  <c r="K14" i="40"/>
  <c r="A2" i="39"/>
  <c r="Q203" i="39"/>
  <c r="P203" i="39"/>
  <c r="O203" i="39"/>
  <c r="N203" i="39"/>
  <c r="M203" i="39"/>
  <c r="L203" i="39"/>
  <c r="K203" i="39"/>
  <c r="Q202" i="39"/>
  <c r="P202" i="39"/>
  <c r="O202" i="39"/>
  <c r="N202" i="39"/>
  <c r="M202" i="39"/>
  <c r="L202" i="39"/>
  <c r="K202" i="39"/>
  <c r="Q201" i="39"/>
  <c r="P201" i="39"/>
  <c r="O201" i="39"/>
  <c r="N201" i="39"/>
  <c r="M201" i="39"/>
  <c r="L201" i="39"/>
  <c r="K201" i="39"/>
  <c r="Q200" i="39"/>
  <c r="P200" i="39"/>
  <c r="O200" i="39"/>
  <c r="N200" i="39"/>
  <c r="M200" i="39"/>
  <c r="L200" i="39"/>
  <c r="K200" i="39"/>
  <c r="Q199" i="39"/>
  <c r="P199" i="39"/>
  <c r="O199" i="39"/>
  <c r="N199" i="39"/>
  <c r="M199" i="39"/>
  <c r="L199" i="39"/>
  <c r="K199" i="39"/>
  <c r="Q198" i="39"/>
  <c r="P198" i="39"/>
  <c r="O198" i="39"/>
  <c r="N198" i="39"/>
  <c r="M198" i="39"/>
  <c r="L198" i="39"/>
  <c r="K198" i="39"/>
  <c r="Q197" i="39"/>
  <c r="P197" i="39"/>
  <c r="O197" i="39"/>
  <c r="N197" i="39"/>
  <c r="M197" i="39"/>
  <c r="L197" i="39"/>
  <c r="K197" i="39"/>
  <c r="Q196" i="39"/>
  <c r="P196" i="39"/>
  <c r="O196" i="39"/>
  <c r="N196" i="39"/>
  <c r="M196" i="39"/>
  <c r="L196" i="39"/>
  <c r="K196" i="39"/>
  <c r="Q195" i="39"/>
  <c r="P195" i="39"/>
  <c r="O195" i="39"/>
  <c r="N195" i="39"/>
  <c r="M195" i="39"/>
  <c r="L195" i="39"/>
  <c r="K195" i="39"/>
  <c r="Q194" i="39"/>
  <c r="P194" i="39"/>
  <c r="O194" i="39"/>
  <c r="N194" i="39"/>
  <c r="M194" i="39"/>
  <c r="L194" i="39"/>
  <c r="K194" i="39"/>
  <c r="Q193" i="39"/>
  <c r="P193" i="39"/>
  <c r="O193" i="39"/>
  <c r="N193" i="39"/>
  <c r="M193" i="39"/>
  <c r="L193" i="39"/>
  <c r="K193" i="39"/>
  <c r="Q192" i="39"/>
  <c r="P192" i="39"/>
  <c r="O192" i="39"/>
  <c r="N192" i="39"/>
  <c r="M192" i="39"/>
  <c r="L192" i="39"/>
  <c r="K192" i="39"/>
  <c r="Q191" i="39"/>
  <c r="P191" i="39"/>
  <c r="O191" i="39"/>
  <c r="N191" i="39"/>
  <c r="M191" i="39"/>
  <c r="L191" i="39"/>
  <c r="K191" i="39"/>
  <c r="Q190" i="39"/>
  <c r="P190" i="39"/>
  <c r="O190" i="39"/>
  <c r="N190" i="39"/>
  <c r="M190" i="39"/>
  <c r="L190" i="39"/>
  <c r="K190" i="39"/>
  <c r="Q189" i="39"/>
  <c r="P189" i="39"/>
  <c r="O189" i="39"/>
  <c r="N189" i="39"/>
  <c r="M189" i="39"/>
  <c r="L189" i="39"/>
  <c r="K189" i="39"/>
  <c r="Q188" i="39"/>
  <c r="P188" i="39"/>
  <c r="O188" i="39"/>
  <c r="N188" i="39"/>
  <c r="M188" i="39"/>
  <c r="L188" i="39"/>
  <c r="K188" i="39"/>
  <c r="Q187" i="39"/>
  <c r="P187" i="39"/>
  <c r="O187" i="39"/>
  <c r="N187" i="39"/>
  <c r="M187" i="39"/>
  <c r="L187" i="39"/>
  <c r="K187" i="39"/>
  <c r="Q186" i="39"/>
  <c r="P186" i="39"/>
  <c r="O186" i="39"/>
  <c r="N186" i="39"/>
  <c r="M186" i="39"/>
  <c r="L186" i="39"/>
  <c r="K186" i="39"/>
  <c r="Q185" i="39"/>
  <c r="P185" i="39"/>
  <c r="O185" i="39"/>
  <c r="N185" i="39"/>
  <c r="M185" i="39"/>
  <c r="L185" i="39"/>
  <c r="K185" i="39"/>
  <c r="Q184" i="39"/>
  <c r="P184" i="39"/>
  <c r="O184" i="39"/>
  <c r="N184" i="39"/>
  <c r="M184" i="39"/>
  <c r="L184" i="39"/>
  <c r="K184" i="39"/>
  <c r="Q183" i="39"/>
  <c r="P183" i="39"/>
  <c r="O183" i="39"/>
  <c r="N183" i="39"/>
  <c r="M183" i="39"/>
  <c r="L183" i="39"/>
  <c r="K183" i="39"/>
  <c r="Q182" i="39"/>
  <c r="P182" i="39"/>
  <c r="O182" i="39"/>
  <c r="N182" i="39"/>
  <c r="M182" i="39"/>
  <c r="L182" i="39"/>
  <c r="K182" i="39"/>
  <c r="Q181" i="39"/>
  <c r="P181" i="39"/>
  <c r="O181" i="39"/>
  <c r="N181" i="39"/>
  <c r="M181" i="39"/>
  <c r="L181" i="39"/>
  <c r="K181" i="39"/>
  <c r="Q180" i="39"/>
  <c r="P180" i="39"/>
  <c r="O180" i="39"/>
  <c r="N180" i="39"/>
  <c r="M180" i="39"/>
  <c r="L180" i="39"/>
  <c r="K180" i="39"/>
  <c r="Q179" i="39"/>
  <c r="P179" i="39"/>
  <c r="O179" i="39"/>
  <c r="N179" i="39"/>
  <c r="M179" i="39"/>
  <c r="L179" i="39"/>
  <c r="K179" i="39"/>
  <c r="Q178" i="39"/>
  <c r="P178" i="39"/>
  <c r="O178" i="39"/>
  <c r="N178" i="39"/>
  <c r="M178" i="39"/>
  <c r="L178" i="39"/>
  <c r="K178" i="39"/>
  <c r="Q177" i="39"/>
  <c r="P177" i="39"/>
  <c r="O177" i="39"/>
  <c r="N177" i="39"/>
  <c r="M177" i="39"/>
  <c r="L177" i="39"/>
  <c r="K177" i="39"/>
  <c r="Q176" i="39"/>
  <c r="P176" i="39"/>
  <c r="O176" i="39"/>
  <c r="N176" i="39"/>
  <c r="M176" i="39"/>
  <c r="L176" i="39"/>
  <c r="K176" i="39"/>
  <c r="Q175" i="39"/>
  <c r="P175" i="39"/>
  <c r="O175" i="39"/>
  <c r="N175" i="39"/>
  <c r="M175" i="39"/>
  <c r="L175" i="39"/>
  <c r="K175" i="39"/>
  <c r="Q174" i="39"/>
  <c r="P174" i="39"/>
  <c r="O174" i="39"/>
  <c r="N174" i="39"/>
  <c r="M174" i="39"/>
  <c r="L174" i="39"/>
  <c r="K174" i="39"/>
  <c r="Q173" i="39"/>
  <c r="P173" i="39"/>
  <c r="O173" i="39"/>
  <c r="N173" i="39"/>
  <c r="M173" i="39"/>
  <c r="L173" i="39"/>
  <c r="K173" i="39"/>
  <c r="Q172" i="39"/>
  <c r="P172" i="39"/>
  <c r="O172" i="39"/>
  <c r="N172" i="39"/>
  <c r="M172" i="39"/>
  <c r="L172" i="39"/>
  <c r="K172" i="39"/>
  <c r="Q171" i="39"/>
  <c r="P171" i="39"/>
  <c r="O171" i="39"/>
  <c r="N171" i="39"/>
  <c r="M171" i="39"/>
  <c r="L171" i="39"/>
  <c r="K171" i="39"/>
  <c r="Q170" i="39"/>
  <c r="P170" i="39"/>
  <c r="O170" i="39"/>
  <c r="N170" i="39"/>
  <c r="M170" i="39"/>
  <c r="L170" i="39"/>
  <c r="K170" i="39"/>
  <c r="Q169" i="39"/>
  <c r="P169" i="39"/>
  <c r="O169" i="39"/>
  <c r="N169" i="39"/>
  <c r="M169" i="39"/>
  <c r="L169" i="39"/>
  <c r="K169" i="39"/>
  <c r="Q168" i="39"/>
  <c r="P168" i="39"/>
  <c r="O168" i="39"/>
  <c r="N168" i="39"/>
  <c r="M168" i="39"/>
  <c r="L168" i="39"/>
  <c r="K168" i="39"/>
  <c r="Q167" i="39"/>
  <c r="P167" i="39"/>
  <c r="O167" i="39"/>
  <c r="N167" i="39"/>
  <c r="M167" i="39"/>
  <c r="L167" i="39"/>
  <c r="K167" i="39"/>
  <c r="Q166" i="39"/>
  <c r="P166" i="39"/>
  <c r="O166" i="39"/>
  <c r="N166" i="39"/>
  <c r="M166" i="39"/>
  <c r="L166" i="39"/>
  <c r="K166" i="39"/>
  <c r="Q165" i="39"/>
  <c r="P165" i="39"/>
  <c r="O165" i="39"/>
  <c r="N165" i="39"/>
  <c r="M165" i="39"/>
  <c r="L165" i="39"/>
  <c r="K165" i="39"/>
  <c r="Q164" i="39"/>
  <c r="P164" i="39"/>
  <c r="O164" i="39"/>
  <c r="N164" i="39"/>
  <c r="M164" i="39"/>
  <c r="L164" i="39"/>
  <c r="K164" i="39"/>
  <c r="Q163" i="39"/>
  <c r="P163" i="39"/>
  <c r="O163" i="39"/>
  <c r="N163" i="39"/>
  <c r="M163" i="39"/>
  <c r="L163" i="39"/>
  <c r="K163" i="39"/>
  <c r="Q162" i="39"/>
  <c r="P162" i="39"/>
  <c r="O162" i="39"/>
  <c r="N162" i="39"/>
  <c r="M162" i="39"/>
  <c r="L162" i="39"/>
  <c r="K162" i="39"/>
  <c r="Q161" i="39"/>
  <c r="P161" i="39"/>
  <c r="O161" i="39"/>
  <c r="N161" i="39"/>
  <c r="M161" i="39"/>
  <c r="L161" i="39"/>
  <c r="K161" i="39"/>
  <c r="Q160" i="39"/>
  <c r="P160" i="39"/>
  <c r="O160" i="39"/>
  <c r="N160" i="39"/>
  <c r="M160" i="39"/>
  <c r="L160" i="39"/>
  <c r="K160" i="39"/>
  <c r="Q159" i="39"/>
  <c r="P159" i="39"/>
  <c r="O159" i="39"/>
  <c r="N159" i="39"/>
  <c r="M159" i="39"/>
  <c r="L159" i="39"/>
  <c r="K159" i="39"/>
  <c r="Q158" i="39"/>
  <c r="P158" i="39"/>
  <c r="O158" i="39"/>
  <c r="N158" i="39"/>
  <c r="M158" i="39"/>
  <c r="L158" i="39"/>
  <c r="K158" i="39"/>
  <c r="Q157" i="39"/>
  <c r="P157" i="39"/>
  <c r="O157" i="39"/>
  <c r="N157" i="39"/>
  <c r="M157" i="39"/>
  <c r="L157" i="39"/>
  <c r="K157" i="39"/>
  <c r="Q156" i="39"/>
  <c r="P156" i="39"/>
  <c r="O156" i="39"/>
  <c r="N156" i="39"/>
  <c r="M156" i="39"/>
  <c r="L156" i="39"/>
  <c r="K156" i="39"/>
  <c r="Q155" i="39"/>
  <c r="P155" i="39"/>
  <c r="O155" i="39"/>
  <c r="N155" i="39"/>
  <c r="M155" i="39"/>
  <c r="L155" i="39"/>
  <c r="K155" i="39"/>
  <c r="Q154" i="39"/>
  <c r="P154" i="39"/>
  <c r="O154" i="39"/>
  <c r="N154" i="39"/>
  <c r="M154" i="39"/>
  <c r="L154" i="39"/>
  <c r="K154" i="39"/>
  <c r="Q153" i="39"/>
  <c r="P153" i="39"/>
  <c r="O153" i="39"/>
  <c r="N153" i="39"/>
  <c r="M153" i="39"/>
  <c r="L153" i="39"/>
  <c r="K153" i="39"/>
  <c r="Q152" i="39"/>
  <c r="P152" i="39"/>
  <c r="O152" i="39"/>
  <c r="N152" i="39"/>
  <c r="M152" i="39"/>
  <c r="L152" i="39"/>
  <c r="K152" i="39"/>
  <c r="Q151" i="39"/>
  <c r="P151" i="39"/>
  <c r="O151" i="39"/>
  <c r="N151" i="39"/>
  <c r="M151" i="39"/>
  <c r="L151" i="39"/>
  <c r="K151" i="39"/>
  <c r="Q150" i="39"/>
  <c r="P150" i="39"/>
  <c r="O150" i="39"/>
  <c r="N150" i="39"/>
  <c r="M150" i="39"/>
  <c r="L150" i="39"/>
  <c r="K150" i="39"/>
  <c r="Q149" i="39"/>
  <c r="P149" i="39"/>
  <c r="O149" i="39"/>
  <c r="N149" i="39"/>
  <c r="M149" i="39"/>
  <c r="L149" i="39"/>
  <c r="K149" i="39"/>
  <c r="Q148" i="39"/>
  <c r="P148" i="39"/>
  <c r="O148" i="39"/>
  <c r="N148" i="39"/>
  <c r="M148" i="39"/>
  <c r="L148" i="39"/>
  <c r="K148" i="39"/>
  <c r="Q147" i="39"/>
  <c r="P147" i="39"/>
  <c r="O147" i="39"/>
  <c r="N147" i="39"/>
  <c r="M147" i="39"/>
  <c r="L147" i="39"/>
  <c r="K147" i="39"/>
  <c r="Q146" i="39"/>
  <c r="P146" i="39"/>
  <c r="O146" i="39"/>
  <c r="N146" i="39"/>
  <c r="M146" i="39"/>
  <c r="L146" i="39"/>
  <c r="K146" i="39"/>
  <c r="Q145" i="39"/>
  <c r="P145" i="39"/>
  <c r="O145" i="39"/>
  <c r="N145" i="39"/>
  <c r="M145" i="39"/>
  <c r="L145" i="39"/>
  <c r="K145" i="39"/>
  <c r="Q144" i="39"/>
  <c r="P144" i="39"/>
  <c r="O144" i="39"/>
  <c r="N144" i="39"/>
  <c r="M144" i="39"/>
  <c r="L144" i="39"/>
  <c r="K144" i="39"/>
  <c r="Q143" i="39"/>
  <c r="P143" i="39"/>
  <c r="O143" i="39"/>
  <c r="N143" i="39"/>
  <c r="M143" i="39"/>
  <c r="L143" i="39"/>
  <c r="K143" i="39"/>
  <c r="Q142" i="39"/>
  <c r="P142" i="39"/>
  <c r="O142" i="39"/>
  <c r="N142" i="39"/>
  <c r="M142" i="39"/>
  <c r="L142" i="39"/>
  <c r="K142" i="39"/>
  <c r="Q141" i="39"/>
  <c r="P141" i="39"/>
  <c r="O141" i="39"/>
  <c r="N141" i="39"/>
  <c r="M141" i="39"/>
  <c r="L141" i="39"/>
  <c r="K141" i="39"/>
  <c r="Q140" i="39"/>
  <c r="P140" i="39"/>
  <c r="O140" i="39"/>
  <c r="N140" i="39"/>
  <c r="M140" i="39"/>
  <c r="L140" i="39"/>
  <c r="K140" i="39"/>
  <c r="Q139" i="39"/>
  <c r="P139" i="39"/>
  <c r="O139" i="39"/>
  <c r="N139" i="39"/>
  <c r="M139" i="39"/>
  <c r="L139" i="39"/>
  <c r="K139" i="39"/>
  <c r="Q138" i="39"/>
  <c r="P138" i="39"/>
  <c r="O138" i="39"/>
  <c r="N138" i="39"/>
  <c r="M138" i="39"/>
  <c r="L138" i="39"/>
  <c r="K138" i="39"/>
  <c r="Q137" i="39"/>
  <c r="P137" i="39"/>
  <c r="O137" i="39"/>
  <c r="N137" i="39"/>
  <c r="M137" i="39"/>
  <c r="L137" i="39"/>
  <c r="K137" i="39"/>
  <c r="Q136" i="39"/>
  <c r="P136" i="39"/>
  <c r="O136" i="39"/>
  <c r="N136" i="39"/>
  <c r="M136" i="39"/>
  <c r="L136" i="39"/>
  <c r="K136" i="39"/>
  <c r="Q135" i="39"/>
  <c r="P135" i="39"/>
  <c r="O135" i="39"/>
  <c r="N135" i="39"/>
  <c r="M135" i="39"/>
  <c r="L135" i="39"/>
  <c r="K135" i="39"/>
  <c r="Q134" i="39"/>
  <c r="P134" i="39"/>
  <c r="O134" i="39"/>
  <c r="N134" i="39"/>
  <c r="M134" i="39"/>
  <c r="L134" i="39"/>
  <c r="K134" i="39"/>
  <c r="Q133" i="39"/>
  <c r="P133" i="39"/>
  <c r="O133" i="39"/>
  <c r="N133" i="39"/>
  <c r="M133" i="39"/>
  <c r="L133" i="39"/>
  <c r="K133" i="39"/>
  <c r="Q132" i="39"/>
  <c r="P132" i="39"/>
  <c r="O132" i="39"/>
  <c r="N132" i="39"/>
  <c r="M132" i="39"/>
  <c r="L132" i="39"/>
  <c r="K132" i="39"/>
  <c r="Q131" i="39"/>
  <c r="P131" i="39"/>
  <c r="O131" i="39"/>
  <c r="N131" i="39"/>
  <c r="M131" i="39"/>
  <c r="L131" i="39"/>
  <c r="K131" i="39"/>
  <c r="Q130" i="39"/>
  <c r="P130" i="39"/>
  <c r="O130" i="39"/>
  <c r="N130" i="39"/>
  <c r="M130" i="39"/>
  <c r="L130" i="39"/>
  <c r="K130" i="39"/>
  <c r="Q129" i="39"/>
  <c r="P129" i="39"/>
  <c r="O129" i="39"/>
  <c r="N129" i="39"/>
  <c r="M129" i="39"/>
  <c r="L129" i="39"/>
  <c r="K129" i="39"/>
  <c r="Q128" i="39"/>
  <c r="P128" i="39"/>
  <c r="O128" i="39"/>
  <c r="N128" i="39"/>
  <c r="M128" i="39"/>
  <c r="L128" i="39"/>
  <c r="K128" i="39"/>
  <c r="Q127" i="39"/>
  <c r="P127" i="39"/>
  <c r="O127" i="39"/>
  <c r="N127" i="39"/>
  <c r="M127" i="39"/>
  <c r="L127" i="39"/>
  <c r="K127" i="39"/>
  <c r="Q126" i="39"/>
  <c r="P126" i="39"/>
  <c r="O126" i="39"/>
  <c r="N126" i="39"/>
  <c r="M126" i="39"/>
  <c r="L126" i="39"/>
  <c r="K126" i="39"/>
  <c r="Q125" i="39"/>
  <c r="P125" i="39"/>
  <c r="O125" i="39"/>
  <c r="N125" i="39"/>
  <c r="M125" i="39"/>
  <c r="L125" i="39"/>
  <c r="K125" i="39"/>
  <c r="Q124" i="39"/>
  <c r="P124" i="39"/>
  <c r="O124" i="39"/>
  <c r="N124" i="39"/>
  <c r="M124" i="39"/>
  <c r="L124" i="39"/>
  <c r="K124" i="39"/>
  <c r="Q123" i="39"/>
  <c r="P123" i="39"/>
  <c r="O123" i="39"/>
  <c r="N123" i="39"/>
  <c r="M123" i="39"/>
  <c r="L123" i="39"/>
  <c r="K123" i="39"/>
  <c r="Q122" i="39"/>
  <c r="P122" i="39"/>
  <c r="O122" i="39"/>
  <c r="N122" i="39"/>
  <c r="M122" i="39"/>
  <c r="L122" i="39"/>
  <c r="K122" i="39"/>
  <c r="Q121" i="39"/>
  <c r="P121" i="39"/>
  <c r="O121" i="39"/>
  <c r="N121" i="39"/>
  <c r="M121" i="39"/>
  <c r="L121" i="39"/>
  <c r="K121" i="39"/>
  <c r="Q120" i="39"/>
  <c r="P120" i="39"/>
  <c r="O120" i="39"/>
  <c r="N120" i="39"/>
  <c r="M120" i="39"/>
  <c r="L120" i="39"/>
  <c r="K120" i="39"/>
  <c r="Q119" i="39"/>
  <c r="P119" i="39"/>
  <c r="O119" i="39"/>
  <c r="N119" i="39"/>
  <c r="M119" i="39"/>
  <c r="L119" i="39"/>
  <c r="K119" i="39"/>
  <c r="Q118" i="39"/>
  <c r="P118" i="39"/>
  <c r="O118" i="39"/>
  <c r="N118" i="39"/>
  <c r="M118" i="39"/>
  <c r="L118" i="39"/>
  <c r="K118" i="39"/>
  <c r="Q117" i="39"/>
  <c r="P117" i="39"/>
  <c r="O117" i="39"/>
  <c r="N117" i="39"/>
  <c r="M117" i="39"/>
  <c r="L117" i="39"/>
  <c r="K117" i="39"/>
  <c r="Q116" i="39"/>
  <c r="P116" i="39"/>
  <c r="O116" i="39"/>
  <c r="N116" i="39"/>
  <c r="M116" i="39"/>
  <c r="L116" i="39"/>
  <c r="K116" i="39"/>
  <c r="Q115" i="39"/>
  <c r="P115" i="39"/>
  <c r="O115" i="39"/>
  <c r="N115" i="39"/>
  <c r="M115" i="39"/>
  <c r="L115" i="39"/>
  <c r="K115" i="39"/>
  <c r="Q114" i="39"/>
  <c r="P114" i="39"/>
  <c r="O114" i="39"/>
  <c r="N114" i="39"/>
  <c r="M114" i="39"/>
  <c r="L114" i="39"/>
  <c r="K114" i="39"/>
  <c r="Q113" i="39"/>
  <c r="P113" i="39"/>
  <c r="O113" i="39"/>
  <c r="N113" i="39"/>
  <c r="M113" i="39"/>
  <c r="L113" i="39"/>
  <c r="K113" i="39"/>
  <c r="Q112" i="39"/>
  <c r="P112" i="39"/>
  <c r="O112" i="39"/>
  <c r="N112" i="39"/>
  <c r="M112" i="39"/>
  <c r="L112" i="39"/>
  <c r="K112" i="39"/>
  <c r="Q111" i="39"/>
  <c r="P111" i="39"/>
  <c r="O111" i="39"/>
  <c r="N111" i="39"/>
  <c r="M111" i="39"/>
  <c r="L111" i="39"/>
  <c r="K111" i="39"/>
  <c r="Q110" i="39"/>
  <c r="P110" i="39"/>
  <c r="O110" i="39"/>
  <c r="N110" i="39"/>
  <c r="M110" i="39"/>
  <c r="L110" i="39"/>
  <c r="K110" i="39"/>
  <c r="Q109" i="39"/>
  <c r="P109" i="39"/>
  <c r="O109" i="39"/>
  <c r="N109" i="39"/>
  <c r="M109" i="39"/>
  <c r="L109" i="39"/>
  <c r="K109" i="39"/>
  <c r="Q108" i="39"/>
  <c r="P108" i="39"/>
  <c r="O108" i="39"/>
  <c r="N108" i="39"/>
  <c r="M108" i="39"/>
  <c r="L108" i="39"/>
  <c r="K108" i="39"/>
  <c r="Q107" i="39"/>
  <c r="P107" i="39"/>
  <c r="O107" i="39"/>
  <c r="N107" i="39"/>
  <c r="M107" i="39"/>
  <c r="L107" i="39"/>
  <c r="K107" i="39"/>
  <c r="Q106" i="39"/>
  <c r="P106" i="39"/>
  <c r="O106" i="39"/>
  <c r="N106" i="39"/>
  <c r="M106" i="39"/>
  <c r="L106" i="39"/>
  <c r="K106" i="39"/>
  <c r="Q105" i="39"/>
  <c r="P105" i="39"/>
  <c r="O105" i="39"/>
  <c r="N105" i="39"/>
  <c r="M105" i="39"/>
  <c r="L105" i="39"/>
  <c r="K105" i="39"/>
  <c r="Q104" i="39"/>
  <c r="P104" i="39"/>
  <c r="O104" i="39"/>
  <c r="N104" i="39"/>
  <c r="M104" i="39"/>
  <c r="L104" i="39"/>
  <c r="K104" i="39"/>
  <c r="Q103" i="39"/>
  <c r="P103" i="39"/>
  <c r="O103" i="39"/>
  <c r="N103" i="39"/>
  <c r="M103" i="39"/>
  <c r="L103" i="39"/>
  <c r="K103" i="39"/>
  <c r="Q102" i="39"/>
  <c r="P102" i="39"/>
  <c r="O102" i="39"/>
  <c r="N102" i="39"/>
  <c r="M102" i="39"/>
  <c r="L102" i="39"/>
  <c r="K102" i="39"/>
  <c r="Q101" i="39"/>
  <c r="P101" i="39"/>
  <c r="O101" i="39"/>
  <c r="N101" i="39"/>
  <c r="M101" i="39"/>
  <c r="L101" i="39"/>
  <c r="K101" i="39"/>
  <c r="Q100" i="39"/>
  <c r="P100" i="39"/>
  <c r="O100" i="39"/>
  <c r="N100" i="39"/>
  <c r="M100" i="39"/>
  <c r="L100" i="39"/>
  <c r="K100" i="39"/>
  <c r="Q99" i="39"/>
  <c r="P99" i="39"/>
  <c r="O99" i="39"/>
  <c r="N99" i="39"/>
  <c r="M99" i="39"/>
  <c r="L99" i="39"/>
  <c r="K99" i="39"/>
  <c r="Q98" i="39"/>
  <c r="P98" i="39"/>
  <c r="O98" i="39"/>
  <c r="N98" i="39"/>
  <c r="M98" i="39"/>
  <c r="L98" i="39"/>
  <c r="K98" i="39"/>
  <c r="Q97" i="39"/>
  <c r="P97" i="39"/>
  <c r="O97" i="39"/>
  <c r="N97" i="39"/>
  <c r="M97" i="39"/>
  <c r="L97" i="39"/>
  <c r="K97" i="39"/>
  <c r="Q96" i="39"/>
  <c r="P96" i="39"/>
  <c r="O96" i="39"/>
  <c r="N96" i="39"/>
  <c r="M96" i="39"/>
  <c r="L96" i="39"/>
  <c r="K96" i="39"/>
  <c r="Q95" i="39"/>
  <c r="P95" i="39"/>
  <c r="O95" i="39"/>
  <c r="N95" i="39"/>
  <c r="M95" i="39"/>
  <c r="L95" i="39"/>
  <c r="K95" i="39"/>
  <c r="Q94" i="39"/>
  <c r="P94" i="39"/>
  <c r="O94" i="39"/>
  <c r="N94" i="39"/>
  <c r="M94" i="39"/>
  <c r="L94" i="39"/>
  <c r="K94" i="39"/>
  <c r="Q93" i="39"/>
  <c r="P93" i="39"/>
  <c r="O93" i="39"/>
  <c r="N93" i="39"/>
  <c r="M93" i="39"/>
  <c r="L93" i="39"/>
  <c r="K93" i="39"/>
  <c r="Q92" i="39"/>
  <c r="P92" i="39"/>
  <c r="O92" i="39"/>
  <c r="N92" i="39"/>
  <c r="M92" i="39"/>
  <c r="L92" i="39"/>
  <c r="K92" i="39"/>
  <c r="Q91" i="39"/>
  <c r="P91" i="39"/>
  <c r="O91" i="39"/>
  <c r="N91" i="39"/>
  <c r="M91" i="39"/>
  <c r="L91" i="39"/>
  <c r="K91" i="39"/>
  <c r="Q90" i="39"/>
  <c r="P90" i="39"/>
  <c r="O90" i="39"/>
  <c r="N90" i="39"/>
  <c r="M90" i="39"/>
  <c r="L90" i="39"/>
  <c r="K90" i="39"/>
  <c r="Q89" i="39"/>
  <c r="P89" i="39"/>
  <c r="O89" i="39"/>
  <c r="N89" i="39"/>
  <c r="M89" i="39"/>
  <c r="L89" i="39"/>
  <c r="K89" i="39"/>
  <c r="Q88" i="39"/>
  <c r="P88" i="39"/>
  <c r="O88" i="39"/>
  <c r="N88" i="39"/>
  <c r="M88" i="39"/>
  <c r="L88" i="39"/>
  <c r="K88" i="39"/>
  <c r="Q87" i="39"/>
  <c r="P87" i="39"/>
  <c r="O87" i="39"/>
  <c r="N87" i="39"/>
  <c r="M87" i="39"/>
  <c r="L87" i="39"/>
  <c r="K87" i="39"/>
  <c r="Q86" i="39"/>
  <c r="P86" i="39"/>
  <c r="O86" i="39"/>
  <c r="N86" i="39"/>
  <c r="M86" i="39"/>
  <c r="L86" i="39"/>
  <c r="K86" i="39"/>
  <c r="Q85" i="39"/>
  <c r="P85" i="39"/>
  <c r="O85" i="39"/>
  <c r="N85" i="39"/>
  <c r="M85" i="39"/>
  <c r="L85" i="39"/>
  <c r="K85" i="39"/>
  <c r="Q84" i="39"/>
  <c r="P84" i="39"/>
  <c r="O84" i="39"/>
  <c r="N84" i="39"/>
  <c r="M84" i="39"/>
  <c r="L84" i="39"/>
  <c r="K84" i="39"/>
  <c r="Q83" i="39"/>
  <c r="P83" i="39"/>
  <c r="O83" i="39"/>
  <c r="N83" i="39"/>
  <c r="M83" i="39"/>
  <c r="L83" i="39"/>
  <c r="K83" i="39"/>
  <c r="Q82" i="39"/>
  <c r="P82" i="39"/>
  <c r="O82" i="39"/>
  <c r="N82" i="39"/>
  <c r="M82" i="39"/>
  <c r="L82" i="39"/>
  <c r="K82" i="39"/>
  <c r="Q81" i="39"/>
  <c r="P81" i="39"/>
  <c r="O81" i="39"/>
  <c r="N81" i="39"/>
  <c r="M81" i="39"/>
  <c r="L81" i="39"/>
  <c r="K81" i="39"/>
  <c r="Q80" i="39"/>
  <c r="P80" i="39"/>
  <c r="O80" i="39"/>
  <c r="N80" i="39"/>
  <c r="M80" i="39"/>
  <c r="L80" i="39"/>
  <c r="K80" i="39"/>
  <c r="Q79" i="39"/>
  <c r="P79" i="39"/>
  <c r="O79" i="39"/>
  <c r="N79" i="39"/>
  <c r="M79" i="39"/>
  <c r="L79" i="39"/>
  <c r="K79" i="39"/>
  <c r="Q78" i="39"/>
  <c r="P78" i="39"/>
  <c r="O78" i="39"/>
  <c r="N78" i="39"/>
  <c r="M78" i="39"/>
  <c r="L78" i="39"/>
  <c r="K78" i="39"/>
  <c r="Q77" i="39"/>
  <c r="P77" i="39"/>
  <c r="O77" i="39"/>
  <c r="N77" i="39"/>
  <c r="M77" i="39"/>
  <c r="L77" i="39"/>
  <c r="K77" i="39"/>
  <c r="Q76" i="39"/>
  <c r="P76" i="39"/>
  <c r="O76" i="39"/>
  <c r="N76" i="39"/>
  <c r="M76" i="39"/>
  <c r="L76" i="39"/>
  <c r="K76" i="39"/>
  <c r="Q75" i="39"/>
  <c r="P75" i="39"/>
  <c r="O75" i="39"/>
  <c r="N75" i="39"/>
  <c r="M75" i="39"/>
  <c r="L75" i="39"/>
  <c r="K75" i="39"/>
  <c r="Q74" i="39"/>
  <c r="P74" i="39"/>
  <c r="O74" i="39"/>
  <c r="N74" i="39"/>
  <c r="M74" i="39"/>
  <c r="L74" i="39"/>
  <c r="K74" i="39"/>
  <c r="Q73" i="39"/>
  <c r="P73" i="39"/>
  <c r="O73" i="39"/>
  <c r="N73" i="39"/>
  <c r="M73" i="39"/>
  <c r="L73" i="39"/>
  <c r="K73" i="39"/>
  <c r="Q72" i="39"/>
  <c r="P72" i="39"/>
  <c r="O72" i="39"/>
  <c r="N72" i="39"/>
  <c r="M72" i="39"/>
  <c r="L72" i="39"/>
  <c r="K72" i="39"/>
  <c r="Q71" i="39"/>
  <c r="P71" i="39"/>
  <c r="O71" i="39"/>
  <c r="N71" i="39"/>
  <c r="M71" i="39"/>
  <c r="L71" i="39"/>
  <c r="K71" i="39"/>
  <c r="Q70" i="39"/>
  <c r="P70" i="39"/>
  <c r="O70" i="39"/>
  <c r="N70" i="39"/>
  <c r="M70" i="39"/>
  <c r="L70" i="39"/>
  <c r="K70" i="39"/>
  <c r="Q69" i="39"/>
  <c r="P69" i="39"/>
  <c r="O69" i="39"/>
  <c r="N69" i="39"/>
  <c r="M69" i="39"/>
  <c r="L69" i="39"/>
  <c r="K69" i="39"/>
  <c r="Q68" i="39"/>
  <c r="P68" i="39"/>
  <c r="O68" i="39"/>
  <c r="N68" i="39"/>
  <c r="M68" i="39"/>
  <c r="L68" i="39"/>
  <c r="K68" i="39"/>
  <c r="Q67" i="39"/>
  <c r="P67" i="39"/>
  <c r="O67" i="39"/>
  <c r="N67" i="39"/>
  <c r="M67" i="39"/>
  <c r="L67" i="39"/>
  <c r="K67" i="39"/>
  <c r="Q66" i="39"/>
  <c r="P66" i="39"/>
  <c r="O66" i="39"/>
  <c r="N66" i="39"/>
  <c r="M66" i="39"/>
  <c r="L66" i="39"/>
  <c r="K66" i="39"/>
  <c r="Q65" i="39"/>
  <c r="P65" i="39"/>
  <c r="O65" i="39"/>
  <c r="N65" i="39"/>
  <c r="M65" i="39"/>
  <c r="L65" i="39"/>
  <c r="K65" i="39"/>
  <c r="Q64" i="39"/>
  <c r="P64" i="39"/>
  <c r="O64" i="39"/>
  <c r="N64" i="39"/>
  <c r="M64" i="39"/>
  <c r="L64" i="39"/>
  <c r="K64" i="39"/>
  <c r="Q63" i="39"/>
  <c r="P63" i="39"/>
  <c r="O63" i="39"/>
  <c r="N63" i="39"/>
  <c r="M63" i="39"/>
  <c r="L63" i="39"/>
  <c r="K63" i="39"/>
  <c r="Q62" i="39"/>
  <c r="P62" i="39"/>
  <c r="O62" i="39"/>
  <c r="N62" i="39"/>
  <c r="M62" i="39"/>
  <c r="L62" i="39"/>
  <c r="K62" i="39"/>
  <c r="Q61" i="39"/>
  <c r="P61" i="39"/>
  <c r="O61" i="39"/>
  <c r="N61" i="39"/>
  <c r="M61" i="39"/>
  <c r="L61" i="39"/>
  <c r="K61" i="39"/>
  <c r="Q60" i="39"/>
  <c r="P60" i="39"/>
  <c r="O60" i="39"/>
  <c r="N60" i="39"/>
  <c r="M60" i="39"/>
  <c r="L60" i="39"/>
  <c r="K60" i="39"/>
  <c r="Q59" i="39"/>
  <c r="P59" i="39"/>
  <c r="O59" i="39"/>
  <c r="N59" i="39"/>
  <c r="M59" i="39"/>
  <c r="L59" i="39"/>
  <c r="K59" i="39"/>
  <c r="Q58" i="39"/>
  <c r="P58" i="39"/>
  <c r="O58" i="39"/>
  <c r="N58" i="39"/>
  <c r="M58" i="39"/>
  <c r="L58" i="39"/>
  <c r="K58" i="39"/>
  <c r="Q57" i="39"/>
  <c r="P57" i="39"/>
  <c r="O57" i="39"/>
  <c r="N57" i="39"/>
  <c r="M57" i="39"/>
  <c r="L57" i="39"/>
  <c r="K57" i="39"/>
  <c r="Q56" i="39"/>
  <c r="P56" i="39"/>
  <c r="O56" i="39"/>
  <c r="N56" i="39"/>
  <c r="M56" i="39"/>
  <c r="L56" i="39"/>
  <c r="K56" i="39"/>
  <c r="Q55" i="39"/>
  <c r="P55" i="39"/>
  <c r="O55" i="39"/>
  <c r="N55" i="39"/>
  <c r="M55" i="39"/>
  <c r="L55" i="39"/>
  <c r="K55" i="39"/>
  <c r="Q54" i="39"/>
  <c r="P54" i="39"/>
  <c r="O54" i="39"/>
  <c r="N54" i="39"/>
  <c r="M54" i="39"/>
  <c r="L54" i="39"/>
  <c r="K54" i="39"/>
  <c r="Q53" i="39"/>
  <c r="P53" i="39"/>
  <c r="O53" i="39"/>
  <c r="N53" i="39"/>
  <c r="M53" i="39"/>
  <c r="L53" i="39"/>
  <c r="K53" i="39"/>
  <c r="Q52" i="39"/>
  <c r="P52" i="39"/>
  <c r="O52" i="39"/>
  <c r="N52" i="39"/>
  <c r="M52" i="39"/>
  <c r="L52" i="39"/>
  <c r="K52" i="39"/>
  <c r="Q51" i="39"/>
  <c r="P51" i="39"/>
  <c r="O51" i="39"/>
  <c r="N51" i="39"/>
  <c r="M51" i="39"/>
  <c r="L51" i="39"/>
  <c r="K51" i="39"/>
  <c r="Q50" i="39"/>
  <c r="P50" i="39"/>
  <c r="O50" i="39"/>
  <c r="N50" i="39"/>
  <c r="M50" i="39"/>
  <c r="L50" i="39"/>
  <c r="K50" i="39"/>
  <c r="Q49" i="39"/>
  <c r="P49" i="39"/>
  <c r="O49" i="39"/>
  <c r="N49" i="39"/>
  <c r="M49" i="39"/>
  <c r="L49" i="39"/>
  <c r="K49" i="39"/>
  <c r="Q48" i="39"/>
  <c r="P48" i="39"/>
  <c r="O48" i="39"/>
  <c r="N48" i="39"/>
  <c r="M48" i="39"/>
  <c r="L48" i="39"/>
  <c r="K48" i="39"/>
  <c r="Q47" i="39"/>
  <c r="P47" i="39"/>
  <c r="O47" i="39"/>
  <c r="N47" i="39"/>
  <c r="M47" i="39"/>
  <c r="L47" i="39"/>
  <c r="K47" i="39"/>
  <c r="Q46" i="39"/>
  <c r="P46" i="39"/>
  <c r="O46" i="39"/>
  <c r="N46" i="39"/>
  <c r="M46" i="39"/>
  <c r="L46" i="39"/>
  <c r="K46" i="39"/>
  <c r="Q45" i="39"/>
  <c r="P45" i="39"/>
  <c r="O45" i="39"/>
  <c r="N45" i="39"/>
  <c r="M45" i="39"/>
  <c r="L45" i="39"/>
  <c r="K45" i="39"/>
  <c r="Q44" i="39"/>
  <c r="P44" i="39"/>
  <c r="O44" i="39"/>
  <c r="N44" i="39"/>
  <c r="M44" i="39"/>
  <c r="L44" i="39"/>
  <c r="K44" i="39"/>
  <c r="Q43" i="39"/>
  <c r="P43" i="39"/>
  <c r="O43" i="39"/>
  <c r="N43" i="39"/>
  <c r="M43" i="39"/>
  <c r="L43" i="39"/>
  <c r="K43" i="39"/>
  <c r="Q42" i="39"/>
  <c r="P42" i="39"/>
  <c r="O42" i="39"/>
  <c r="N42" i="39"/>
  <c r="M42" i="39"/>
  <c r="L42" i="39"/>
  <c r="K42" i="39"/>
  <c r="Q41" i="39"/>
  <c r="P41" i="39"/>
  <c r="O41" i="39"/>
  <c r="N41" i="39"/>
  <c r="M41" i="39"/>
  <c r="L41" i="39"/>
  <c r="K41" i="39"/>
  <c r="Q40" i="39"/>
  <c r="P40" i="39"/>
  <c r="O40" i="39"/>
  <c r="N40" i="39"/>
  <c r="M40" i="39"/>
  <c r="L40" i="39"/>
  <c r="K40" i="39"/>
  <c r="Q39" i="39"/>
  <c r="P39" i="39"/>
  <c r="O39" i="39"/>
  <c r="N39" i="39"/>
  <c r="M39" i="39"/>
  <c r="L39" i="39"/>
  <c r="K39" i="39"/>
  <c r="Q38" i="39"/>
  <c r="P38" i="39"/>
  <c r="O38" i="39"/>
  <c r="N38" i="39"/>
  <c r="M38" i="39"/>
  <c r="L38" i="39"/>
  <c r="K38" i="39"/>
  <c r="Q37" i="39"/>
  <c r="P37" i="39"/>
  <c r="O37" i="39"/>
  <c r="N37" i="39"/>
  <c r="M37" i="39"/>
  <c r="L37" i="39"/>
  <c r="K37" i="39"/>
  <c r="Q36" i="39"/>
  <c r="P36" i="39"/>
  <c r="O36" i="39"/>
  <c r="N36" i="39"/>
  <c r="M36" i="39"/>
  <c r="L36" i="39"/>
  <c r="K36" i="39"/>
  <c r="Q35" i="39"/>
  <c r="P35" i="39"/>
  <c r="O35" i="39"/>
  <c r="N35" i="39"/>
  <c r="M35" i="39"/>
  <c r="L35" i="39"/>
  <c r="K35" i="39"/>
  <c r="Q34" i="39"/>
  <c r="P34" i="39"/>
  <c r="O34" i="39"/>
  <c r="N34" i="39"/>
  <c r="M34" i="39"/>
  <c r="L34" i="39"/>
  <c r="K34" i="39"/>
  <c r="Q33" i="39"/>
  <c r="P33" i="39"/>
  <c r="O33" i="39"/>
  <c r="N33" i="39"/>
  <c r="M33" i="39"/>
  <c r="L33" i="39"/>
  <c r="K33" i="39"/>
  <c r="Q32" i="39"/>
  <c r="P32" i="39"/>
  <c r="O32" i="39"/>
  <c r="N32" i="39"/>
  <c r="M32" i="39"/>
  <c r="L32" i="39"/>
  <c r="K32" i="39"/>
  <c r="Q31" i="39"/>
  <c r="P31" i="39"/>
  <c r="O31" i="39"/>
  <c r="N31" i="39"/>
  <c r="M31" i="39"/>
  <c r="L31" i="39"/>
  <c r="K31" i="39"/>
  <c r="Q30" i="39"/>
  <c r="P30" i="39"/>
  <c r="O30" i="39"/>
  <c r="N30" i="39"/>
  <c r="M30" i="39"/>
  <c r="L30" i="39"/>
  <c r="K30" i="39"/>
  <c r="Q29" i="39"/>
  <c r="P29" i="39"/>
  <c r="O29" i="39"/>
  <c r="N29" i="39"/>
  <c r="M29" i="39"/>
  <c r="L29" i="39"/>
  <c r="K29" i="39"/>
  <c r="Q28" i="39"/>
  <c r="P28" i="39"/>
  <c r="O28" i="39"/>
  <c r="N28" i="39"/>
  <c r="M28" i="39"/>
  <c r="L28" i="39"/>
  <c r="K28" i="39"/>
  <c r="Q27" i="39"/>
  <c r="P27" i="39"/>
  <c r="O27" i="39"/>
  <c r="N27" i="39"/>
  <c r="M27" i="39"/>
  <c r="L27" i="39"/>
  <c r="K27" i="39"/>
  <c r="Q26" i="39"/>
  <c r="P26" i="39"/>
  <c r="O26" i="39"/>
  <c r="N26" i="39"/>
  <c r="M26" i="39"/>
  <c r="L26" i="39"/>
  <c r="K26" i="39"/>
  <c r="Q25" i="39"/>
  <c r="P25" i="39"/>
  <c r="O25" i="39"/>
  <c r="N25" i="39"/>
  <c r="M25" i="39"/>
  <c r="L25" i="39"/>
  <c r="K25" i="39"/>
  <c r="Q24" i="39"/>
  <c r="P24" i="39"/>
  <c r="O24" i="39"/>
  <c r="N24" i="39"/>
  <c r="M24" i="39"/>
  <c r="L24" i="39"/>
  <c r="K24" i="39"/>
  <c r="Q23" i="39"/>
  <c r="P23" i="39"/>
  <c r="O23" i="39"/>
  <c r="N23" i="39"/>
  <c r="M23" i="39"/>
  <c r="L23" i="39"/>
  <c r="K23" i="39"/>
  <c r="Q22" i="39"/>
  <c r="P22" i="39"/>
  <c r="O22" i="39"/>
  <c r="N22" i="39"/>
  <c r="M22" i="39"/>
  <c r="L22" i="39"/>
  <c r="K22" i="39"/>
  <c r="Q21" i="39"/>
  <c r="P21" i="39"/>
  <c r="O21" i="39"/>
  <c r="N21" i="39"/>
  <c r="M21" i="39"/>
  <c r="L21" i="39"/>
  <c r="K21" i="39"/>
  <c r="Q20" i="39"/>
  <c r="P20" i="39"/>
  <c r="O20" i="39"/>
  <c r="N20" i="39"/>
  <c r="M20" i="39"/>
  <c r="L20" i="39"/>
  <c r="K20" i="39"/>
  <c r="Q19" i="39"/>
  <c r="P19" i="39"/>
  <c r="O19" i="39"/>
  <c r="N19" i="39"/>
  <c r="M19" i="39"/>
  <c r="L19" i="39"/>
  <c r="K19" i="39"/>
  <c r="Q18" i="39"/>
  <c r="P18" i="39"/>
  <c r="O18" i="39"/>
  <c r="N18" i="39"/>
  <c r="M18" i="39"/>
  <c r="L18" i="39"/>
  <c r="K18" i="39"/>
  <c r="Q17" i="39"/>
  <c r="P17" i="39"/>
  <c r="O17" i="39"/>
  <c r="N17" i="39"/>
  <c r="M17" i="39"/>
  <c r="L17" i="39"/>
  <c r="K17" i="39"/>
  <c r="Q16" i="39"/>
  <c r="P16" i="39"/>
  <c r="O16" i="39"/>
  <c r="N16" i="39"/>
  <c r="M16" i="39"/>
  <c r="L16" i="39"/>
  <c r="K16" i="39"/>
  <c r="Q15" i="39"/>
  <c r="P15" i="39"/>
  <c r="O15" i="39"/>
  <c r="N15" i="39"/>
  <c r="M15" i="39"/>
  <c r="L15" i="39"/>
  <c r="K15" i="39"/>
  <c r="Q14" i="39"/>
  <c r="P14" i="39"/>
  <c r="O14" i="39"/>
  <c r="N14" i="39"/>
  <c r="M14" i="39"/>
  <c r="L14" i="39"/>
  <c r="K14" i="39"/>
  <c r="A2" i="38"/>
  <c r="B35" i="1" s="1"/>
  <c r="Q203" i="38"/>
  <c r="P203" i="38"/>
  <c r="O203" i="38"/>
  <c r="N203" i="38"/>
  <c r="M203" i="38"/>
  <c r="L203" i="38"/>
  <c r="K203" i="38"/>
  <c r="Q202" i="38"/>
  <c r="P202" i="38"/>
  <c r="O202" i="38"/>
  <c r="N202" i="38"/>
  <c r="M202" i="38"/>
  <c r="L202" i="38"/>
  <c r="K202" i="38"/>
  <c r="Q201" i="38"/>
  <c r="P201" i="38"/>
  <c r="O201" i="38"/>
  <c r="N201" i="38"/>
  <c r="M201" i="38"/>
  <c r="L201" i="38"/>
  <c r="K201" i="38"/>
  <c r="Q200" i="38"/>
  <c r="P200" i="38"/>
  <c r="O200" i="38"/>
  <c r="N200" i="38"/>
  <c r="M200" i="38"/>
  <c r="L200" i="38"/>
  <c r="K200" i="38"/>
  <c r="Q199" i="38"/>
  <c r="P199" i="38"/>
  <c r="O199" i="38"/>
  <c r="N199" i="38"/>
  <c r="M199" i="38"/>
  <c r="L199" i="38"/>
  <c r="K199" i="38"/>
  <c r="Q198" i="38"/>
  <c r="P198" i="38"/>
  <c r="O198" i="38"/>
  <c r="N198" i="38"/>
  <c r="M198" i="38"/>
  <c r="L198" i="38"/>
  <c r="K198" i="38"/>
  <c r="Q197" i="38"/>
  <c r="P197" i="38"/>
  <c r="O197" i="38"/>
  <c r="N197" i="38"/>
  <c r="M197" i="38"/>
  <c r="L197" i="38"/>
  <c r="K197" i="38"/>
  <c r="Q196" i="38"/>
  <c r="P196" i="38"/>
  <c r="O196" i="38"/>
  <c r="N196" i="38"/>
  <c r="M196" i="38"/>
  <c r="L196" i="38"/>
  <c r="K196" i="38"/>
  <c r="Q195" i="38"/>
  <c r="P195" i="38"/>
  <c r="O195" i="38"/>
  <c r="N195" i="38"/>
  <c r="M195" i="38"/>
  <c r="L195" i="38"/>
  <c r="K195" i="38"/>
  <c r="Q194" i="38"/>
  <c r="P194" i="38"/>
  <c r="O194" i="38"/>
  <c r="N194" i="38"/>
  <c r="M194" i="38"/>
  <c r="L194" i="38"/>
  <c r="K194" i="38"/>
  <c r="Q193" i="38"/>
  <c r="P193" i="38"/>
  <c r="O193" i="38"/>
  <c r="N193" i="38"/>
  <c r="M193" i="38"/>
  <c r="L193" i="38"/>
  <c r="K193" i="38"/>
  <c r="Q192" i="38"/>
  <c r="P192" i="38"/>
  <c r="O192" i="38"/>
  <c r="N192" i="38"/>
  <c r="M192" i="38"/>
  <c r="L192" i="38"/>
  <c r="K192" i="38"/>
  <c r="Q191" i="38"/>
  <c r="P191" i="38"/>
  <c r="O191" i="38"/>
  <c r="N191" i="38"/>
  <c r="M191" i="38"/>
  <c r="L191" i="38"/>
  <c r="K191" i="38"/>
  <c r="Q190" i="38"/>
  <c r="P190" i="38"/>
  <c r="O190" i="38"/>
  <c r="N190" i="38"/>
  <c r="M190" i="38"/>
  <c r="L190" i="38"/>
  <c r="K190" i="38"/>
  <c r="Q189" i="38"/>
  <c r="P189" i="38"/>
  <c r="O189" i="38"/>
  <c r="N189" i="38"/>
  <c r="M189" i="38"/>
  <c r="L189" i="38"/>
  <c r="K189" i="38"/>
  <c r="Q188" i="38"/>
  <c r="P188" i="38"/>
  <c r="O188" i="38"/>
  <c r="N188" i="38"/>
  <c r="M188" i="38"/>
  <c r="L188" i="38"/>
  <c r="K188" i="38"/>
  <c r="Q187" i="38"/>
  <c r="P187" i="38"/>
  <c r="O187" i="38"/>
  <c r="N187" i="38"/>
  <c r="M187" i="38"/>
  <c r="L187" i="38"/>
  <c r="K187" i="38"/>
  <c r="Q186" i="38"/>
  <c r="P186" i="38"/>
  <c r="O186" i="38"/>
  <c r="N186" i="38"/>
  <c r="M186" i="38"/>
  <c r="L186" i="38"/>
  <c r="K186" i="38"/>
  <c r="Q185" i="38"/>
  <c r="P185" i="38"/>
  <c r="O185" i="38"/>
  <c r="N185" i="38"/>
  <c r="M185" i="38"/>
  <c r="L185" i="38"/>
  <c r="K185" i="38"/>
  <c r="Q184" i="38"/>
  <c r="P184" i="38"/>
  <c r="O184" i="38"/>
  <c r="N184" i="38"/>
  <c r="M184" i="38"/>
  <c r="L184" i="38"/>
  <c r="K184" i="38"/>
  <c r="Q183" i="38"/>
  <c r="P183" i="38"/>
  <c r="O183" i="38"/>
  <c r="N183" i="38"/>
  <c r="M183" i="38"/>
  <c r="L183" i="38"/>
  <c r="K183" i="38"/>
  <c r="Q182" i="38"/>
  <c r="P182" i="38"/>
  <c r="O182" i="38"/>
  <c r="N182" i="38"/>
  <c r="M182" i="38"/>
  <c r="L182" i="38"/>
  <c r="K182" i="38"/>
  <c r="Q181" i="38"/>
  <c r="P181" i="38"/>
  <c r="O181" i="38"/>
  <c r="N181" i="38"/>
  <c r="M181" i="38"/>
  <c r="L181" i="38"/>
  <c r="K181" i="38"/>
  <c r="Q180" i="38"/>
  <c r="P180" i="38"/>
  <c r="O180" i="38"/>
  <c r="N180" i="38"/>
  <c r="M180" i="38"/>
  <c r="L180" i="38"/>
  <c r="K180" i="38"/>
  <c r="Q179" i="38"/>
  <c r="P179" i="38"/>
  <c r="O179" i="38"/>
  <c r="N179" i="38"/>
  <c r="M179" i="38"/>
  <c r="L179" i="38"/>
  <c r="K179" i="38"/>
  <c r="Q178" i="38"/>
  <c r="P178" i="38"/>
  <c r="O178" i="38"/>
  <c r="N178" i="38"/>
  <c r="M178" i="38"/>
  <c r="L178" i="38"/>
  <c r="K178" i="38"/>
  <c r="Q177" i="38"/>
  <c r="P177" i="38"/>
  <c r="O177" i="38"/>
  <c r="N177" i="38"/>
  <c r="M177" i="38"/>
  <c r="L177" i="38"/>
  <c r="K177" i="38"/>
  <c r="Q176" i="38"/>
  <c r="P176" i="38"/>
  <c r="O176" i="38"/>
  <c r="N176" i="38"/>
  <c r="M176" i="38"/>
  <c r="L176" i="38"/>
  <c r="K176" i="38"/>
  <c r="Q175" i="38"/>
  <c r="P175" i="38"/>
  <c r="O175" i="38"/>
  <c r="N175" i="38"/>
  <c r="M175" i="38"/>
  <c r="L175" i="38"/>
  <c r="K175" i="38"/>
  <c r="Q174" i="38"/>
  <c r="P174" i="38"/>
  <c r="O174" i="38"/>
  <c r="N174" i="38"/>
  <c r="M174" i="38"/>
  <c r="L174" i="38"/>
  <c r="K174" i="38"/>
  <c r="Q173" i="38"/>
  <c r="P173" i="38"/>
  <c r="O173" i="38"/>
  <c r="N173" i="38"/>
  <c r="M173" i="38"/>
  <c r="L173" i="38"/>
  <c r="K173" i="38"/>
  <c r="Q172" i="38"/>
  <c r="P172" i="38"/>
  <c r="O172" i="38"/>
  <c r="N172" i="38"/>
  <c r="M172" i="38"/>
  <c r="L172" i="38"/>
  <c r="K172" i="38"/>
  <c r="Q171" i="38"/>
  <c r="P171" i="38"/>
  <c r="O171" i="38"/>
  <c r="N171" i="38"/>
  <c r="M171" i="38"/>
  <c r="L171" i="38"/>
  <c r="K171" i="38"/>
  <c r="Q170" i="38"/>
  <c r="P170" i="38"/>
  <c r="O170" i="38"/>
  <c r="N170" i="38"/>
  <c r="M170" i="38"/>
  <c r="L170" i="38"/>
  <c r="K170" i="38"/>
  <c r="Q169" i="38"/>
  <c r="P169" i="38"/>
  <c r="O169" i="38"/>
  <c r="N169" i="38"/>
  <c r="M169" i="38"/>
  <c r="L169" i="38"/>
  <c r="K169" i="38"/>
  <c r="Q168" i="38"/>
  <c r="P168" i="38"/>
  <c r="O168" i="38"/>
  <c r="N168" i="38"/>
  <c r="M168" i="38"/>
  <c r="L168" i="38"/>
  <c r="K168" i="38"/>
  <c r="Q167" i="38"/>
  <c r="P167" i="38"/>
  <c r="O167" i="38"/>
  <c r="N167" i="38"/>
  <c r="M167" i="38"/>
  <c r="L167" i="38"/>
  <c r="K167" i="38"/>
  <c r="Q166" i="38"/>
  <c r="P166" i="38"/>
  <c r="O166" i="38"/>
  <c r="N166" i="38"/>
  <c r="M166" i="38"/>
  <c r="L166" i="38"/>
  <c r="K166" i="38"/>
  <c r="Q165" i="38"/>
  <c r="P165" i="38"/>
  <c r="O165" i="38"/>
  <c r="N165" i="38"/>
  <c r="M165" i="38"/>
  <c r="L165" i="38"/>
  <c r="K165" i="38"/>
  <c r="Q164" i="38"/>
  <c r="P164" i="38"/>
  <c r="O164" i="38"/>
  <c r="N164" i="38"/>
  <c r="M164" i="38"/>
  <c r="L164" i="38"/>
  <c r="K164" i="38"/>
  <c r="Q163" i="38"/>
  <c r="P163" i="38"/>
  <c r="O163" i="38"/>
  <c r="N163" i="38"/>
  <c r="M163" i="38"/>
  <c r="L163" i="38"/>
  <c r="K163" i="38"/>
  <c r="Q162" i="38"/>
  <c r="P162" i="38"/>
  <c r="O162" i="38"/>
  <c r="N162" i="38"/>
  <c r="M162" i="38"/>
  <c r="L162" i="38"/>
  <c r="K162" i="38"/>
  <c r="Q161" i="38"/>
  <c r="P161" i="38"/>
  <c r="O161" i="38"/>
  <c r="N161" i="38"/>
  <c r="M161" i="38"/>
  <c r="L161" i="38"/>
  <c r="K161" i="38"/>
  <c r="Q160" i="38"/>
  <c r="P160" i="38"/>
  <c r="O160" i="38"/>
  <c r="N160" i="38"/>
  <c r="M160" i="38"/>
  <c r="L160" i="38"/>
  <c r="K160" i="38"/>
  <c r="Q159" i="38"/>
  <c r="P159" i="38"/>
  <c r="O159" i="38"/>
  <c r="N159" i="38"/>
  <c r="M159" i="38"/>
  <c r="L159" i="38"/>
  <c r="K159" i="38"/>
  <c r="Q158" i="38"/>
  <c r="P158" i="38"/>
  <c r="O158" i="38"/>
  <c r="N158" i="38"/>
  <c r="M158" i="38"/>
  <c r="L158" i="38"/>
  <c r="K158" i="38"/>
  <c r="Q157" i="38"/>
  <c r="P157" i="38"/>
  <c r="O157" i="38"/>
  <c r="N157" i="38"/>
  <c r="M157" i="38"/>
  <c r="L157" i="38"/>
  <c r="K157" i="38"/>
  <c r="Q156" i="38"/>
  <c r="P156" i="38"/>
  <c r="O156" i="38"/>
  <c r="N156" i="38"/>
  <c r="M156" i="38"/>
  <c r="L156" i="38"/>
  <c r="K156" i="38"/>
  <c r="Q155" i="38"/>
  <c r="P155" i="38"/>
  <c r="O155" i="38"/>
  <c r="N155" i="38"/>
  <c r="M155" i="38"/>
  <c r="L155" i="38"/>
  <c r="K155" i="38"/>
  <c r="Q154" i="38"/>
  <c r="P154" i="38"/>
  <c r="O154" i="38"/>
  <c r="N154" i="38"/>
  <c r="M154" i="38"/>
  <c r="L154" i="38"/>
  <c r="K154" i="38"/>
  <c r="Q153" i="38"/>
  <c r="P153" i="38"/>
  <c r="O153" i="38"/>
  <c r="N153" i="38"/>
  <c r="M153" i="38"/>
  <c r="L153" i="38"/>
  <c r="K153" i="38"/>
  <c r="Q152" i="38"/>
  <c r="P152" i="38"/>
  <c r="O152" i="38"/>
  <c r="N152" i="38"/>
  <c r="M152" i="38"/>
  <c r="L152" i="38"/>
  <c r="K152" i="38"/>
  <c r="Q151" i="38"/>
  <c r="P151" i="38"/>
  <c r="O151" i="38"/>
  <c r="N151" i="38"/>
  <c r="M151" i="38"/>
  <c r="L151" i="38"/>
  <c r="K151" i="38"/>
  <c r="Q150" i="38"/>
  <c r="P150" i="38"/>
  <c r="O150" i="38"/>
  <c r="N150" i="38"/>
  <c r="M150" i="38"/>
  <c r="L150" i="38"/>
  <c r="K150" i="38"/>
  <c r="Q149" i="38"/>
  <c r="P149" i="38"/>
  <c r="O149" i="38"/>
  <c r="N149" i="38"/>
  <c r="M149" i="38"/>
  <c r="L149" i="38"/>
  <c r="K149" i="38"/>
  <c r="Q148" i="38"/>
  <c r="P148" i="38"/>
  <c r="O148" i="38"/>
  <c r="N148" i="38"/>
  <c r="M148" i="38"/>
  <c r="L148" i="38"/>
  <c r="K148" i="38"/>
  <c r="Q147" i="38"/>
  <c r="P147" i="38"/>
  <c r="O147" i="38"/>
  <c r="N147" i="38"/>
  <c r="M147" i="38"/>
  <c r="L147" i="38"/>
  <c r="K147" i="38"/>
  <c r="Q146" i="38"/>
  <c r="P146" i="38"/>
  <c r="O146" i="38"/>
  <c r="N146" i="38"/>
  <c r="M146" i="38"/>
  <c r="L146" i="38"/>
  <c r="K146" i="38"/>
  <c r="Q145" i="38"/>
  <c r="P145" i="38"/>
  <c r="O145" i="38"/>
  <c r="N145" i="38"/>
  <c r="M145" i="38"/>
  <c r="L145" i="38"/>
  <c r="K145" i="38"/>
  <c r="Q144" i="38"/>
  <c r="P144" i="38"/>
  <c r="O144" i="38"/>
  <c r="N144" i="38"/>
  <c r="M144" i="38"/>
  <c r="L144" i="38"/>
  <c r="K144" i="38"/>
  <c r="Q143" i="38"/>
  <c r="P143" i="38"/>
  <c r="O143" i="38"/>
  <c r="N143" i="38"/>
  <c r="M143" i="38"/>
  <c r="L143" i="38"/>
  <c r="K143" i="38"/>
  <c r="Q142" i="38"/>
  <c r="P142" i="38"/>
  <c r="O142" i="38"/>
  <c r="N142" i="38"/>
  <c r="M142" i="38"/>
  <c r="L142" i="38"/>
  <c r="K142" i="38"/>
  <c r="Q141" i="38"/>
  <c r="P141" i="38"/>
  <c r="O141" i="38"/>
  <c r="N141" i="38"/>
  <c r="M141" i="38"/>
  <c r="L141" i="38"/>
  <c r="K141" i="38"/>
  <c r="Q140" i="38"/>
  <c r="P140" i="38"/>
  <c r="O140" i="38"/>
  <c r="N140" i="38"/>
  <c r="M140" i="38"/>
  <c r="L140" i="38"/>
  <c r="K140" i="38"/>
  <c r="Q139" i="38"/>
  <c r="P139" i="38"/>
  <c r="O139" i="38"/>
  <c r="N139" i="38"/>
  <c r="M139" i="38"/>
  <c r="L139" i="38"/>
  <c r="K139" i="38"/>
  <c r="Q138" i="38"/>
  <c r="P138" i="38"/>
  <c r="O138" i="38"/>
  <c r="N138" i="38"/>
  <c r="M138" i="38"/>
  <c r="L138" i="38"/>
  <c r="K138" i="38"/>
  <c r="Q137" i="38"/>
  <c r="P137" i="38"/>
  <c r="O137" i="38"/>
  <c r="N137" i="38"/>
  <c r="M137" i="38"/>
  <c r="L137" i="38"/>
  <c r="K137" i="38"/>
  <c r="Q136" i="38"/>
  <c r="P136" i="38"/>
  <c r="O136" i="38"/>
  <c r="N136" i="38"/>
  <c r="M136" i="38"/>
  <c r="L136" i="38"/>
  <c r="K136" i="38"/>
  <c r="Q135" i="38"/>
  <c r="P135" i="38"/>
  <c r="O135" i="38"/>
  <c r="N135" i="38"/>
  <c r="M135" i="38"/>
  <c r="L135" i="38"/>
  <c r="K135" i="38"/>
  <c r="Q134" i="38"/>
  <c r="P134" i="38"/>
  <c r="O134" i="38"/>
  <c r="N134" i="38"/>
  <c r="M134" i="38"/>
  <c r="L134" i="38"/>
  <c r="K134" i="38"/>
  <c r="Q133" i="38"/>
  <c r="P133" i="38"/>
  <c r="O133" i="38"/>
  <c r="N133" i="38"/>
  <c r="M133" i="38"/>
  <c r="L133" i="38"/>
  <c r="K133" i="38"/>
  <c r="Q132" i="38"/>
  <c r="P132" i="38"/>
  <c r="O132" i="38"/>
  <c r="N132" i="38"/>
  <c r="M132" i="38"/>
  <c r="L132" i="38"/>
  <c r="K132" i="38"/>
  <c r="Q131" i="38"/>
  <c r="P131" i="38"/>
  <c r="O131" i="38"/>
  <c r="N131" i="38"/>
  <c r="M131" i="38"/>
  <c r="L131" i="38"/>
  <c r="K131" i="38"/>
  <c r="Q130" i="38"/>
  <c r="P130" i="38"/>
  <c r="O130" i="38"/>
  <c r="N130" i="38"/>
  <c r="M130" i="38"/>
  <c r="L130" i="38"/>
  <c r="K130" i="38"/>
  <c r="Q129" i="38"/>
  <c r="P129" i="38"/>
  <c r="O129" i="38"/>
  <c r="N129" i="38"/>
  <c r="M129" i="38"/>
  <c r="L129" i="38"/>
  <c r="K129" i="38"/>
  <c r="Q128" i="38"/>
  <c r="P128" i="38"/>
  <c r="O128" i="38"/>
  <c r="N128" i="38"/>
  <c r="M128" i="38"/>
  <c r="L128" i="38"/>
  <c r="K128" i="38"/>
  <c r="Q127" i="38"/>
  <c r="P127" i="38"/>
  <c r="O127" i="38"/>
  <c r="N127" i="38"/>
  <c r="M127" i="38"/>
  <c r="L127" i="38"/>
  <c r="K127" i="38"/>
  <c r="Q126" i="38"/>
  <c r="P126" i="38"/>
  <c r="O126" i="38"/>
  <c r="N126" i="38"/>
  <c r="M126" i="38"/>
  <c r="L126" i="38"/>
  <c r="K126" i="38"/>
  <c r="Q125" i="38"/>
  <c r="P125" i="38"/>
  <c r="O125" i="38"/>
  <c r="N125" i="38"/>
  <c r="M125" i="38"/>
  <c r="L125" i="38"/>
  <c r="K125" i="38"/>
  <c r="Q124" i="38"/>
  <c r="P124" i="38"/>
  <c r="O124" i="38"/>
  <c r="N124" i="38"/>
  <c r="M124" i="38"/>
  <c r="L124" i="38"/>
  <c r="K124" i="38"/>
  <c r="Q123" i="38"/>
  <c r="P123" i="38"/>
  <c r="O123" i="38"/>
  <c r="N123" i="38"/>
  <c r="M123" i="38"/>
  <c r="L123" i="38"/>
  <c r="K123" i="38"/>
  <c r="Q122" i="38"/>
  <c r="P122" i="38"/>
  <c r="O122" i="38"/>
  <c r="N122" i="38"/>
  <c r="M122" i="38"/>
  <c r="L122" i="38"/>
  <c r="K122" i="38"/>
  <c r="Q121" i="38"/>
  <c r="P121" i="38"/>
  <c r="O121" i="38"/>
  <c r="N121" i="38"/>
  <c r="M121" i="38"/>
  <c r="L121" i="38"/>
  <c r="K121" i="38"/>
  <c r="Q120" i="38"/>
  <c r="P120" i="38"/>
  <c r="O120" i="38"/>
  <c r="N120" i="38"/>
  <c r="M120" i="38"/>
  <c r="L120" i="38"/>
  <c r="K120" i="38"/>
  <c r="Q119" i="38"/>
  <c r="P119" i="38"/>
  <c r="O119" i="38"/>
  <c r="N119" i="38"/>
  <c r="M119" i="38"/>
  <c r="L119" i="38"/>
  <c r="K119" i="38"/>
  <c r="Q118" i="38"/>
  <c r="P118" i="38"/>
  <c r="O118" i="38"/>
  <c r="N118" i="38"/>
  <c r="M118" i="38"/>
  <c r="L118" i="38"/>
  <c r="K118" i="38"/>
  <c r="Q117" i="38"/>
  <c r="P117" i="38"/>
  <c r="O117" i="38"/>
  <c r="N117" i="38"/>
  <c r="M117" i="38"/>
  <c r="L117" i="38"/>
  <c r="K117" i="38"/>
  <c r="Q116" i="38"/>
  <c r="P116" i="38"/>
  <c r="O116" i="38"/>
  <c r="N116" i="38"/>
  <c r="M116" i="38"/>
  <c r="L116" i="38"/>
  <c r="K116" i="38"/>
  <c r="Q115" i="38"/>
  <c r="P115" i="38"/>
  <c r="O115" i="38"/>
  <c r="N115" i="38"/>
  <c r="M115" i="38"/>
  <c r="L115" i="38"/>
  <c r="K115" i="38"/>
  <c r="Q114" i="38"/>
  <c r="P114" i="38"/>
  <c r="O114" i="38"/>
  <c r="N114" i="38"/>
  <c r="M114" i="38"/>
  <c r="L114" i="38"/>
  <c r="K114" i="38"/>
  <c r="Q113" i="38"/>
  <c r="P113" i="38"/>
  <c r="O113" i="38"/>
  <c r="N113" i="38"/>
  <c r="M113" i="38"/>
  <c r="L113" i="38"/>
  <c r="K113" i="38"/>
  <c r="Q112" i="38"/>
  <c r="P112" i="38"/>
  <c r="O112" i="38"/>
  <c r="N112" i="38"/>
  <c r="M112" i="38"/>
  <c r="L112" i="38"/>
  <c r="K112" i="38"/>
  <c r="Q111" i="38"/>
  <c r="P111" i="38"/>
  <c r="O111" i="38"/>
  <c r="N111" i="38"/>
  <c r="M111" i="38"/>
  <c r="L111" i="38"/>
  <c r="K111" i="38"/>
  <c r="Q110" i="38"/>
  <c r="P110" i="38"/>
  <c r="O110" i="38"/>
  <c r="N110" i="38"/>
  <c r="M110" i="38"/>
  <c r="L110" i="38"/>
  <c r="K110" i="38"/>
  <c r="Q109" i="38"/>
  <c r="P109" i="38"/>
  <c r="O109" i="38"/>
  <c r="N109" i="38"/>
  <c r="M109" i="38"/>
  <c r="L109" i="38"/>
  <c r="K109" i="38"/>
  <c r="Q108" i="38"/>
  <c r="P108" i="38"/>
  <c r="O108" i="38"/>
  <c r="N108" i="38"/>
  <c r="M108" i="38"/>
  <c r="L108" i="38"/>
  <c r="K108" i="38"/>
  <c r="Q107" i="38"/>
  <c r="P107" i="38"/>
  <c r="O107" i="38"/>
  <c r="N107" i="38"/>
  <c r="M107" i="38"/>
  <c r="L107" i="38"/>
  <c r="K107" i="38"/>
  <c r="Q106" i="38"/>
  <c r="P106" i="38"/>
  <c r="O106" i="38"/>
  <c r="N106" i="38"/>
  <c r="M106" i="38"/>
  <c r="L106" i="38"/>
  <c r="K106" i="38"/>
  <c r="Q105" i="38"/>
  <c r="P105" i="38"/>
  <c r="O105" i="38"/>
  <c r="N105" i="38"/>
  <c r="M105" i="38"/>
  <c r="L105" i="38"/>
  <c r="K105" i="38"/>
  <c r="Q104" i="38"/>
  <c r="P104" i="38"/>
  <c r="O104" i="38"/>
  <c r="N104" i="38"/>
  <c r="M104" i="38"/>
  <c r="L104" i="38"/>
  <c r="K104" i="38"/>
  <c r="Q103" i="38"/>
  <c r="P103" i="38"/>
  <c r="O103" i="38"/>
  <c r="N103" i="38"/>
  <c r="M103" i="38"/>
  <c r="L103" i="38"/>
  <c r="K103" i="38"/>
  <c r="Q102" i="38"/>
  <c r="P102" i="38"/>
  <c r="O102" i="38"/>
  <c r="N102" i="38"/>
  <c r="M102" i="38"/>
  <c r="L102" i="38"/>
  <c r="K102" i="38"/>
  <c r="Q101" i="38"/>
  <c r="P101" i="38"/>
  <c r="O101" i="38"/>
  <c r="N101" i="38"/>
  <c r="M101" i="38"/>
  <c r="L101" i="38"/>
  <c r="K101" i="38"/>
  <c r="Q100" i="38"/>
  <c r="P100" i="38"/>
  <c r="O100" i="38"/>
  <c r="N100" i="38"/>
  <c r="M100" i="38"/>
  <c r="L100" i="38"/>
  <c r="K100" i="38"/>
  <c r="Q99" i="38"/>
  <c r="P99" i="38"/>
  <c r="O99" i="38"/>
  <c r="N99" i="38"/>
  <c r="M99" i="38"/>
  <c r="L99" i="38"/>
  <c r="K99" i="38"/>
  <c r="Q98" i="38"/>
  <c r="P98" i="38"/>
  <c r="O98" i="38"/>
  <c r="N98" i="38"/>
  <c r="M98" i="38"/>
  <c r="L98" i="38"/>
  <c r="K98" i="38"/>
  <c r="Q97" i="38"/>
  <c r="P97" i="38"/>
  <c r="O97" i="38"/>
  <c r="N97" i="38"/>
  <c r="M97" i="38"/>
  <c r="L97" i="38"/>
  <c r="K97" i="38"/>
  <c r="Q96" i="38"/>
  <c r="P96" i="38"/>
  <c r="O96" i="38"/>
  <c r="N96" i="38"/>
  <c r="M96" i="38"/>
  <c r="L96" i="38"/>
  <c r="K96" i="38"/>
  <c r="Q95" i="38"/>
  <c r="P95" i="38"/>
  <c r="O95" i="38"/>
  <c r="N95" i="38"/>
  <c r="M95" i="38"/>
  <c r="L95" i="38"/>
  <c r="K95" i="38"/>
  <c r="Q94" i="38"/>
  <c r="P94" i="38"/>
  <c r="O94" i="38"/>
  <c r="N94" i="38"/>
  <c r="M94" i="38"/>
  <c r="L94" i="38"/>
  <c r="K94" i="38"/>
  <c r="Q93" i="38"/>
  <c r="P93" i="38"/>
  <c r="O93" i="38"/>
  <c r="N93" i="38"/>
  <c r="M93" i="38"/>
  <c r="L93" i="38"/>
  <c r="K93" i="38"/>
  <c r="Q92" i="38"/>
  <c r="P92" i="38"/>
  <c r="O92" i="38"/>
  <c r="N92" i="38"/>
  <c r="M92" i="38"/>
  <c r="L92" i="38"/>
  <c r="K92" i="38"/>
  <c r="Q91" i="38"/>
  <c r="P91" i="38"/>
  <c r="O91" i="38"/>
  <c r="N91" i="38"/>
  <c r="M91" i="38"/>
  <c r="L91" i="38"/>
  <c r="K91" i="38"/>
  <c r="Q90" i="38"/>
  <c r="P90" i="38"/>
  <c r="O90" i="38"/>
  <c r="N90" i="38"/>
  <c r="M90" i="38"/>
  <c r="L90" i="38"/>
  <c r="K90" i="38"/>
  <c r="Q89" i="38"/>
  <c r="P89" i="38"/>
  <c r="O89" i="38"/>
  <c r="N89" i="38"/>
  <c r="M89" i="38"/>
  <c r="L89" i="38"/>
  <c r="K89" i="38"/>
  <c r="Q88" i="38"/>
  <c r="P88" i="38"/>
  <c r="O88" i="38"/>
  <c r="N88" i="38"/>
  <c r="M88" i="38"/>
  <c r="L88" i="38"/>
  <c r="K88" i="38"/>
  <c r="Q87" i="38"/>
  <c r="P87" i="38"/>
  <c r="O87" i="38"/>
  <c r="N87" i="38"/>
  <c r="M87" i="38"/>
  <c r="L87" i="38"/>
  <c r="K87" i="38"/>
  <c r="Q86" i="38"/>
  <c r="P86" i="38"/>
  <c r="O86" i="38"/>
  <c r="N86" i="38"/>
  <c r="M86" i="38"/>
  <c r="L86" i="38"/>
  <c r="K86" i="38"/>
  <c r="Q85" i="38"/>
  <c r="P85" i="38"/>
  <c r="O85" i="38"/>
  <c r="N85" i="38"/>
  <c r="M85" i="38"/>
  <c r="L85" i="38"/>
  <c r="K85" i="38"/>
  <c r="Q84" i="38"/>
  <c r="P84" i="38"/>
  <c r="O84" i="38"/>
  <c r="N84" i="38"/>
  <c r="M84" i="38"/>
  <c r="L84" i="38"/>
  <c r="K84" i="38"/>
  <c r="Q83" i="38"/>
  <c r="P83" i="38"/>
  <c r="O83" i="38"/>
  <c r="N83" i="38"/>
  <c r="M83" i="38"/>
  <c r="L83" i="38"/>
  <c r="K83" i="38"/>
  <c r="Q82" i="38"/>
  <c r="P82" i="38"/>
  <c r="O82" i="38"/>
  <c r="N82" i="38"/>
  <c r="M82" i="38"/>
  <c r="L82" i="38"/>
  <c r="K82" i="38"/>
  <c r="Q81" i="38"/>
  <c r="P81" i="38"/>
  <c r="O81" i="38"/>
  <c r="N81" i="38"/>
  <c r="M81" i="38"/>
  <c r="L81" i="38"/>
  <c r="K81" i="38"/>
  <c r="Q80" i="38"/>
  <c r="P80" i="38"/>
  <c r="O80" i="38"/>
  <c r="N80" i="38"/>
  <c r="M80" i="38"/>
  <c r="L80" i="38"/>
  <c r="K80" i="38"/>
  <c r="Q79" i="38"/>
  <c r="P79" i="38"/>
  <c r="O79" i="38"/>
  <c r="N79" i="38"/>
  <c r="M79" i="38"/>
  <c r="L79" i="38"/>
  <c r="K79" i="38"/>
  <c r="Q78" i="38"/>
  <c r="P78" i="38"/>
  <c r="O78" i="38"/>
  <c r="N78" i="38"/>
  <c r="M78" i="38"/>
  <c r="L78" i="38"/>
  <c r="K78" i="38"/>
  <c r="Q77" i="38"/>
  <c r="P77" i="38"/>
  <c r="O77" i="38"/>
  <c r="N77" i="38"/>
  <c r="M77" i="38"/>
  <c r="L77" i="38"/>
  <c r="K77" i="38"/>
  <c r="Q76" i="38"/>
  <c r="P76" i="38"/>
  <c r="O76" i="38"/>
  <c r="N76" i="38"/>
  <c r="M76" i="38"/>
  <c r="L76" i="38"/>
  <c r="K76" i="38"/>
  <c r="Q75" i="38"/>
  <c r="P75" i="38"/>
  <c r="O75" i="38"/>
  <c r="N75" i="38"/>
  <c r="M75" i="38"/>
  <c r="L75" i="38"/>
  <c r="K75" i="38"/>
  <c r="Q74" i="38"/>
  <c r="P74" i="38"/>
  <c r="O74" i="38"/>
  <c r="N74" i="38"/>
  <c r="M74" i="38"/>
  <c r="L74" i="38"/>
  <c r="K74" i="38"/>
  <c r="Q73" i="38"/>
  <c r="P73" i="38"/>
  <c r="O73" i="38"/>
  <c r="N73" i="38"/>
  <c r="M73" i="38"/>
  <c r="L73" i="38"/>
  <c r="K73" i="38"/>
  <c r="Q72" i="38"/>
  <c r="P72" i="38"/>
  <c r="O72" i="38"/>
  <c r="N72" i="38"/>
  <c r="M72" i="38"/>
  <c r="L72" i="38"/>
  <c r="K72" i="38"/>
  <c r="Q71" i="38"/>
  <c r="P71" i="38"/>
  <c r="O71" i="38"/>
  <c r="N71" i="38"/>
  <c r="M71" i="38"/>
  <c r="L71" i="38"/>
  <c r="K71" i="38"/>
  <c r="Q70" i="38"/>
  <c r="P70" i="38"/>
  <c r="O70" i="38"/>
  <c r="N70" i="38"/>
  <c r="M70" i="38"/>
  <c r="L70" i="38"/>
  <c r="K70" i="38"/>
  <c r="Q69" i="38"/>
  <c r="P69" i="38"/>
  <c r="O69" i="38"/>
  <c r="N69" i="38"/>
  <c r="M69" i="38"/>
  <c r="L69" i="38"/>
  <c r="K69" i="38"/>
  <c r="Q68" i="38"/>
  <c r="P68" i="38"/>
  <c r="O68" i="38"/>
  <c r="N68" i="38"/>
  <c r="M68" i="38"/>
  <c r="L68" i="38"/>
  <c r="K68" i="38"/>
  <c r="Q67" i="38"/>
  <c r="P67" i="38"/>
  <c r="O67" i="38"/>
  <c r="N67" i="38"/>
  <c r="M67" i="38"/>
  <c r="L67" i="38"/>
  <c r="K67" i="38"/>
  <c r="Q66" i="38"/>
  <c r="P66" i="38"/>
  <c r="O66" i="38"/>
  <c r="N66" i="38"/>
  <c r="M66" i="38"/>
  <c r="L66" i="38"/>
  <c r="K66" i="38"/>
  <c r="Q65" i="38"/>
  <c r="P65" i="38"/>
  <c r="O65" i="38"/>
  <c r="N65" i="38"/>
  <c r="M65" i="38"/>
  <c r="L65" i="38"/>
  <c r="K65" i="38"/>
  <c r="Q64" i="38"/>
  <c r="P64" i="38"/>
  <c r="O64" i="38"/>
  <c r="N64" i="38"/>
  <c r="M64" i="38"/>
  <c r="L64" i="38"/>
  <c r="K64" i="38"/>
  <c r="Q63" i="38"/>
  <c r="P63" i="38"/>
  <c r="O63" i="38"/>
  <c r="N63" i="38"/>
  <c r="M63" i="38"/>
  <c r="L63" i="38"/>
  <c r="K63" i="38"/>
  <c r="Q62" i="38"/>
  <c r="P62" i="38"/>
  <c r="O62" i="38"/>
  <c r="N62" i="38"/>
  <c r="M62" i="38"/>
  <c r="L62" i="38"/>
  <c r="K62" i="38"/>
  <c r="Q61" i="38"/>
  <c r="P61" i="38"/>
  <c r="O61" i="38"/>
  <c r="N61" i="38"/>
  <c r="M61" i="38"/>
  <c r="L61" i="38"/>
  <c r="K61" i="38"/>
  <c r="Q60" i="38"/>
  <c r="P60" i="38"/>
  <c r="O60" i="38"/>
  <c r="N60" i="38"/>
  <c r="M60" i="38"/>
  <c r="L60" i="38"/>
  <c r="K60" i="38"/>
  <c r="Q59" i="38"/>
  <c r="P59" i="38"/>
  <c r="O59" i="38"/>
  <c r="N59" i="38"/>
  <c r="M59" i="38"/>
  <c r="L59" i="38"/>
  <c r="K59" i="38"/>
  <c r="Q58" i="38"/>
  <c r="P58" i="38"/>
  <c r="O58" i="38"/>
  <c r="N58" i="38"/>
  <c r="M58" i="38"/>
  <c r="L58" i="38"/>
  <c r="K58" i="38"/>
  <c r="Q57" i="38"/>
  <c r="P57" i="38"/>
  <c r="O57" i="38"/>
  <c r="N57" i="38"/>
  <c r="M57" i="38"/>
  <c r="L57" i="38"/>
  <c r="K57" i="38"/>
  <c r="Q56" i="38"/>
  <c r="P56" i="38"/>
  <c r="O56" i="38"/>
  <c r="N56" i="38"/>
  <c r="M56" i="38"/>
  <c r="L56" i="38"/>
  <c r="K56" i="38"/>
  <c r="Q55" i="38"/>
  <c r="P55" i="38"/>
  <c r="O55" i="38"/>
  <c r="N55" i="38"/>
  <c r="M55" i="38"/>
  <c r="L55" i="38"/>
  <c r="K55" i="38"/>
  <c r="Q54" i="38"/>
  <c r="P54" i="38"/>
  <c r="O54" i="38"/>
  <c r="N54" i="38"/>
  <c r="M54" i="38"/>
  <c r="L54" i="38"/>
  <c r="K54" i="38"/>
  <c r="Q53" i="38"/>
  <c r="P53" i="38"/>
  <c r="O53" i="38"/>
  <c r="N53" i="38"/>
  <c r="M53" i="38"/>
  <c r="L53" i="38"/>
  <c r="K53" i="38"/>
  <c r="Q52" i="38"/>
  <c r="P52" i="38"/>
  <c r="O52" i="38"/>
  <c r="N52" i="38"/>
  <c r="M52" i="38"/>
  <c r="L52" i="38"/>
  <c r="K52" i="38"/>
  <c r="Q51" i="38"/>
  <c r="P51" i="38"/>
  <c r="O51" i="38"/>
  <c r="N51" i="38"/>
  <c r="M51" i="38"/>
  <c r="L51" i="38"/>
  <c r="K51" i="38"/>
  <c r="Q50" i="38"/>
  <c r="P50" i="38"/>
  <c r="O50" i="38"/>
  <c r="N50" i="38"/>
  <c r="M50" i="38"/>
  <c r="L50" i="38"/>
  <c r="K50" i="38"/>
  <c r="Q49" i="38"/>
  <c r="P49" i="38"/>
  <c r="O49" i="38"/>
  <c r="N49" i="38"/>
  <c r="M49" i="38"/>
  <c r="L49" i="38"/>
  <c r="K49" i="38"/>
  <c r="Q48" i="38"/>
  <c r="P48" i="38"/>
  <c r="O48" i="38"/>
  <c r="N48" i="38"/>
  <c r="M48" i="38"/>
  <c r="L48" i="38"/>
  <c r="K48" i="38"/>
  <c r="Q47" i="38"/>
  <c r="P47" i="38"/>
  <c r="O47" i="38"/>
  <c r="N47" i="38"/>
  <c r="M47" i="38"/>
  <c r="L47" i="38"/>
  <c r="K47" i="38"/>
  <c r="Q46" i="38"/>
  <c r="P46" i="38"/>
  <c r="O46" i="38"/>
  <c r="N46" i="38"/>
  <c r="M46" i="38"/>
  <c r="L46" i="38"/>
  <c r="K46" i="38"/>
  <c r="Q45" i="38"/>
  <c r="P45" i="38"/>
  <c r="O45" i="38"/>
  <c r="N45" i="38"/>
  <c r="M45" i="38"/>
  <c r="L45" i="38"/>
  <c r="K45" i="38"/>
  <c r="Q44" i="38"/>
  <c r="P44" i="38"/>
  <c r="O44" i="38"/>
  <c r="N44" i="38"/>
  <c r="M44" i="38"/>
  <c r="L44" i="38"/>
  <c r="K44" i="38"/>
  <c r="Q43" i="38"/>
  <c r="P43" i="38"/>
  <c r="O43" i="38"/>
  <c r="N43" i="38"/>
  <c r="M43" i="38"/>
  <c r="L43" i="38"/>
  <c r="K43" i="38"/>
  <c r="Q42" i="38"/>
  <c r="P42" i="38"/>
  <c r="O42" i="38"/>
  <c r="N42" i="38"/>
  <c r="M42" i="38"/>
  <c r="L42" i="38"/>
  <c r="K42" i="38"/>
  <c r="Q41" i="38"/>
  <c r="P41" i="38"/>
  <c r="O41" i="38"/>
  <c r="N41" i="38"/>
  <c r="M41" i="38"/>
  <c r="L41" i="38"/>
  <c r="K41" i="38"/>
  <c r="Q40" i="38"/>
  <c r="P40" i="38"/>
  <c r="O40" i="38"/>
  <c r="N40" i="38"/>
  <c r="M40" i="38"/>
  <c r="L40" i="38"/>
  <c r="K40" i="38"/>
  <c r="Q39" i="38"/>
  <c r="P39" i="38"/>
  <c r="O39" i="38"/>
  <c r="N39" i="38"/>
  <c r="M39" i="38"/>
  <c r="L39" i="38"/>
  <c r="K39" i="38"/>
  <c r="Q38" i="38"/>
  <c r="P38" i="38"/>
  <c r="O38" i="38"/>
  <c r="N38" i="38"/>
  <c r="M38" i="38"/>
  <c r="L38" i="38"/>
  <c r="K38" i="38"/>
  <c r="Q37" i="38"/>
  <c r="P37" i="38"/>
  <c r="O37" i="38"/>
  <c r="N37" i="38"/>
  <c r="M37" i="38"/>
  <c r="L37" i="38"/>
  <c r="K37" i="38"/>
  <c r="Q36" i="38"/>
  <c r="P36" i="38"/>
  <c r="O36" i="38"/>
  <c r="N36" i="38"/>
  <c r="M36" i="38"/>
  <c r="L36" i="38"/>
  <c r="K36" i="38"/>
  <c r="Q35" i="38"/>
  <c r="P35" i="38"/>
  <c r="O35" i="38"/>
  <c r="N35" i="38"/>
  <c r="M35" i="38"/>
  <c r="L35" i="38"/>
  <c r="K35" i="38"/>
  <c r="Q34" i="38"/>
  <c r="P34" i="38"/>
  <c r="O34" i="38"/>
  <c r="N34" i="38"/>
  <c r="M34" i="38"/>
  <c r="L34" i="38"/>
  <c r="K34" i="38"/>
  <c r="Q33" i="38"/>
  <c r="P33" i="38"/>
  <c r="O33" i="38"/>
  <c r="N33" i="38"/>
  <c r="M33" i="38"/>
  <c r="L33" i="38"/>
  <c r="K33" i="38"/>
  <c r="Q32" i="38"/>
  <c r="P32" i="38"/>
  <c r="O32" i="38"/>
  <c r="N32" i="38"/>
  <c r="M32" i="38"/>
  <c r="L32" i="38"/>
  <c r="K32" i="38"/>
  <c r="Q31" i="38"/>
  <c r="P31" i="38"/>
  <c r="O31" i="38"/>
  <c r="N31" i="38"/>
  <c r="M31" i="38"/>
  <c r="L31" i="38"/>
  <c r="K31" i="38"/>
  <c r="Q30" i="38"/>
  <c r="P30" i="38"/>
  <c r="O30" i="38"/>
  <c r="N30" i="38"/>
  <c r="M30" i="38"/>
  <c r="L30" i="38"/>
  <c r="K30" i="38"/>
  <c r="Q29" i="38"/>
  <c r="P29" i="38"/>
  <c r="O29" i="38"/>
  <c r="N29" i="38"/>
  <c r="M29" i="38"/>
  <c r="L29" i="38"/>
  <c r="K29" i="38"/>
  <c r="Q28" i="38"/>
  <c r="P28" i="38"/>
  <c r="O28" i="38"/>
  <c r="N28" i="38"/>
  <c r="M28" i="38"/>
  <c r="L28" i="38"/>
  <c r="K28" i="38"/>
  <c r="Q27" i="38"/>
  <c r="P27" i="38"/>
  <c r="O27" i="38"/>
  <c r="N27" i="38"/>
  <c r="M27" i="38"/>
  <c r="L27" i="38"/>
  <c r="K27" i="38"/>
  <c r="Q26" i="38"/>
  <c r="P26" i="38"/>
  <c r="O26" i="38"/>
  <c r="N26" i="38"/>
  <c r="M26" i="38"/>
  <c r="L26" i="38"/>
  <c r="K26" i="38"/>
  <c r="Q25" i="38"/>
  <c r="P25" i="38"/>
  <c r="O25" i="38"/>
  <c r="N25" i="38"/>
  <c r="M25" i="38"/>
  <c r="L25" i="38"/>
  <c r="K25" i="38"/>
  <c r="Q24" i="38"/>
  <c r="P24" i="38"/>
  <c r="O24" i="38"/>
  <c r="N24" i="38"/>
  <c r="M24" i="38"/>
  <c r="L24" i="38"/>
  <c r="K24" i="38"/>
  <c r="Q23" i="38"/>
  <c r="P23" i="38"/>
  <c r="O23" i="38"/>
  <c r="N23" i="38"/>
  <c r="M23" i="38"/>
  <c r="L23" i="38"/>
  <c r="K23" i="38"/>
  <c r="Q22" i="38"/>
  <c r="P22" i="38"/>
  <c r="O22" i="38"/>
  <c r="N22" i="38"/>
  <c r="M22" i="38"/>
  <c r="L22" i="38"/>
  <c r="K22" i="38"/>
  <c r="Q21" i="38"/>
  <c r="P21" i="38"/>
  <c r="O21" i="38"/>
  <c r="N21" i="38"/>
  <c r="M21" i="38"/>
  <c r="L21" i="38"/>
  <c r="K21" i="38"/>
  <c r="Q20" i="38"/>
  <c r="P20" i="38"/>
  <c r="O20" i="38"/>
  <c r="N20" i="38"/>
  <c r="M20" i="38"/>
  <c r="L20" i="38"/>
  <c r="K20" i="38"/>
  <c r="Q19" i="38"/>
  <c r="P19" i="38"/>
  <c r="O19" i="38"/>
  <c r="N19" i="38"/>
  <c r="M19" i="38"/>
  <c r="L19" i="38"/>
  <c r="K19" i="38"/>
  <c r="Q18" i="38"/>
  <c r="P18" i="38"/>
  <c r="O18" i="38"/>
  <c r="N18" i="38"/>
  <c r="M18" i="38"/>
  <c r="L18" i="38"/>
  <c r="K18" i="38"/>
  <c r="Q17" i="38"/>
  <c r="P17" i="38"/>
  <c r="O17" i="38"/>
  <c r="N17" i="38"/>
  <c r="M17" i="38"/>
  <c r="L17" i="38"/>
  <c r="K17" i="38"/>
  <c r="Q16" i="38"/>
  <c r="P16" i="38"/>
  <c r="O16" i="38"/>
  <c r="N16" i="38"/>
  <c r="M16" i="38"/>
  <c r="L16" i="38"/>
  <c r="K16" i="38"/>
  <c r="Q15" i="38"/>
  <c r="P15" i="38"/>
  <c r="O15" i="38"/>
  <c r="N15" i="38"/>
  <c r="M15" i="38"/>
  <c r="L15" i="38"/>
  <c r="K15" i="38"/>
  <c r="Q14" i="38"/>
  <c r="P14" i="38"/>
  <c r="O14" i="38"/>
  <c r="N14" i="38"/>
  <c r="M14" i="38"/>
  <c r="L14" i="38"/>
  <c r="K14" i="38"/>
  <c r="A2" i="37"/>
  <c r="Q203" i="37"/>
  <c r="P203" i="37"/>
  <c r="O203" i="37"/>
  <c r="N203" i="37"/>
  <c r="M203" i="37"/>
  <c r="L203" i="37"/>
  <c r="K203" i="37"/>
  <c r="Q202" i="37"/>
  <c r="P202" i="37"/>
  <c r="O202" i="37"/>
  <c r="N202" i="37"/>
  <c r="M202" i="37"/>
  <c r="L202" i="37"/>
  <c r="K202" i="37"/>
  <c r="Q201" i="37"/>
  <c r="P201" i="37"/>
  <c r="O201" i="37"/>
  <c r="N201" i="37"/>
  <c r="M201" i="37"/>
  <c r="L201" i="37"/>
  <c r="K201" i="37"/>
  <c r="Q200" i="37"/>
  <c r="P200" i="37"/>
  <c r="O200" i="37"/>
  <c r="N200" i="37"/>
  <c r="M200" i="37"/>
  <c r="L200" i="37"/>
  <c r="K200" i="37"/>
  <c r="Q199" i="37"/>
  <c r="P199" i="37"/>
  <c r="O199" i="37"/>
  <c r="N199" i="37"/>
  <c r="M199" i="37"/>
  <c r="L199" i="37"/>
  <c r="K199" i="37"/>
  <c r="Q198" i="37"/>
  <c r="P198" i="37"/>
  <c r="O198" i="37"/>
  <c r="N198" i="37"/>
  <c r="M198" i="37"/>
  <c r="L198" i="37"/>
  <c r="K198" i="37"/>
  <c r="Q197" i="37"/>
  <c r="P197" i="37"/>
  <c r="O197" i="37"/>
  <c r="N197" i="37"/>
  <c r="M197" i="37"/>
  <c r="L197" i="37"/>
  <c r="K197" i="37"/>
  <c r="Q196" i="37"/>
  <c r="P196" i="37"/>
  <c r="O196" i="37"/>
  <c r="N196" i="37"/>
  <c r="M196" i="37"/>
  <c r="L196" i="37"/>
  <c r="K196" i="37"/>
  <c r="Q195" i="37"/>
  <c r="P195" i="37"/>
  <c r="O195" i="37"/>
  <c r="N195" i="37"/>
  <c r="M195" i="37"/>
  <c r="L195" i="37"/>
  <c r="K195" i="37"/>
  <c r="Q194" i="37"/>
  <c r="P194" i="37"/>
  <c r="O194" i="37"/>
  <c r="N194" i="37"/>
  <c r="M194" i="37"/>
  <c r="L194" i="37"/>
  <c r="K194" i="37"/>
  <c r="Q193" i="37"/>
  <c r="P193" i="37"/>
  <c r="O193" i="37"/>
  <c r="N193" i="37"/>
  <c r="M193" i="37"/>
  <c r="L193" i="37"/>
  <c r="K193" i="37"/>
  <c r="Q192" i="37"/>
  <c r="P192" i="37"/>
  <c r="O192" i="37"/>
  <c r="N192" i="37"/>
  <c r="M192" i="37"/>
  <c r="L192" i="37"/>
  <c r="K192" i="37"/>
  <c r="Q191" i="37"/>
  <c r="P191" i="37"/>
  <c r="O191" i="37"/>
  <c r="N191" i="37"/>
  <c r="M191" i="37"/>
  <c r="L191" i="37"/>
  <c r="K191" i="37"/>
  <c r="Q190" i="37"/>
  <c r="P190" i="37"/>
  <c r="O190" i="37"/>
  <c r="N190" i="37"/>
  <c r="M190" i="37"/>
  <c r="L190" i="37"/>
  <c r="K190" i="37"/>
  <c r="Q189" i="37"/>
  <c r="P189" i="37"/>
  <c r="O189" i="37"/>
  <c r="N189" i="37"/>
  <c r="M189" i="37"/>
  <c r="L189" i="37"/>
  <c r="K189" i="37"/>
  <c r="Q188" i="37"/>
  <c r="P188" i="37"/>
  <c r="O188" i="37"/>
  <c r="N188" i="37"/>
  <c r="M188" i="37"/>
  <c r="L188" i="37"/>
  <c r="K188" i="37"/>
  <c r="Q187" i="37"/>
  <c r="P187" i="37"/>
  <c r="O187" i="37"/>
  <c r="N187" i="37"/>
  <c r="M187" i="37"/>
  <c r="L187" i="37"/>
  <c r="K187" i="37"/>
  <c r="Q186" i="37"/>
  <c r="P186" i="37"/>
  <c r="O186" i="37"/>
  <c r="N186" i="37"/>
  <c r="M186" i="37"/>
  <c r="L186" i="37"/>
  <c r="K186" i="37"/>
  <c r="Q185" i="37"/>
  <c r="P185" i="37"/>
  <c r="O185" i="37"/>
  <c r="N185" i="37"/>
  <c r="M185" i="37"/>
  <c r="L185" i="37"/>
  <c r="K185" i="37"/>
  <c r="Q184" i="37"/>
  <c r="P184" i="37"/>
  <c r="O184" i="37"/>
  <c r="N184" i="37"/>
  <c r="M184" i="37"/>
  <c r="L184" i="37"/>
  <c r="K184" i="37"/>
  <c r="Q183" i="37"/>
  <c r="P183" i="37"/>
  <c r="O183" i="37"/>
  <c r="N183" i="37"/>
  <c r="M183" i="37"/>
  <c r="L183" i="37"/>
  <c r="K183" i="37"/>
  <c r="Q182" i="37"/>
  <c r="P182" i="37"/>
  <c r="O182" i="37"/>
  <c r="N182" i="37"/>
  <c r="M182" i="37"/>
  <c r="L182" i="37"/>
  <c r="K182" i="37"/>
  <c r="Q181" i="37"/>
  <c r="P181" i="37"/>
  <c r="O181" i="37"/>
  <c r="N181" i="37"/>
  <c r="M181" i="37"/>
  <c r="L181" i="37"/>
  <c r="K181" i="37"/>
  <c r="Q180" i="37"/>
  <c r="P180" i="37"/>
  <c r="O180" i="37"/>
  <c r="N180" i="37"/>
  <c r="M180" i="37"/>
  <c r="L180" i="37"/>
  <c r="K180" i="37"/>
  <c r="Q179" i="37"/>
  <c r="P179" i="37"/>
  <c r="O179" i="37"/>
  <c r="N179" i="37"/>
  <c r="M179" i="37"/>
  <c r="L179" i="37"/>
  <c r="K179" i="37"/>
  <c r="Q178" i="37"/>
  <c r="P178" i="37"/>
  <c r="O178" i="37"/>
  <c r="N178" i="37"/>
  <c r="M178" i="37"/>
  <c r="L178" i="37"/>
  <c r="K178" i="37"/>
  <c r="Q177" i="37"/>
  <c r="P177" i="37"/>
  <c r="O177" i="37"/>
  <c r="N177" i="37"/>
  <c r="M177" i="37"/>
  <c r="L177" i="37"/>
  <c r="K177" i="37"/>
  <c r="Q176" i="37"/>
  <c r="P176" i="37"/>
  <c r="O176" i="37"/>
  <c r="N176" i="37"/>
  <c r="M176" i="37"/>
  <c r="L176" i="37"/>
  <c r="K176" i="37"/>
  <c r="Q175" i="37"/>
  <c r="P175" i="37"/>
  <c r="O175" i="37"/>
  <c r="N175" i="37"/>
  <c r="M175" i="37"/>
  <c r="L175" i="37"/>
  <c r="K175" i="37"/>
  <c r="Q174" i="37"/>
  <c r="P174" i="37"/>
  <c r="O174" i="37"/>
  <c r="N174" i="37"/>
  <c r="M174" i="37"/>
  <c r="L174" i="37"/>
  <c r="K174" i="37"/>
  <c r="Q173" i="37"/>
  <c r="P173" i="37"/>
  <c r="O173" i="37"/>
  <c r="N173" i="37"/>
  <c r="M173" i="37"/>
  <c r="L173" i="37"/>
  <c r="K173" i="37"/>
  <c r="Q172" i="37"/>
  <c r="P172" i="37"/>
  <c r="O172" i="37"/>
  <c r="N172" i="37"/>
  <c r="M172" i="37"/>
  <c r="L172" i="37"/>
  <c r="K172" i="37"/>
  <c r="Q171" i="37"/>
  <c r="P171" i="37"/>
  <c r="O171" i="37"/>
  <c r="N171" i="37"/>
  <c r="M171" i="37"/>
  <c r="L171" i="37"/>
  <c r="K171" i="37"/>
  <c r="Q170" i="37"/>
  <c r="P170" i="37"/>
  <c r="O170" i="37"/>
  <c r="N170" i="37"/>
  <c r="M170" i="37"/>
  <c r="L170" i="37"/>
  <c r="K170" i="37"/>
  <c r="Q169" i="37"/>
  <c r="P169" i="37"/>
  <c r="O169" i="37"/>
  <c r="N169" i="37"/>
  <c r="M169" i="37"/>
  <c r="L169" i="37"/>
  <c r="K169" i="37"/>
  <c r="Q168" i="37"/>
  <c r="P168" i="37"/>
  <c r="O168" i="37"/>
  <c r="N168" i="37"/>
  <c r="M168" i="37"/>
  <c r="L168" i="37"/>
  <c r="K168" i="37"/>
  <c r="Q167" i="37"/>
  <c r="P167" i="37"/>
  <c r="O167" i="37"/>
  <c r="N167" i="37"/>
  <c r="M167" i="37"/>
  <c r="L167" i="37"/>
  <c r="K167" i="37"/>
  <c r="Q166" i="37"/>
  <c r="P166" i="37"/>
  <c r="O166" i="37"/>
  <c r="N166" i="37"/>
  <c r="M166" i="37"/>
  <c r="L166" i="37"/>
  <c r="K166" i="37"/>
  <c r="Q165" i="37"/>
  <c r="P165" i="37"/>
  <c r="O165" i="37"/>
  <c r="N165" i="37"/>
  <c r="M165" i="37"/>
  <c r="L165" i="37"/>
  <c r="K165" i="37"/>
  <c r="Q164" i="37"/>
  <c r="P164" i="37"/>
  <c r="O164" i="37"/>
  <c r="N164" i="37"/>
  <c r="M164" i="37"/>
  <c r="L164" i="37"/>
  <c r="K164" i="37"/>
  <c r="Q163" i="37"/>
  <c r="P163" i="37"/>
  <c r="O163" i="37"/>
  <c r="N163" i="37"/>
  <c r="M163" i="37"/>
  <c r="L163" i="37"/>
  <c r="K163" i="37"/>
  <c r="Q162" i="37"/>
  <c r="P162" i="37"/>
  <c r="O162" i="37"/>
  <c r="N162" i="37"/>
  <c r="M162" i="37"/>
  <c r="L162" i="37"/>
  <c r="K162" i="37"/>
  <c r="Q161" i="37"/>
  <c r="P161" i="37"/>
  <c r="O161" i="37"/>
  <c r="N161" i="37"/>
  <c r="M161" i="37"/>
  <c r="L161" i="37"/>
  <c r="K161" i="37"/>
  <c r="Q160" i="37"/>
  <c r="P160" i="37"/>
  <c r="O160" i="37"/>
  <c r="N160" i="37"/>
  <c r="M160" i="37"/>
  <c r="L160" i="37"/>
  <c r="K160" i="37"/>
  <c r="Q159" i="37"/>
  <c r="P159" i="37"/>
  <c r="O159" i="37"/>
  <c r="N159" i="37"/>
  <c r="M159" i="37"/>
  <c r="L159" i="37"/>
  <c r="K159" i="37"/>
  <c r="Q158" i="37"/>
  <c r="P158" i="37"/>
  <c r="O158" i="37"/>
  <c r="N158" i="37"/>
  <c r="M158" i="37"/>
  <c r="L158" i="37"/>
  <c r="K158" i="37"/>
  <c r="Q157" i="37"/>
  <c r="P157" i="37"/>
  <c r="O157" i="37"/>
  <c r="N157" i="37"/>
  <c r="M157" i="37"/>
  <c r="L157" i="37"/>
  <c r="K157" i="37"/>
  <c r="Q156" i="37"/>
  <c r="P156" i="37"/>
  <c r="O156" i="37"/>
  <c r="N156" i="37"/>
  <c r="M156" i="37"/>
  <c r="L156" i="37"/>
  <c r="K156" i="37"/>
  <c r="Q155" i="37"/>
  <c r="P155" i="37"/>
  <c r="O155" i="37"/>
  <c r="N155" i="37"/>
  <c r="M155" i="37"/>
  <c r="L155" i="37"/>
  <c r="K155" i="37"/>
  <c r="Q154" i="37"/>
  <c r="P154" i="37"/>
  <c r="O154" i="37"/>
  <c r="N154" i="37"/>
  <c r="M154" i="37"/>
  <c r="L154" i="37"/>
  <c r="K154" i="37"/>
  <c r="Q153" i="37"/>
  <c r="P153" i="37"/>
  <c r="O153" i="37"/>
  <c r="N153" i="37"/>
  <c r="M153" i="37"/>
  <c r="L153" i="37"/>
  <c r="K153" i="37"/>
  <c r="Q152" i="37"/>
  <c r="P152" i="37"/>
  <c r="O152" i="37"/>
  <c r="N152" i="37"/>
  <c r="M152" i="37"/>
  <c r="L152" i="37"/>
  <c r="K152" i="37"/>
  <c r="Q151" i="37"/>
  <c r="P151" i="37"/>
  <c r="O151" i="37"/>
  <c r="N151" i="37"/>
  <c r="M151" i="37"/>
  <c r="L151" i="37"/>
  <c r="K151" i="37"/>
  <c r="Q150" i="37"/>
  <c r="P150" i="37"/>
  <c r="O150" i="37"/>
  <c r="N150" i="37"/>
  <c r="M150" i="37"/>
  <c r="L150" i="37"/>
  <c r="K150" i="37"/>
  <c r="Q149" i="37"/>
  <c r="P149" i="37"/>
  <c r="O149" i="37"/>
  <c r="N149" i="37"/>
  <c r="M149" i="37"/>
  <c r="L149" i="37"/>
  <c r="K149" i="37"/>
  <c r="Q148" i="37"/>
  <c r="P148" i="37"/>
  <c r="O148" i="37"/>
  <c r="N148" i="37"/>
  <c r="M148" i="37"/>
  <c r="L148" i="37"/>
  <c r="K148" i="37"/>
  <c r="Q147" i="37"/>
  <c r="P147" i="37"/>
  <c r="O147" i="37"/>
  <c r="N147" i="37"/>
  <c r="M147" i="37"/>
  <c r="L147" i="37"/>
  <c r="K147" i="37"/>
  <c r="Q146" i="37"/>
  <c r="P146" i="37"/>
  <c r="O146" i="37"/>
  <c r="N146" i="37"/>
  <c r="M146" i="37"/>
  <c r="L146" i="37"/>
  <c r="K146" i="37"/>
  <c r="Q145" i="37"/>
  <c r="P145" i="37"/>
  <c r="O145" i="37"/>
  <c r="N145" i="37"/>
  <c r="M145" i="37"/>
  <c r="L145" i="37"/>
  <c r="K145" i="37"/>
  <c r="Q144" i="37"/>
  <c r="P144" i="37"/>
  <c r="O144" i="37"/>
  <c r="N144" i="37"/>
  <c r="M144" i="37"/>
  <c r="L144" i="37"/>
  <c r="K144" i="37"/>
  <c r="Q143" i="37"/>
  <c r="P143" i="37"/>
  <c r="O143" i="37"/>
  <c r="N143" i="37"/>
  <c r="M143" i="37"/>
  <c r="L143" i="37"/>
  <c r="K143" i="37"/>
  <c r="Q142" i="37"/>
  <c r="P142" i="37"/>
  <c r="O142" i="37"/>
  <c r="N142" i="37"/>
  <c r="M142" i="37"/>
  <c r="L142" i="37"/>
  <c r="K142" i="37"/>
  <c r="Q141" i="37"/>
  <c r="P141" i="37"/>
  <c r="O141" i="37"/>
  <c r="N141" i="37"/>
  <c r="M141" i="37"/>
  <c r="L141" i="37"/>
  <c r="K141" i="37"/>
  <c r="Q140" i="37"/>
  <c r="P140" i="37"/>
  <c r="O140" i="37"/>
  <c r="N140" i="37"/>
  <c r="M140" i="37"/>
  <c r="L140" i="37"/>
  <c r="K140" i="37"/>
  <c r="Q139" i="37"/>
  <c r="P139" i="37"/>
  <c r="O139" i="37"/>
  <c r="N139" i="37"/>
  <c r="M139" i="37"/>
  <c r="L139" i="37"/>
  <c r="K139" i="37"/>
  <c r="Q138" i="37"/>
  <c r="P138" i="37"/>
  <c r="O138" i="37"/>
  <c r="N138" i="37"/>
  <c r="M138" i="37"/>
  <c r="L138" i="37"/>
  <c r="K138" i="37"/>
  <c r="Q137" i="37"/>
  <c r="P137" i="37"/>
  <c r="O137" i="37"/>
  <c r="N137" i="37"/>
  <c r="M137" i="37"/>
  <c r="L137" i="37"/>
  <c r="K137" i="37"/>
  <c r="Q136" i="37"/>
  <c r="P136" i="37"/>
  <c r="O136" i="37"/>
  <c r="N136" i="37"/>
  <c r="M136" i="37"/>
  <c r="L136" i="37"/>
  <c r="K136" i="37"/>
  <c r="Q135" i="37"/>
  <c r="P135" i="37"/>
  <c r="O135" i="37"/>
  <c r="N135" i="37"/>
  <c r="M135" i="37"/>
  <c r="L135" i="37"/>
  <c r="K135" i="37"/>
  <c r="Q134" i="37"/>
  <c r="P134" i="37"/>
  <c r="O134" i="37"/>
  <c r="N134" i="37"/>
  <c r="M134" i="37"/>
  <c r="L134" i="37"/>
  <c r="K134" i="37"/>
  <c r="Q133" i="37"/>
  <c r="P133" i="37"/>
  <c r="O133" i="37"/>
  <c r="N133" i="37"/>
  <c r="M133" i="37"/>
  <c r="L133" i="37"/>
  <c r="K133" i="37"/>
  <c r="Q132" i="37"/>
  <c r="P132" i="37"/>
  <c r="O132" i="37"/>
  <c r="N132" i="37"/>
  <c r="M132" i="37"/>
  <c r="L132" i="37"/>
  <c r="K132" i="37"/>
  <c r="Q131" i="37"/>
  <c r="P131" i="37"/>
  <c r="O131" i="37"/>
  <c r="N131" i="37"/>
  <c r="M131" i="37"/>
  <c r="L131" i="37"/>
  <c r="K131" i="37"/>
  <c r="Q130" i="37"/>
  <c r="P130" i="37"/>
  <c r="O130" i="37"/>
  <c r="N130" i="37"/>
  <c r="M130" i="37"/>
  <c r="L130" i="37"/>
  <c r="K130" i="37"/>
  <c r="Q129" i="37"/>
  <c r="P129" i="37"/>
  <c r="O129" i="37"/>
  <c r="N129" i="37"/>
  <c r="M129" i="37"/>
  <c r="L129" i="37"/>
  <c r="K129" i="37"/>
  <c r="Q128" i="37"/>
  <c r="P128" i="37"/>
  <c r="O128" i="37"/>
  <c r="N128" i="37"/>
  <c r="M128" i="37"/>
  <c r="L128" i="37"/>
  <c r="K128" i="37"/>
  <c r="Q127" i="37"/>
  <c r="P127" i="37"/>
  <c r="O127" i="37"/>
  <c r="N127" i="37"/>
  <c r="M127" i="37"/>
  <c r="L127" i="37"/>
  <c r="K127" i="37"/>
  <c r="Q126" i="37"/>
  <c r="P126" i="37"/>
  <c r="O126" i="37"/>
  <c r="N126" i="37"/>
  <c r="M126" i="37"/>
  <c r="L126" i="37"/>
  <c r="K126" i="37"/>
  <c r="Q125" i="37"/>
  <c r="P125" i="37"/>
  <c r="O125" i="37"/>
  <c r="N125" i="37"/>
  <c r="M125" i="37"/>
  <c r="L125" i="37"/>
  <c r="K125" i="37"/>
  <c r="Q124" i="37"/>
  <c r="P124" i="37"/>
  <c r="O124" i="37"/>
  <c r="N124" i="37"/>
  <c r="M124" i="37"/>
  <c r="L124" i="37"/>
  <c r="K124" i="37"/>
  <c r="Q123" i="37"/>
  <c r="P123" i="37"/>
  <c r="O123" i="37"/>
  <c r="N123" i="37"/>
  <c r="M123" i="37"/>
  <c r="L123" i="37"/>
  <c r="K123" i="37"/>
  <c r="Q122" i="37"/>
  <c r="P122" i="37"/>
  <c r="O122" i="37"/>
  <c r="N122" i="37"/>
  <c r="M122" i="37"/>
  <c r="L122" i="37"/>
  <c r="K122" i="37"/>
  <c r="Q121" i="37"/>
  <c r="P121" i="37"/>
  <c r="O121" i="37"/>
  <c r="N121" i="37"/>
  <c r="M121" i="37"/>
  <c r="L121" i="37"/>
  <c r="K121" i="37"/>
  <c r="Q120" i="37"/>
  <c r="P120" i="37"/>
  <c r="O120" i="37"/>
  <c r="N120" i="37"/>
  <c r="M120" i="37"/>
  <c r="L120" i="37"/>
  <c r="K120" i="37"/>
  <c r="Q119" i="37"/>
  <c r="P119" i="37"/>
  <c r="O119" i="37"/>
  <c r="N119" i="37"/>
  <c r="M119" i="37"/>
  <c r="L119" i="37"/>
  <c r="K119" i="37"/>
  <c r="Q118" i="37"/>
  <c r="P118" i="37"/>
  <c r="O118" i="37"/>
  <c r="N118" i="37"/>
  <c r="M118" i="37"/>
  <c r="L118" i="37"/>
  <c r="K118" i="37"/>
  <c r="Q117" i="37"/>
  <c r="P117" i="37"/>
  <c r="O117" i="37"/>
  <c r="N117" i="37"/>
  <c r="M117" i="37"/>
  <c r="L117" i="37"/>
  <c r="K117" i="37"/>
  <c r="Q116" i="37"/>
  <c r="P116" i="37"/>
  <c r="O116" i="37"/>
  <c r="N116" i="37"/>
  <c r="M116" i="37"/>
  <c r="L116" i="37"/>
  <c r="K116" i="37"/>
  <c r="Q115" i="37"/>
  <c r="P115" i="37"/>
  <c r="O115" i="37"/>
  <c r="N115" i="37"/>
  <c r="M115" i="37"/>
  <c r="L115" i="37"/>
  <c r="K115" i="37"/>
  <c r="Q114" i="37"/>
  <c r="P114" i="37"/>
  <c r="O114" i="37"/>
  <c r="N114" i="37"/>
  <c r="M114" i="37"/>
  <c r="L114" i="37"/>
  <c r="K114" i="37"/>
  <c r="Q113" i="37"/>
  <c r="P113" i="37"/>
  <c r="O113" i="37"/>
  <c r="N113" i="37"/>
  <c r="M113" i="37"/>
  <c r="L113" i="37"/>
  <c r="K113" i="37"/>
  <c r="Q112" i="37"/>
  <c r="P112" i="37"/>
  <c r="O112" i="37"/>
  <c r="N112" i="37"/>
  <c r="M112" i="37"/>
  <c r="L112" i="37"/>
  <c r="K112" i="37"/>
  <c r="Q111" i="37"/>
  <c r="P111" i="37"/>
  <c r="O111" i="37"/>
  <c r="N111" i="37"/>
  <c r="M111" i="37"/>
  <c r="L111" i="37"/>
  <c r="K111" i="37"/>
  <c r="Q110" i="37"/>
  <c r="P110" i="37"/>
  <c r="O110" i="37"/>
  <c r="N110" i="37"/>
  <c r="M110" i="37"/>
  <c r="L110" i="37"/>
  <c r="K110" i="37"/>
  <c r="Q109" i="37"/>
  <c r="P109" i="37"/>
  <c r="O109" i="37"/>
  <c r="N109" i="37"/>
  <c r="M109" i="37"/>
  <c r="L109" i="37"/>
  <c r="K109" i="37"/>
  <c r="Q108" i="37"/>
  <c r="P108" i="37"/>
  <c r="O108" i="37"/>
  <c r="N108" i="37"/>
  <c r="M108" i="37"/>
  <c r="L108" i="37"/>
  <c r="K108" i="37"/>
  <c r="Q107" i="37"/>
  <c r="P107" i="37"/>
  <c r="O107" i="37"/>
  <c r="N107" i="37"/>
  <c r="M107" i="37"/>
  <c r="L107" i="37"/>
  <c r="K107" i="37"/>
  <c r="Q106" i="37"/>
  <c r="P106" i="37"/>
  <c r="O106" i="37"/>
  <c r="N106" i="37"/>
  <c r="M106" i="37"/>
  <c r="L106" i="37"/>
  <c r="K106" i="37"/>
  <c r="Q105" i="37"/>
  <c r="P105" i="37"/>
  <c r="O105" i="37"/>
  <c r="N105" i="37"/>
  <c r="M105" i="37"/>
  <c r="L105" i="37"/>
  <c r="K105" i="37"/>
  <c r="Q104" i="37"/>
  <c r="P104" i="37"/>
  <c r="O104" i="37"/>
  <c r="N104" i="37"/>
  <c r="M104" i="37"/>
  <c r="L104" i="37"/>
  <c r="K104" i="37"/>
  <c r="Q103" i="37"/>
  <c r="P103" i="37"/>
  <c r="O103" i="37"/>
  <c r="N103" i="37"/>
  <c r="M103" i="37"/>
  <c r="L103" i="37"/>
  <c r="K103" i="37"/>
  <c r="Q102" i="37"/>
  <c r="P102" i="37"/>
  <c r="O102" i="37"/>
  <c r="N102" i="37"/>
  <c r="M102" i="37"/>
  <c r="L102" i="37"/>
  <c r="K102" i="37"/>
  <c r="Q101" i="37"/>
  <c r="P101" i="37"/>
  <c r="O101" i="37"/>
  <c r="N101" i="37"/>
  <c r="M101" i="37"/>
  <c r="L101" i="37"/>
  <c r="K101" i="37"/>
  <c r="Q100" i="37"/>
  <c r="P100" i="37"/>
  <c r="O100" i="37"/>
  <c r="N100" i="37"/>
  <c r="M100" i="37"/>
  <c r="L100" i="37"/>
  <c r="K100" i="37"/>
  <c r="Q99" i="37"/>
  <c r="P99" i="37"/>
  <c r="O99" i="37"/>
  <c r="N99" i="37"/>
  <c r="M99" i="37"/>
  <c r="L99" i="37"/>
  <c r="K99" i="37"/>
  <c r="Q98" i="37"/>
  <c r="P98" i="37"/>
  <c r="O98" i="37"/>
  <c r="N98" i="37"/>
  <c r="M98" i="37"/>
  <c r="L98" i="37"/>
  <c r="K98" i="37"/>
  <c r="Q97" i="37"/>
  <c r="P97" i="37"/>
  <c r="O97" i="37"/>
  <c r="N97" i="37"/>
  <c r="M97" i="37"/>
  <c r="L97" i="37"/>
  <c r="K97" i="37"/>
  <c r="Q96" i="37"/>
  <c r="P96" i="37"/>
  <c r="O96" i="37"/>
  <c r="N96" i="37"/>
  <c r="M96" i="37"/>
  <c r="L96" i="37"/>
  <c r="K96" i="37"/>
  <c r="Q95" i="37"/>
  <c r="P95" i="37"/>
  <c r="O95" i="37"/>
  <c r="N95" i="37"/>
  <c r="M95" i="37"/>
  <c r="L95" i="37"/>
  <c r="K95" i="37"/>
  <c r="Q94" i="37"/>
  <c r="P94" i="37"/>
  <c r="O94" i="37"/>
  <c r="N94" i="37"/>
  <c r="M94" i="37"/>
  <c r="L94" i="37"/>
  <c r="K94" i="37"/>
  <c r="Q93" i="37"/>
  <c r="P93" i="37"/>
  <c r="O93" i="37"/>
  <c r="N93" i="37"/>
  <c r="M93" i="37"/>
  <c r="L93" i="37"/>
  <c r="K93" i="37"/>
  <c r="Q92" i="37"/>
  <c r="P92" i="37"/>
  <c r="O92" i="37"/>
  <c r="N92" i="37"/>
  <c r="M92" i="37"/>
  <c r="L92" i="37"/>
  <c r="K92" i="37"/>
  <c r="Q91" i="37"/>
  <c r="P91" i="37"/>
  <c r="O91" i="37"/>
  <c r="N91" i="37"/>
  <c r="M91" i="37"/>
  <c r="L91" i="37"/>
  <c r="K91" i="37"/>
  <c r="Q90" i="37"/>
  <c r="P90" i="37"/>
  <c r="O90" i="37"/>
  <c r="N90" i="37"/>
  <c r="M90" i="37"/>
  <c r="L90" i="37"/>
  <c r="K90" i="37"/>
  <c r="Q89" i="37"/>
  <c r="P89" i="37"/>
  <c r="O89" i="37"/>
  <c r="N89" i="37"/>
  <c r="M89" i="37"/>
  <c r="L89" i="37"/>
  <c r="K89" i="37"/>
  <c r="Q88" i="37"/>
  <c r="P88" i="37"/>
  <c r="O88" i="37"/>
  <c r="N88" i="37"/>
  <c r="M88" i="37"/>
  <c r="L88" i="37"/>
  <c r="K88" i="37"/>
  <c r="Q87" i="37"/>
  <c r="P87" i="37"/>
  <c r="O87" i="37"/>
  <c r="N87" i="37"/>
  <c r="M87" i="37"/>
  <c r="L87" i="37"/>
  <c r="K87" i="37"/>
  <c r="Q86" i="37"/>
  <c r="P86" i="37"/>
  <c r="O86" i="37"/>
  <c r="N86" i="37"/>
  <c r="M86" i="37"/>
  <c r="L86" i="37"/>
  <c r="K86" i="37"/>
  <c r="Q85" i="37"/>
  <c r="P85" i="37"/>
  <c r="O85" i="37"/>
  <c r="N85" i="37"/>
  <c r="M85" i="37"/>
  <c r="L85" i="37"/>
  <c r="K85" i="37"/>
  <c r="Q84" i="37"/>
  <c r="P84" i="37"/>
  <c r="O84" i="37"/>
  <c r="N84" i="37"/>
  <c r="M84" i="37"/>
  <c r="L84" i="37"/>
  <c r="K84" i="37"/>
  <c r="Q83" i="37"/>
  <c r="P83" i="37"/>
  <c r="O83" i="37"/>
  <c r="N83" i="37"/>
  <c r="M83" i="37"/>
  <c r="L83" i="37"/>
  <c r="K83" i="37"/>
  <c r="Q82" i="37"/>
  <c r="P82" i="37"/>
  <c r="O82" i="37"/>
  <c r="N82" i="37"/>
  <c r="M82" i="37"/>
  <c r="L82" i="37"/>
  <c r="K82" i="37"/>
  <c r="Q81" i="37"/>
  <c r="P81" i="37"/>
  <c r="O81" i="37"/>
  <c r="N81" i="37"/>
  <c r="M81" i="37"/>
  <c r="L81" i="37"/>
  <c r="K81" i="37"/>
  <c r="Q80" i="37"/>
  <c r="P80" i="37"/>
  <c r="O80" i="37"/>
  <c r="N80" i="37"/>
  <c r="M80" i="37"/>
  <c r="L80" i="37"/>
  <c r="K80" i="37"/>
  <c r="Q79" i="37"/>
  <c r="P79" i="37"/>
  <c r="O79" i="37"/>
  <c r="N79" i="37"/>
  <c r="M79" i="37"/>
  <c r="L79" i="37"/>
  <c r="K79" i="37"/>
  <c r="Q78" i="37"/>
  <c r="P78" i="37"/>
  <c r="O78" i="37"/>
  <c r="N78" i="37"/>
  <c r="M78" i="37"/>
  <c r="L78" i="37"/>
  <c r="K78" i="37"/>
  <c r="Q77" i="37"/>
  <c r="P77" i="37"/>
  <c r="O77" i="37"/>
  <c r="N77" i="37"/>
  <c r="M77" i="37"/>
  <c r="L77" i="37"/>
  <c r="K77" i="37"/>
  <c r="Q76" i="37"/>
  <c r="P76" i="37"/>
  <c r="O76" i="37"/>
  <c r="N76" i="37"/>
  <c r="M76" i="37"/>
  <c r="L76" i="37"/>
  <c r="K76" i="37"/>
  <c r="Q75" i="37"/>
  <c r="P75" i="37"/>
  <c r="O75" i="37"/>
  <c r="N75" i="37"/>
  <c r="M75" i="37"/>
  <c r="L75" i="37"/>
  <c r="K75" i="37"/>
  <c r="Q74" i="37"/>
  <c r="P74" i="37"/>
  <c r="O74" i="37"/>
  <c r="N74" i="37"/>
  <c r="M74" i="37"/>
  <c r="L74" i="37"/>
  <c r="K74" i="37"/>
  <c r="Q73" i="37"/>
  <c r="P73" i="37"/>
  <c r="O73" i="37"/>
  <c r="N73" i="37"/>
  <c r="M73" i="37"/>
  <c r="L73" i="37"/>
  <c r="K73" i="37"/>
  <c r="Q72" i="37"/>
  <c r="P72" i="37"/>
  <c r="O72" i="37"/>
  <c r="N72" i="37"/>
  <c r="M72" i="37"/>
  <c r="L72" i="37"/>
  <c r="K72" i="37"/>
  <c r="Q71" i="37"/>
  <c r="P71" i="37"/>
  <c r="O71" i="37"/>
  <c r="N71" i="37"/>
  <c r="M71" i="37"/>
  <c r="L71" i="37"/>
  <c r="K71" i="37"/>
  <c r="Q70" i="37"/>
  <c r="P70" i="37"/>
  <c r="O70" i="37"/>
  <c r="N70" i="37"/>
  <c r="M70" i="37"/>
  <c r="L70" i="37"/>
  <c r="K70" i="37"/>
  <c r="Q69" i="37"/>
  <c r="P69" i="37"/>
  <c r="O69" i="37"/>
  <c r="N69" i="37"/>
  <c r="M69" i="37"/>
  <c r="L69" i="37"/>
  <c r="K69" i="37"/>
  <c r="Q68" i="37"/>
  <c r="P68" i="37"/>
  <c r="O68" i="37"/>
  <c r="N68" i="37"/>
  <c r="M68" i="37"/>
  <c r="L68" i="37"/>
  <c r="K68" i="37"/>
  <c r="Q67" i="37"/>
  <c r="P67" i="37"/>
  <c r="O67" i="37"/>
  <c r="N67" i="37"/>
  <c r="M67" i="37"/>
  <c r="L67" i="37"/>
  <c r="K67" i="37"/>
  <c r="Q66" i="37"/>
  <c r="P66" i="37"/>
  <c r="O66" i="37"/>
  <c r="N66" i="37"/>
  <c r="M66" i="37"/>
  <c r="L66" i="37"/>
  <c r="K66" i="37"/>
  <c r="Q65" i="37"/>
  <c r="P65" i="37"/>
  <c r="O65" i="37"/>
  <c r="N65" i="37"/>
  <c r="M65" i="37"/>
  <c r="L65" i="37"/>
  <c r="K65" i="37"/>
  <c r="Q64" i="37"/>
  <c r="P64" i="37"/>
  <c r="O64" i="37"/>
  <c r="N64" i="37"/>
  <c r="M64" i="37"/>
  <c r="L64" i="37"/>
  <c r="K64" i="37"/>
  <c r="Q63" i="37"/>
  <c r="P63" i="37"/>
  <c r="O63" i="37"/>
  <c r="N63" i="37"/>
  <c r="M63" i="37"/>
  <c r="L63" i="37"/>
  <c r="K63" i="37"/>
  <c r="Q62" i="37"/>
  <c r="P62" i="37"/>
  <c r="O62" i="37"/>
  <c r="N62" i="37"/>
  <c r="M62" i="37"/>
  <c r="L62" i="37"/>
  <c r="K62" i="37"/>
  <c r="Q61" i="37"/>
  <c r="P61" i="37"/>
  <c r="O61" i="37"/>
  <c r="N61" i="37"/>
  <c r="M61" i="37"/>
  <c r="L61" i="37"/>
  <c r="K61" i="37"/>
  <c r="Q60" i="37"/>
  <c r="P60" i="37"/>
  <c r="O60" i="37"/>
  <c r="N60" i="37"/>
  <c r="M60" i="37"/>
  <c r="L60" i="37"/>
  <c r="K60" i="37"/>
  <c r="Q59" i="37"/>
  <c r="P59" i="37"/>
  <c r="O59" i="37"/>
  <c r="N59" i="37"/>
  <c r="M59" i="37"/>
  <c r="L59" i="37"/>
  <c r="K59" i="37"/>
  <c r="Q58" i="37"/>
  <c r="P58" i="37"/>
  <c r="O58" i="37"/>
  <c r="N58" i="37"/>
  <c r="M58" i="37"/>
  <c r="L58" i="37"/>
  <c r="K58" i="37"/>
  <c r="Q57" i="37"/>
  <c r="P57" i="37"/>
  <c r="O57" i="37"/>
  <c r="N57" i="37"/>
  <c r="M57" i="37"/>
  <c r="L57" i="37"/>
  <c r="K57" i="37"/>
  <c r="Q56" i="37"/>
  <c r="P56" i="37"/>
  <c r="O56" i="37"/>
  <c r="N56" i="37"/>
  <c r="M56" i="37"/>
  <c r="L56" i="37"/>
  <c r="K56" i="37"/>
  <c r="Q55" i="37"/>
  <c r="P55" i="37"/>
  <c r="O55" i="37"/>
  <c r="N55" i="37"/>
  <c r="M55" i="37"/>
  <c r="L55" i="37"/>
  <c r="K55" i="37"/>
  <c r="Q54" i="37"/>
  <c r="P54" i="37"/>
  <c r="O54" i="37"/>
  <c r="N54" i="37"/>
  <c r="M54" i="37"/>
  <c r="L54" i="37"/>
  <c r="K54" i="37"/>
  <c r="Q53" i="37"/>
  <c r="P53" i="37"/>
  <c r="O53" i="37"/>
  <c r="N53" i="37"/>
  <c r="M53" i="37"/>
  <c r="L53" i="37"/>
  <c r="K53" i="37"/>
  <c r="Q52" i="37"/>
  <c r="P52" i="37"/>
  <c r="O52" i="37"/>
  <c r="N52" i="37"/>
  <c r="M52" i="37"/>
  <c r="L52" i="37"/>
  <c r="K52" i="37"/>
  <c r="Q51" i="37"/>
  <c r="P51" i="37"/>
  <c r="O51" i="37"/>
  <c r="N51" i="37"/>
  <c r="M51" i="37"/>
  <c r="L51" i="37"/>
  <c r="K51" i="37"/>
  <c r="Q50" i="37"/>
  <c r="P50" i="37"/>
  <c r="O50" i="37"/>
  <c r="N50" i="37"/>
  <c r="M50" i="37"/>
  <c r="L50" i="37"/>
  <c r="K50" i="37"/>
  <c r="Q49" i="37"/>
  <c r="P49" i="37"/>
  <c r="O49" i="37"/>
  <c r="N49" i="37"/>
  <c r="M49" i="37"/>
  <c r="L49" i="37"/>
  <c r="K49" i="37"/>
  <c r="Q48" i="37"/>
  <c r="P48" i="37"/>
  <c r="O48" i="37"/>
  <c r="N48" i="37"/>
  <c r="M48" i="37"/>
  <c r="L48" i="37"/>
  <c r="K48" i="37"/>
  <c r="Q47" i="37"/>
  <c r="P47" i="37"/>
  <c r="O47" i="37"/>
  <c r="N47" i="37"/>
  <c r="M47" i="37"/>
  <c r="L47" i="37"/>
  <c r="K47" i="37"/>
  <c r="Q46" i="37"/>
  <c r="P46" i="37"/>
  <c r="O46" i="37"/>
  <c r="N46" i="37"/>
  <c r="M46" i="37"/>
  <c r="L46" i="37"/>
  <c r="K46" i="37"/>
  <c r="Q45" i="37"/>
  <c r="P45" i="37"/>
  <c r="O45" i="37"/>
  <c r="N45" i="37"/>
  <c r="M45" i="37"/>
  <c r="L45" i="37"/>
  <c r="K45" i="37"/>
  <c r="Q44" i="37"/>
  <c r="P44" i="37"/>
  <c r="O44" i="37"/>
  <c r="N44" i="37"/>
  <c r="M44" i="37"/>
  <c r="L44" i="37"/>
  <c r="K44" i="37"/>
  <c r="Q43" i="37"/>
  <c r="P43" i="37"/>
  <c r="O43" i="37"/>
  <c r="N43" i="37"/>
  <c r="M43" i="37"/>
  <c r="L43" i="37"/>
  <c r="K43" i="37"/>
  <c r="Q42" i="37"/>
  <c r="P42" i="37"/>
  <c r="O42" i="37"/>
  <c r="N42" i="37"/>
  <c r="M42" i="37"/>
  <c r="L42" i="37"/>
  <c r="K42" i="37"/>
  <c r="Q41" i="37"/>
  <c r="P41" i="37"/>
  <c r="O41" i="37"/>
  <c r="N41" i="37"/>
  <c r="M41" i="37"/>
  <c r="L41" i="37"/>
  <c r="K41" i="37"/>
  <c r="Q40" i="37"/>
  <c r="P40" i="37"/>
  <c r="O40" i="37"/>
  <c r="N40" i="37"/>
  <c r="M40" i="37"/>
  <c r="L40" i="37"/>
  <c r="K40" i="37"/>
  <c r="Q39" i="37"/>
  <c r="P39" i="37"/>
  <c r="O39" i="37"/>
  <c r="N39" i="37"/>
  <c r="M39" i="37"/>
  <c r="L39" i="37"/>
  <c r="K39" i="37"/>
  <c r="Q38" i="37"/>
  <c r="P38" i="37"/>
  <c r="O38" i="37"/>
  <c r="N38" i="37"/>
  <c r="M38" i="37"/>
  <c r="L38" i="37"/>
  <c r="K38" i="37"/>
  <c r="Q37" i="37"/>
  <c r="P37" i="37"/>
  <c r="O37" i="37"/>
  <c r="N37" i="37"/>
  <c r="M37" i="37"/>
  <c r="L37" i="37"/>
  <c r="K37" i="37"/>
  <c r="Q36" i="37"/>
  <c r="P36" i="37"/>
  <c r="O36" i="37"/>
  <c r="N36" i="37"/>
  <c r="M36" i="37"/>
  <c r="L36" i="37"/>
  <c r="K36" i="37"/>
  <c r="Q35" i="37"/>
  <c r="P35" i="37"/>
  <c r="O35" i="37"/>
  <c r="N35" i="37"/>
  <c r="M35" i="37"/>
  <c r="L35" i="37"/>
  <c r="K35" i="37"/>
  <c r="Q34" i="37"/>
  <c r="P34" i="37"/>
  <c r="O34" i="37"/>
  <c r="N34" i="37"/>
  <c r="M34" i="37"/>
  <c r="L34" i="37"/>
  <c r="K34" i="37"/>
  <c r="Q33" i="37"/>
  <c r="P33" i="37"/>
  <c r="O33" i="37"/>
  <c r="N33" i="37"/>
  <c r="M33" i="37"/>
  <c r="L33" i="37"/>
  <c r="K33" i="37"/>
  <c r="Q32" i="37"/>
  <c r="P32" i="37"/>
  <c r="O32" i="37"/>
  <c r="N32" i="37"/>
  <c r="M32" i="37"/>
  <c r="L32" i="37"/>
  <c r="K32" i="37"/>
  <c r="Q31" i="37"/>
  <c r="P31" i="37"/>
  <c r="O31" i="37"/>
  <c r="N31" i="37"/>
  <c r="M31" i="37"/>
  <c r="L31" i="37"/>
  <c r="K31" i="37"/>
  <c r="Q30" i="37"/>
  <c r="P30" i="37"/>
  <c r="O30" i="37"/>
  <c r="N30" i="37"/>
  <c r="M30" i="37"/>
  <c r="L30" i="37"/>
  <c r="K30" i="37"/>
  <c r="Q29" i="37"/>
  <c r="P29" i="37"/>
  <c r="O29" i="37"/>
  <c r="N29" i="37"/>
  <c r="M29" i="37"/>
  <c r="L29" i="37"/>
  <c r="K29" i="37"/>
  <c r="Q28" i="37"/>
  <c r="P28" i="37"/>
  <c r="O28" i="37"/>
  <c r="N28" i="37"/>
  <c r="M28" i="37"/>
  <c r="L28" i="37"/>
  <c r="K28" i="37"/>
  <c r="Q27" i="37"/>
  <c r="P27" i="37"/>
  <c r="O27" i="37"/>
  <c r="N27" i="37"/>
  <c r="M27" i="37"/>
  <c r="L27" i="37"/>
  <c r="K27" i="37"/>
  <c r="Q26" i="37"/>
  <c r="P26" i="37"/>
  <c r="O26" i="37"/>
  <c r="N26" i="37"/>
  <c r="M26" i="37"/>
  <c r="L26" i="37"/>
  <c r="K26" i="37"/>
  <c r="Q25" i="37"/>
  <c r="P25" i="37"/>
  <c r="O25" i="37"/>
  <c r="N25" i="37"/>
  <c r="M25" i="37"/>
  <c r="L25" i="37"/>
  <c r="K25" i="37"/>
  <c r="Q24" i="37"/>
  <c r="P24" i="37"/>
  <c r="O24" i="37"/>
  <c r="N24" i="37"/>
  <c r="M24" i="37"/>
  <c r="L24" i="37"/>
  <c r="K24" i="37"/>
  <c r="Q23" i="37"/>
  <c r="P23" i="37"/>
  <c r="O23" i="37"/>
  <c r="N23" i="37"/>
  <c r="M23" i="37"/>
  <c r="L23" i="37"/>
  <c r="K23" i="37"/>
  <c r="Q22" i="37"/>
  <c r="P22" i="37"/>
  <c r="O22" i="37"/>
  <c r="N22" i="37"/>
  <c r="M22" i="37"/>
  <c r="L22" i="37"/>
  <c r="K22" i="37"/>
  <c r="Q21" i="37"/>
  <c r="P21" i="37"/>
  <c r="O21" i="37"/>
  <c r="N21" i="37"/>
  <c r="M21" i="37"/>
  <c r="L21" i="37"/>
  <c r="K21" i="37"/>
  <c r="Q20" i="37"/>
  <c r="P20" i="37"/>
  <c r="O20" i="37"/>
  <c r="N20" i="37"/>
  <c r="M20" i="37"/>
  <c r="L20" i="37"/>
  <c r="K20" i="37"/>
  <c r="Q19" i="37"/>
  <c r="P19" i="37"/>
  <c r="O19" i="37"/>
  <c r="N19" i="37"/>
  <c r="M19" i="37"/>
  <c r="L19" i="37"/>
  <c r="K19" i="37"/>
  <c r="Q18" i="37"/>
  <c r="P18" i="37"/>
  <c r="O18" i="37"/>
  <c r="N18" i="37"/>
  <c r="M18" i="37"/>
  <c r="L18" i="37"/>
  <c r="K18" i="37"/>
  <c r="Q17" i="37"/>
  <c r="P17" i="37"/>
  <c r="O17" i="37"/>
  <c r="N17" i="37"/>
  <c r="M17" i="37"/>
  <c r="L17" i="37"/>
  <c r="K17" i="37"/>
  <c r="Q16" i="37"/>
  <c r="P16" i="37"/>
  <c r="O16" i="37"/>
  <c r="N16" i="37"/>
  <c r="M16" i="37"/>
  <c r="L16" i="37"/>
  <c r="K16" i="37"/>
  <c r="Q15" i="37"/>
  <c r="P15" i="37"/>
  <c r="O15" i="37"/>
  <c r="N15" i="37"/>
  <c r="M15" i="37"/>
  <c r="L15" i="37"/>
  <c r="K15" i="37"/>
  <c r="Q14" i="37"/>
  <c r="P14" i="37"/>
  <c r="O14" i="37"/>
  <c r="N14" i="37"/>
  <c r="M14" i="37"/>
  <c r="L14" i="37"/>
  <c r="K14" i="37"/>
  <c r="A2" i="58"/>
  <c r="Q203" i="58"/>
  <c r="P203" i="58"/>
  <c r="O203" i="58"/>
  <c r="N203" i="58"/>
  <c r="M203" i="58"/>
  <c r="L203" i="58"/>
  <c r="K203" i="58"/>
  <c r="Q202" i="58"/>
  <c r="P202" i="58"/>
  <c r="O202" i="58"/>
  <c r="N202" i="58"/>
  <c r="M202" i="58"/>
  <c r="L202" i="58"/>
  <c r="K202" i="58"/>
  <c r="Q201" i="58"/>
  <c r="P201" i="58"/>
  <c r="O201" i="58"/>
  <c r="N201" i="58"/>
  <c r="M201" i="58"/>
  <c r="L201" i="58"/>
  <c r="K201" i="58"/>
  <c r="Q200" i="58"/>
  <c r="P200" i="58"/>
  <c r="O200" i="58"/>
  <c r="N200" i="58"/>
  <c r="M200" i="58"/>
  <c r="L200" i="58"/>
  <c r="K200" i="58"/>
  <c r="Q199" i="58"/>
  <c r="P199" i="58"/>
  <c r="O199" i="58"/>
  <c r="N199" i="58"/>
  <c r="M199" i="58"/>
  <c r="L199" i="58"/>
  <c r="K199" i="58"/>
  <c r="Q198" i="58"/>
  <c r="P198" i="58"/>
  <c r="O198" i="58"/>
  <c r="N198" i="58"/>
  <c r="M198" i="58"/>
  <c r="L198" i="58"/>
  <c r="K198" i="58"/>
  <c r="Q197" i="58"/>
  <c r="P197" i="58"/>
  <c r="O197" i="58"/>
  <c r="N197" i="58"/>
  <c r="M197" i="58"/>
  <c r="L197" i="58"/>
  <c r="K197" i="58"/>
  <c r="Q196" i="58"/>
  <c r="P196" i="58"/>
  <c r="O196" i="58"/>
  <c r="N196" i="58"/>
  <c r="M196" i="58"/>
  <c r="L196" i="58"/>
  <c r="K196" i="58"/>
  <c r="Q195" i="58"/>
  <c r="P195" i="58"/>
  <c r="O195" i="58"/>
  <c r="N195" i="58"/>
  <c r="M195" i="58"/>
  <c r="L195" i="58"/>
  <c r="K195" i="58"/>
  <c r="Q194" i="58"/>
  <c r="P194" i="58"/>
  <c r="O194" i="58"/>
  <c r="N194" i="58"/>
  <c r="M194" i="58"/>
  <c r="L194" i="58"/>
  <c r="K194" i="58"/>
  <c r="Q193" i="58"/>
  <c r="P193" i="58"/>
  <c r="O193" i="58"/>
  <c r="N193" i="58"/>
  <c r="M193" i="58"/>
  <c r="L193" i="58"/>
  <c r="K193" i="58"/>
  <c r="Q192" i="58"/>
  <c r="P192" i="58"/>
  <c r="O192" i="58"/>
  <c r="N192" i="58"/>
  <c r="M192" i="58"/>
  <c r="L192" i="58"/>
  <c r="K192" i="58"/>
  <c r="Q191" i="58"/>
  <c r="P191" i="58"/>
  <c r="O191" i="58"/>
  <c r="N191" i="58"/>
  <c r="M191" i="58"/>
  <c r="L191" i="58"/>
  <c r="K191" i="58"/>
  <c r="Q190" i="58"/>
  <c r="P190" i="58"/>
  <c r="O190" i="58"/>
  <c r="N190" i="58"/>
  <c r="M190" i="58"/>
  <c r="L190" i="58"/>
  <c r="K190" i="58"/>
  <c r="Q189" i="58"/>
  <c r="P189" i="58"/>
  <c r="O189" i="58"/>
  <c r="N189" i="58"/>
  <c r="M189" i="58"/>
  <c r="L189" i="58"/>
  <c r="K189" i="58"/>
  <c r="Q188" i="58"/>
  <c r="P188" i="58"/>
  <c r="O188" i="58"/>
  <c r="N188" i="58"/>
  <c r="M188" i="58"/>
  <c r="L188" i="58"/>
  <c r="K188" i="58"/>
  <c r="Q187" i="58"/>
  <c r="P187" i="58"/>
  <c r="O187" i="58"/>
  <c r="N187" i="58"/>
  <c r="M187" i="58"/>
  <c r="L187" i="58"/>
  <c r="K187" i="58"/>
  <c r="Q186" i="58"/>
  <c r="P186" i="58"/>
  <c r="O186" i="58"/>
  <c r="N186" i="58"/>
  <c r="M186" i="58"/>
  <c r="L186" i="58"/>
  <c r="K186" i="58"/>
  <c r="Q185" i="58"/>
  <c r="P185" i="58"/>
  <c r="O185" i="58"/>
  <c r="N185" i="58"/>
  <c r="M185" i="58"/>
  <c r="L185" i="58"/>
  <c r="K185" i="58"/>
  <c r="Q184" i="58"/>
  <c r="P184" i="58"/>
  <c r="O184" i="58"/>
  <c r="N184" i="58"/>
  <c r="M184" i="58"/>
  <c r="L184" i="58"/>
  <c r="K184" i="58"/>
  <c r="Q183" i="58"/>
  <c r="P183" i="58"/>
  <c r="O183" i="58"/>
  <c r="N183" i="58"/>
  <c r="M183" i="58"/>
  <c r="L183" i="58"/>
  <c r="K183" i="58"/>
  <c r="Q182" i="58"/>
  <c r="P182" i="58"/>
  <c r="O182" i="58"/>
  <c r="N182" i="58"/>
  <c r="M182" i="58"/>
  <c r="L182" i="58"/>
  <c r="K182" i="58"/>
  <c r="Q181" i="58"/>
  <c r="P181" i="58"/>
  <c r="O181" i="58"/>
  <c r="N181" i="58"/>
  <c r="M181" i="58"/>
  <c r="L181" i="58"/>
  <c r="K181" i="58"/>
  <c r="Q180" i="58"/>
  <c r="P180" i="58"/>
  <c r="O180" i="58"/>
  <c r="N180" i="58"/>
  <c r="M180" i="58"/>
  <c r="L180" i="58"/>
  <c r="K180" i="58"/>
  <c r="Q179" i="58"/>
  <c r="P179" i="58"/>
  <c r="O179" i="58"/>
  <c r="N179" i="58"/>
  <c r="M179" i="58"/>
  <c r="L179" i="58"/>
  <c r="K179" i="58"/>
  <c r="Q178" i="58"/>
  <c r="P178" i="58"/>
  <c r="O178" i="58"/>
  <c r="N178" i="58"/>
  <c r="M178" i="58"/>
  <c r="L178" i="58"/>
  <c r="K178" i="58"/>
  <c r="Q177" i="58"/>
  <c r="P177" i="58"/>
  <c r="O177" i="58"/>
  <c r="N177" i="58"/>
  <c r="M177" i="58"/>
  <c r="L177" i="58"/>
  <c r="K177" i="58"/>
  <c r="Q176" i="58"/>
  <c r="P176" i="58"/>
  <c r="O176" i="58"/>
  <c r="N176" i="58"/>
  <c r="M176" i="58"/>
  <c r="L176" i="58"/>
  <c r="K176" i="58"/>
  <c r="Q175" i="58"/>
  <c r="P175" i="58"/>
  <c r="O175" i="58"/>
  <c r="N175" i="58"/>
  <c r="M175" i="58"/>
  <c r="L175" i="58"/>
  <c r="K175" i="58"/>
  <c r="Q174" i="58"/>
  <c r="P174" i="58"/>
  <c r="O174" i="58"/>
  <c r="N174" i="58"/>
  <c r="M174" i="58"/>
  <c r="L174" i="58"/>
  <c r="K174" i="58"/>
  <c r="Q173" i="58"/>
  <c r="P173" i="58"/>
  <c r="O173" i="58"/>
  <c r="N173" i="58"/>
  <c r="M173" i="58"/>
  <c r="L173" i="58"/>
  <c r="K173" i="58"/>
  <c r="Q172" i="58"/>
  <c r="P172" i="58"/>
  <c r="O172" i="58"/>
  <c r="N172" i="58"/>
  <c r="M172" i="58"/>
  <c r="L172" i="58"/>
  <c r="K172" i="58"/>
  <c r="Q171" i="58"/>
  <c r="P171" i="58"/>
  <c r="O171" i="58"/>
  <c r="N171" i="58"/>
  <c r="M171" i="58"/>
  <c r="L171" i="58"/>
  <c r="K171" i="58"/>
  <c r="Q170" i="58"/>
  <c r="P170" i="58"/>
  <c r="O170" i="58"/>
  <c r="N170" i="58"/>
  <c r="M170" i="58"/>
  <c r="L170" i="58"/>
  <c r="K170" i="58"/>
  <c r="Q169" i="58"/>
  <c r="P169" i="58"/>
  <c r="O169" i="58"/>
  <c r="N169" i="58"/>
  <c r="M169" i="58"/>
  <c r="L169" i="58"/>
  <c r="K169" i="58"/>
  <c r="Q168" i="58"/>
  <c r="P168" i="58"/>
  <c r="O168" i="58"/>
  <c r="N168" i="58"/>
  <c r="M168" i="58"/>
  <c r="L168" i="58"/>
  <c r="K168" i="58"/>
  <c r="Q167" i="58"/>
  <c r="P167" i="58"/>
  <c r="O167" i="58"/>
  <c r="N167" i="58"/>
  <c r="M167" i="58"/>
  <c r="L167" i="58"/>
  <c r="K167" i="58"/>
  <c r="Q166" i="58"/>
  <c r="P166" i="58"/>
  <c r="O166" i="58"/>
  <c r="N166" i="58"/>
  <c r="M166" i="58"/>
  <c r="L166" i="58"/>
  <c r="K166" i="58"/>
  <c r="Q165" i="58"/>
  <c r="P165" i="58"/>
  <c r="O165" i="58"/>
  <c r="N165" i="58"/>
  <c r="M165" i="58"/>
  <c r="L165" i="58"/>
  <c r="K165" i="58"/>
  <c r="Q164" i="58"/>
  <c r="P164" i="58"/>
  <c r="O164" i="58"/>
  <c r="N164" i="58"/>
  <c r="M164" i="58"/>
  <c r="L164" i="58"/>
  <c r="K164" i="58"/>
  <c r="Q163" i="58"/>
  <c r="P163" i="58"/>
  <c r="O163" i="58"/>
  <c r="N163" i="58"/>
  <c r="M163" i="58"/>
  <c r="L163" i="58"/>
  <c r="K163" i="58"/>
  <c r="Q162" i="58"/>
  <c r="P162" i="58"/>
  <c r="O162" i="58"/>
  <c r="N162" i="58"/>
  <c r="M162" i="58"/>
  <c r="L162" i="58"/>
  <c r="K162" i="58"/>
  <c r="Q161" i="58"/>
  <c r="P161" i="58"/>
  <c r="O161" i="58"/>
  <c r="N161" i="58"/>
  <c r="M161" i="58"/>
  <c r="L161" i="58"/>
  <c r="K161" i="58"/>
  <c r="Q160" i="58"/>
  <c r="P160" i="58"/>
  <c r="O160" i="58"/>
  <c r="N160" i="58"/>
  <c r="M160" i="58"/>
  <c r="L160" i="58"/>
  <c r="K160" i="58"/>
  <c r="Q159" i="58"/>
  <c r="P159" i="58"/>
  <c r="O159" i="58"/>
  <c r="N159" i="58"/>
  <c r="M159" i="58"/>
  <c r="L159" i="58"/>
  <c r="K159" i="58"/>
  <c r="Q158" i="58"/>
  <c r="P158" i="58"/>
  <c r="O158" i="58"/>
  <c r="N158" i="58"/>
  <c r="M158" i="58"/>
  <c r="L158" i="58"/>
  <c r="K158" i="58"/>
  <c r="Q157" i="58"/>
  <c r="P157" i="58"/>
  <c r="O157" i="58"/>
  <c r="N157" i="58"/>
  <c r="M157" i="58"/>
  <c r="L157" i="58"/>
  <c r="K157" i="58"/>
  <c r="Q156" i="58"/>
  <c r="P156" i="58"/>
  <c r="O156" i="58"/>
  <c r="N156" i="58"/>
  <c r="M156" i="58"/>
  <c r="L156" i="58"/>
  <c r="K156" i="58"/>
  <c r="Q155" i="58"/>
  <c r="P155" i="58"/>
  <c r="O155" i="58"/>
  <c r="N155" i="58"/>
  <c r="M155" i="58"/>
  <c r="L155" i="58"/>
  <c r="K155" i="58"/>
  <c r="Q154" i="58"/>
  <c r="P154" i="58"/>
  <c r="O154" i="58"/>
  <c r="N154" i="58"/>
  <c r="M154" i="58"/>
  <c r="L154" i="58"/>
  <c r="K154" i="58"/>
  <c r="Q153" i="58"/>
  <c r="P153" i="58"/>
  <c r="O153" i="58"/>
  <c r="N153" i="58"/>
  <c r="M153" i="58"/>
  <c r="L153" i="58"/>
  <c r="K153" i="58"/>
  <c r="Q152" i="58"/>
  <c r="P152" i="58"/>
  <c r="O152" i="58"/>
  <c r="N152" i="58"/>
  <c r="M152" i="58"/>
  <c r="L152" i="58"/>
  <c r="K152" i="58"/>
  <c r="Q151" i="58"/>
  <c r="P151" i="58"/>
  <c r="O151" i="58"/>
  <c r="N151" i="58"/>
  <c r="M151" i="58"/>
  <c r="L151" i="58"/>
  <c r="K151" i="58"/>
  <c r="Q150" i="58"/>
  <c r="P150" i="58"/>
  <c r="O150" i="58"/>
  <c r="N150" i="58"/>
  <c r="M150" i="58"/>
  <c r="L150" i="58"/>
  <c r="K150" i="58"/>
  <c r="Q149" i="58"/>
  <c r="P149" i="58"/>
  <c r="O149" i="58"/>
  <c r="N149" i="58"/>
  <c r="M149" i="58"/>
  <c r="L149" i="58"/>
  <c r="K149" i="58"/>
  <c r="Q148" i="58"/>
  <c r="P148" i="58"/>
  <c r="O148" i="58"/>
  <c r="N148" i="58"/>
  <c r="M148" i="58"/>
  <c r="L148" i="58"/>
  <c r="K148" i="58"/>
  <c r="Q147" i="58"/>
  <c r="P147" i="58"/>
  <c r="O147" i="58"/>
  <c r="N147" i="58"/>
  <c r="M147" i="58"/>
  <c r="L147" i="58"/>
  <c r="K147" i="58"/>
  <c r="Q146" i="58"/>
  <c r="P146" i="58"/>
  <c r="O146" i="58"/>
  <c r="N146" i="58"/>
  <c r="M146" i="58"/>
  <c r="L146" i="58"/>
  <c r="K146" i="58"/>
  <c r="Q145" i="58"/>
  <c r="P145" i="58"/>
  <c r="O145" i="58"/>
  <c r="N145" i="58"/>
  <c r="M145" i="58"/>
  <c r="L145" i="58"/>
  <c r="K145" i="58"/>
  <c r="Q144" i="58"/>
  <c r="P144" i="58"/>
  <c r="O144" i="58"/>
  <c r="N144" i="58"/>
  <c r="M144" i="58"/>
  <c r="L144" i="58"/>
  <c r="K144" i="58"/>
  <c r="Q143" i="58"/>
  <c r="P143" i="58"/>
  <c r="O143" i="58"/>
  <c r="N143" i="58"/>
  <c r="M143" i="58"/>
  <c r="L143" i="58"/>
  <c r="K143" i="58"/>
  <c r="Q142" i="58"/>
  <c r="P142" i="58"/>
  <c r="O142" i="58"/>
  <c r="N142" i="58"/>
  <c r="M142" i="58"/>
  <c r="L142" i="58"/>
  <c r="K142" i="58"/>
  <c r="Q141" i="58"/>
  <c r="P141" i="58"/>
  <c r="O141" i="58"/>
  <c r="N141" i="58"/>
  <c r="M141" i="58"/>
  <c r="L141" i="58"/>
  <c r="K141" i="58"/>
  <c r="Q140" i="58"/>
  <c r="P140" i="58"/>
  <c r="O140" i="58"/>
  <c r="N140" i="58"/>
  <c r="M140" i="58"/>
  <c r="L140" i="58"/>
  <c r="K140" i="58"/>
  <c r="Q139" i="58"/>
  <c r="P139" i="58"/>
  <c r="O139" i="58"/>
  <c r="N139" i="58"/>
  <c r="M139" i="58"/>
  <c r="L139" i="58"/>
  <c r="K139" i="58"/>
  <c r="Q138" i="58"/>
  <c r="P138" i="58"/>
  <c r="O138" i="58"/>
  <c r="N138" i="58"/>
  <c r="M138" i="58"/>
  <c r="L138" i="58"/>
  <c r="K138" i="58"/>
  <c r="Q137" i="58"/>
  <c r="P137" i="58"/>
  <c r="O137" i="58"/>
  <c r="N137" i="58"/>
  <c r="M137" i="58"/>
  <c r="L137" i="58"/>
  <c r="K137" i="58"/>
  <c r="Q136" i="58"/>
  <c r="P136" i="58"/>
  <c r="O136" i="58"/>
  <c r="N136" i="58"/>
  <c r="M136" i="58"/>
  <c r="L136" i="58"/>
  <c r="K136" i="58"/>
  <c r="Q135" i="58"/>
  <c r="P135" i="58"/>
  <c r="O135" i="58"/>
  <c r="N135" i="58"/>
  <c r="M135" i="58"/>
  <c r="L135" i="58"/>
  <c r="K135" i="58"/>
  <c r="Q134" i="58"/>
  <c r="P134" i="58"/>
  <c r="O134" i="58"/>
  <c r="N134" i="58"/>
  <c r="M134" i="58"/>
  <c r="L134" i="58"/>
  <c r="K134" i="58"/>
  <c r="Q133" i="58"/>
  <c r="P133" i="58"/>
  <c r="O133" i="58"/>
  <c r="N133" i="58"/>
  <c r="M133" i="58"/>
  <c r="L133" i="58"/>
  <c r="K133" i="58"/>
  <c r="Q132" i="58"/>
  <c r="P132" i="58"/>
  <c r="O132" i="58"/>
  <c r="N132" i="58"/>
  <c r="M132" i="58"/>
  <c r="L132" i="58"/>
  <c r="K132" i="58"/>
  <c r="Q131" i="58"/>
  <c r="P131" i="58"/>
  <c r="O131" i="58"/>
  <c r="N131" i="58"/>
  <c r="M131" i="58"/>
  <c r="L131" i="58"/>
  <c r="K131" i="58"/>
  <c r="Q130" i="58"/>
  <c r="P130" i="58"/>
  <c r="O130" i="58"/>
  <c r="N130" i="58"/>
  <c r="M130" i="58"/>
  <c r="L130" i="58"/>
  <c r="K130" i="58"/>
  <c r="Q129" i="58"/>
  <c r="P129" i="58"/>
  <c r="O129" i="58"/>
  <c r="N129" i="58"/>
  <c r="M129" i="58"/>
  <c r="L129" i="58"/>
  <c r="K129" i="58"/>
  <c r="Q128" i="58"/>
  <c r="P128" i="58"/>
  <c r="O128" i="58"/>
  <c r="N128" i="58"/>
  <c r="M128" i="58"/>
  <c r="L128" i="58"/>
  <c r="K128" i="58"/>
  <c r="Q127" i="58"/>
  <c r="P127" i="58"/>
  <c r="O127" i="58"/>
  <c r="N127" i="58"/>
  <c r="M127" i="58"/>
  <c r="L127" i="58"/>
  <c r="K127" i="58"/>
  <c r="Q126" i="58"/>
  <c r="P126" i="58"/>
  <c r="O126" i="58"/>
  <c r="N126" i="58"/>
  <c r="M126" i="58"/>
  <c r="L126" i="58"/>
  <c r="K126" i="58"/>
  <c r="Q125" i="58"/>
  <c r="P125" i="58"/>
  <c r="O125" i="58"/>
  <c r="N125" i="58"/>
  <c r="M125" i="58"/>
  <c r="L125" i="58"/>
  <c r="K125" i="58"/>
  <c r="Q124" i="58"/>
  <c r="P124" i="58"/>
  <c r="O124" i="58"/>
  <c r="N124" i="58"/>
  <c r="M124" i="58"/>
  <c r="L124" i="58"/>
  <c r="K124" i="58"/>
  <c r="Q123" i="58"/>
  <c r="P123" i="58"/>
  <c r="O123" i="58"/>
  <c r="N123" i="58"/>
  <c r="M123" i="58"/>
  <c r="L123" i="58"/>
  <c r="K123" i="58"/>
  <c r="Q122" i="58"/>
  <c r="P122" i="58"/>
  <c r="O122" i="58"/>
  <c r="N122" i="58"/>
  <c r="M122" i="58"/>
  <c r="L122" i="58"/>
  <c r="K122" i="58"/>
  <c r="Q121" i="58"/>
  <c r="P121" i="58"/>
  <c r="O121" i="58"/>
  <c r="N121" i="58"/>
  <c r="M121" i="58"/>
  <c r="L121" i="58"/>
  <c r="K121" i="58"/>
  <c r="Q120" i="58"/>
  <c r="P120" i="58"/>
  <c r="O120" i="58"/>
  <c r="N120" i="58"/>
  <c r="M120" i="58"/>
  <c r="L120" i="58"/>
  <c r="K120" i="58"/>
  <c r="Q119" i="58"/>
  <c r="P119" i="58"/>
  <c r="O119" i="58"/>
  <c r="N119" i="58"/>
  <c r="M119" i="58"/>
  <c r="L119" i="58"/>
  <c r="K119" i="58"/>
  <c r="Q118" i="58"/>
  <c r="P118" i="58"/>
  <c r="O118" i="58"/>
  <c r="N118" i="58"/>
  <c r="M118" i="58"/>
  <c r="L118" i="58"/>
  <c r="K118" i="58"/>
  <c r="Q117" i="58"/>
  <c r="P117" i="58"/>
  <c r="O117" i="58"/>
  <c r="N117" i="58"/>
  <c r="M117" i="58"/>
  <c r="L117" i="58"/>
  <c r="K117" i="58"/>
  <c r="Q116" i="58"/>
  <c r="P116" i="58"/>
  <c r="O116" i="58"/>
  <c r="N116" i="58"/>
  <c r="M116" i="58"/>
  <c r="L116" i="58"/>
  <c r="K116" i="58"/>
  <c r="Q115" i="58"/>
  <c r="P115" i="58"/>
  <c r="O115" i="58"/>
  <c r="N115" i="58"/>
  <c r="M115" i="58"/>
  <c r="L115" i="58"/>
  <c r="K115" i="58"/>
  <c r="Q114" i="58"/>
  <c r="P114" i="58"/>
  <c r="O114" i="58"/>
  <c r="N114" i="58"/>
  <c r="M114" i="58"/>
  <c r="L114" i="58"/>
  <c r="K114" i="58"/>
  <c r="Q113" i="58"/>
  <c r="P113" i="58"/>
  <c r="O113" i="58"/>
  <c r="N113" i="58"/>
  <c r="M113" i="58"/>
  <c r="L113" i="58"/>
  <c r="K113" i="58"/>
  <c r="Q112" i="58"/>
  <c r="P112" i="58"/>
  <c r="O112" i="58"/>
  <c r="N112" i="58"/>
  <c r="M112" i="58"/>
  <c r="L112" i="58"/>
  <c r="K112" i="58"/>
  <c r="Q111" i="58"/>
  <c r="P111" i="58"/>
  <c r="O111" i="58"/>
  <c r="N111" i="58"/>
  <c r="M111" i="58"/>
  <c r="L111" i="58"/>
  <c r="K111" i="58"/>
  <c r="Q110" i="58"/>
  <c r="P110" i="58"/>
  <c r="O110" i="58"/>
  <c r="N110" i="58"/>
  <c r="M110" i="58"/>
  <c r="L110" i="58"/>
  <c r="K110" i="58"/>
  <c r="Q109" i="58"/>
  <c r="P109" i="58"/>
  <c r="O109" i="58"/>
  <c r="N109" i="58"/>
  <c r="M109" i="58"/>
  <c r="L109" i="58"/>
  <c r="K109" i="58"/>
  <c r="Q108" i="58"/>
  <c r="P108" i="58"/>
  <c r="O108" i="58"/>
  <c r="N108" i="58"/>
  <c r="M108" i="58"/>
  <c r="L108" i="58"/>
  <c r="K108" i="58"/>
  <c r="Q107" i="58"/>
  <c r="P107" i="58"/>
  <c r="O107" i="58"/>
  <c r="N107" i="58"/>
  <c r="M107" i="58"/>
  <c r="L107" i="58"/>
  <c r="K107" i="58"/>
  <c r="Q106" i="58"/>
  <c r="P106" i="58"/>
  <c r="O106" i="58"/>
  <c r="N106" i="58"/>
  <c r="M106" i="58"/>
  <c r="L106" i="58"/>
  <c r="K106" i="58"/>
  <c r="Q105" i="58"/>
  <c r="P105" i="58"/>
  <c r="O105" i="58"/>
  <c r="N105" i="58"/>
  <c r="M105" i="58"/>
  <c r="L105" i="58"/>
  <c r="K105" i="58"/>
  <c r="Q104" i="58"/>
  <c r="P104" i="58"/>
  <c r="O104" i="58"/>
  <c r="N104" i="58"/>
  <c r="M104" i="58"/>
  <c r="L104" i="58"/>
  <c r="K104" i="58"/>
  <c r="Q103" i="58"/>
  <c r="P103" i="58"/>
  <c r="O103" i="58"/>
  <c r="N103" i="58"/>
  <c r="M103" i="58"/>
  <c r="L103" i="58"/>
  <c r="K103" i="58"/>
  <c r="Q102" i="58"/>
  <c r="P102" i="58"/>
  <c r="O102" i="58"/>
  <c r="N102" i="58"/>
  <c r="M102" i="58"/>
  <c r="L102" i="58"/>
  <c r="K102" i="58"/>
  <c r="Q101" i="58"/>
  <c r="P101" i="58"/>
  <c r="O101" i="58"/>
  <c r="N101" i="58"/>
  <c r="M101" i="58"/>
  <c r="L101" i="58"/>
  <c r="K101" i="58"/>
  <c r="Q100" i="58"/>
  <c r="P100" i="58"/>
  <c r="O100" i="58"/>
  <c r="N100" i="58"/>
  <c r="M100" i="58"/>
  <c r="L100" i="58"/>
  <c r="K100" i="58"/>
  <c r="Q99" i="58"/>
  <c r="P99" i="58"/>
  <c r="O99" i="58"/>
  <c r="N99" i="58"/>
  <c r="M99" i="58"/>
  <c r="L99" i="58"/>
  <c r="K99" i="58"/>
  <c r="Q98" i="58"/>
  <c r="P98" i="58"/>
  <c r="O98" i="58"/>
  <c r="N98" i="58"/>
  <c r="M98" i="58"/>
  <c r="L98" i="58"/>
  <c r="K98" i="58"/>
  <c r="Q97" i="58"/>
  <c r="P97" i="58"/>
  <c r="O97" i="58"/>
  <c r="N97" i="58"/>
  <c r="M97" i="58"/>
  <c r="L97" i="58"/>
  <c r="K97" i="58"/>
  <c r="Q96" i="58"/>
  <c r="P96" i="58"/>
  <c r="O96" i="58"/>
  <c r="N96" i="58"/>
  <c r="M96" i="58"/>
  <c r="L96" i="58"/>
  <c r="K96" i="58"/>
  <c r="Q95" i="58"/>
  <c r="P95" i="58"/>
  <c r="O95" i="58"/>
  <c r="N95" i="58"/>
  <c r="M95" i="58"/>
  <c r="L95" i="58"/>
  <c r="K95" i="58"/>
  <c r="Q94" i="58"/>
  <c r="P94" i="58"/>
  <c r="O94" i="58"/>
  <c r="N94" i="58"/>
  <c r="M94" i="58"/>
  <c r="L94" i="58"/>
  <c r="K94" i="58"/>
  <c r="Q93" i="58"/>
  <c r="P93" i="58"/>
  <c r="O93" i="58"/>
  <c r="N93" i="58"/>
  <c r="M93" i="58"/>
  <c r="L93" i="58"/>
  <c r="K93" i="58"/>
  <c r="Q92" i="58"/>
  <c r="P92" i="58"/>
  <c r="O92" i="58"/>
  <c r="N92" i="58"/>
  <c r="M92" i="58"/>
  <c r="L92" i="58"/>
  <c r="K92" i="58"/>
  <c r="Q91" i="58"/>
  <c r="P91" i="58"/>
  <c r="O91" i="58"/>
  <c r="N91" i="58"/>
  <c r="M91" i="58"/>
  <c r="L91" i="58"/>
  <c r="K91" i="58"/>
  <c r="Q90" i="58"/>
  <c r="P90" i="58"/>
  <c r="O90" i="58"/>
  <c r="N90" i="58"/>
  <c r="M90" i="58"/>
  <c r="L90" i="58"/>
  <c r="K90" i="58"/>
  <c r="Q89" i="58"/>
  <c r="P89" i="58"/>
  <c r="O89" i="58"/>
  <c r="N89" i="58"/>
  <c r="M89" i="58"/>
  <c r="L89" i="58"/>
  <c r="K89" i="58"/>
  <c r="Q88" i="58"/>
  <c r="P88" i="58"/>
  <c r="O88" i="58"/>
  <c r="N88" i="58"/>
  <c r="M88" i="58"/>
  <c r="L88" i="58"/>
  <c r="K88" i="58"/>
  <c r="Q87" i="58"/>
  <c r="P87" i="58"/>
  <c r="O87" i="58"/>
  <c r="N87" i="58"/>
  <c r="M87" i="58"/>
  <c r="L87" i="58"/>
  <c r="K87" i="58"/>
  <c r="Q86" i="58"/>
  <c r="P86" i="58"/>
  <c r="O86" i="58"/>
  <c r="N86" i="58"/>
  <c r="M86" i="58"/>
  <c r="L86" i="58"/>
  <c r="K86" i="58"/>
  <c r="Q85" i="58"/>
  <c r="P85" i="58"/>
  <c r="O85" i="58"/>
  <c r="N85" i="58"/>
  <c r="M85" i="58"/>
  <c r="L85" i="58"/>
  <c r="K85" i="58"/>
  <c r="Q84" i="58"/>
  <c r="P84" i="58"/>
  <c r="O84" i="58"/>
  <c r="N84" i="58"/>
  <c r="M84" i="58"/>
  <c r="L84" i="58"/>
  <c r="K84" i="58"/>
  <c r="Q83" i="58"/>
  <c r="P83" i="58"/>
  <c r="O83" i="58"/>
  <c r="N83" i="58"/>
  <c r="M83" i="58"/>
  <c r="L83" i="58"/>
  <c r="K83" i="58"/>
  <c r="Q82" i="58"/>
  <c r="P82" i="58"/>
  <c r="O82" i="58"/>
  <c r="N82" i="58"/>
  <c r="M82" i="58"/>
  <c r="L82" i="58"/>
  <c r="K82" i="58"/>
  <c r="Q81" i="58"/>
  <c r="P81" i="58"/>
  <c r="O81" i="58"/>
  <c r="N81" i="58"/>
  <c r="M81" i="58"/>
  <c r="L81" i="58"/>
  <c r="K81" i="58"/>
  <c r="Q80" i="58"/>
  <c r="P80" i="58"/>
  <c r="O80" i="58"/>
  <c r="N80" i="58"/>
  <c r="M80" i="58"/>
  <c r="L80" i="58"/>
  <c r="K80" i="58"/>
  <c r="Q79" i="58"/>
  <c r="P79" i="58"/>
  <c r="O79" i="58"/>
  <c r="N79" i="58"/>
  <c r="M79" i="58"/>
  <c r="L79" i="58"/>
  <c r="K79" i="58"/>
  <c r="Q78" i="58"/>
  <c r="P78" i="58"/>
  <c r="O78" i="58"/>
  <c r="N78" i="58"/>
  <c r="M78" i="58"/>
  <c r="L78" i="58"/>
  <c r="K78" i="58"/>
  <c r="Q77" i="58"/>
  <c r="P77" i="58"/>
  <c r="O77" i="58"/>
  <c r="N77" i="58"/>
  <c r="M77" i="58"/>
  <c r="L77" i="58"/>
  <c r="K77" i="58"/>
  <c r="Q76" i="58"/>
  <c r="P76" i="58"/>
  <c r="O76" i="58"/>
  <c r="N76" i="58"/>
  <c r="M76" i="58"/>
  <c r="L76" i="58"/>
  <c r="K76" i="58"/>
  <c r="Q75" i="58"/>
  <c r="P75" i="58"/>
  <c r="O75" i="58"/>
  <c r="N75" i="58"/>
  <c r="M75" i="58"/>
  <c r="L75" i="58"/>
  <c r="K75" i="58"/>
  <c r="Q74" i="58"/>
  <c r="P74" i="58"/>
  <c r="O74" i="58"/>
  <c r="N74" i="58"/>
  <c r="M74" i="58"/>
  <c r="L74" i="58"/>
  <c r="K74" i="58"/>
  <c r="Q73" i="58"/>
  <c r="P73" i="58"/>
  <c r="O73" i="58"/>
  <c r="N73" i="58"/>
  <c r="M73" i="58"/>
  <c r="L73" i="58"/>
  <c r="K73" i="58"/>
  <c r="Q72" i="58"/>
  <c r="P72" i="58"/>
  <c r="O72" i="58"/>
  <c r="N72" i="58"/>
  <c r="M72" i="58"/>
  <c r="L72" i="58"/>
  <c r="K72" i="58"/>
  <c r="Q71" i="58"/>
  <c r="P71" i="58"/>
  <c r="O71" i="58"/>
  <c r="N71" i="58"/>
  <c r="M71" i="58"/>
  <c r="L71" i="58"/>
  <c r="K71" i="58"/>
  <c r="Q70" i="58"/>
  <c r="P70" i="58"/>
  <c r="O70" i="58"/>
  <c r="N70" i="58"/>
  <c r="M70" i="58"/>
  <c r="L70" i="58"/>
  <c r="K70" i="58"/>
  <c r="Q69" i="58"/>
  <c r="P69" i="58"/>
  <c r="O69" i="58"/>
  <c r="N69" i="58"/>
  <c r="M69" i="58"/>
  <c r="L69" i="58"/>
  <c r="K69" i="58"/>
  <c r="Q68" i="58"/>
  <c r="P68" i="58"/>
  <c r="O68" i="58"/>
  <c r="N68" i="58"/>
  <c r="M68" i="58"/>
  <c r="L68" i="58"/>
  <c r="K68" i="58"/>
  <c r="Q67" i="58"/>
  <c r="P67" i="58"/>
  <c r="O67" i="58"/>
  <c r="N67" i="58"/>
  <c r="M67" i="58"/>
  <c r="L67" i="58"/>
  <c r="K67" i="58"/>
  <c r="Q66" i="58"/>
  <c r="P66" i="58"/>
  <c r="O66" i="58"/>
  <c r="N66" i="58"/>
  <c r="M66" i="58"/>
  <c r="L66" i="58"/>
  <c r="K66" i="58"/>
  <c r="Q65" i="58"/>
  <c r="P65" i="58"/>
  <c r="O65" i="58"/>
  <c r="N65" i="58"/>
  <c r="M65" i="58"/>
  <c r="L65" i="58"/>
  <c r="K65" i="58"/>
  <c r="Q64" i="58"/>
  <c r="P64" i="58"/>
  <c r="O64" i="58"/>
  <c r="N64" i="58"/>
  <c r="M64" i="58"/>
  <c r="L64" i="58"/>
  <c r="K64" i="58"/>
  <c r="Q63" i="58"/>
  <c r="P63" i="58"/>
  <c r="O63" i="58"/>
  <c r="N63" i="58"/>
  <c r="M63" i="58"/>
  <c r="L63" i="58"/>
  <c r="K63" i="58"/>
  <c r="Q62" i="58"/>
  <c r="P62" i="58"/>
  <c r="O62" i="58"/>
  <c r="N62" i="58"/>
  <c r="M62" i="58"/>
  <c r="L62" i="58"/>
  <c r="K62" i="58"/>
  <c r="Q61" i="58"/>
  <c r="P61" i="58"/>
  <c r="O61" i="58"/>
  <c r="N61" i="58"/>
  <c r="M61" i="58"/>
  <c r="L61" i="58"/>
  <c r="K61" i="58"/>
  <c r="Q60" i="58"/>
  <c r="P60" i="58"/>
  <c r="O60" i="58"/>
  <c r="N60" i="58"/>
  <c r="M60" i="58"/>
  <c r="L60" i="58"/>
  <c r="K60" i="58"/>
  <c r="Q59" i="58"/>
  <c r="P59" i="58"/>
  <c r="O59" i="58"/>
  <c r="N59" i="58"/>
  <c r="M59" i="58"/>
  <c r="L59" i="58"/>
  <c r="K59" i="58"/>
  <c r="Q58" i="58"/>
  <c r="P58" i="58"/>
  <c r="O58" i="58"/>
  <c r="N58" i="58"/>
  <c r="M58" i="58"/>
  <c r="L58" i="58"/>
  <c r="K58" i="58"/>
  <c r="Q57" i="58"/>
  <c r="P57" i="58"/>
  <c r="O57" i="58"/>
  <c r="N57" i="58"/>
  <c r="M57" i="58"/>
  <c r="L57" i="58"/>
  <c r="K57" i="58"/>
  <c r="Q56" i="58"/>
  <c r="P56" i="58"/>
  <c r="O56" i="58"/>
  <c r="N56" i="58"/>
  <c r="M56" i="58"/>
  <c r="L56" i="58"/>
  <c r="K56" i="58"/>
  <c r="Q55" i="58"/>
  <c r="P55" i="58"/>
  <c r="O55" i="58"/>
  <c r="N55" i="58"/>
  <c r="M55" i="58"/>
  <c r="L55" i="58"/>
  <c r="K55" i="58"/>
  <c r="Q54" i="58"/>
  <c r="P54" i="58"/>
  <c r="O54" i="58"/>
  <c r="N54" i="58"/>
  <c r="M54" i="58"/>
  <c r="L54" i="58"/>
  <c r="K54" i="58"/>
  <c r="Q53" i="58"/>
  <c r="P53" i="58"/>
  <c r="O53" i="58"/>
  <c r="N53" i="58"/>
  <c r="M53" i="58"/>
  <c r="L53" i="58"/>
  <c r="K53" i="58"/>
  <c r="Q52" i="58"/>
  <c r="P52" i="58"/>
  <c r="O52" i="58"/>
  <c r="N52" i="58"/>
  <c r="M52" i="58"/>
  <c r="L52" i="58"/>
  <c r="K52" i="58"/>
  <c r="Q51" i="58"/>
  <c r="P51" i="58"/>
  <c r="O51" i="58"/>
  <c r="N51" i="58"/>
  <c r="M51" i="58"/>
  <c r="L51" i="58"/>
  <c r="K51" i="58"/>
  <c r="Q50" i="58"/>
  <c r="P50" i="58"/>
  <c r="O50" i="58"/>
  <c r="N50" i="58"/>
  <c r="M50" i="58"/>
  <c r="L50" i="58"/>
  <c r="K50" i="58"/>
  <c r="Q49" i="58"/>
  <c r="P49" i="58"/>
  <c r="O49" i="58"/>
  <c r="N49" i="58"/>
  <c r="M49" i="58"/>
  <c r="L49" i="58"/>
  <c r="K49" i="58"/>
  <c r="Q48" i="58"/>
  <c r="P48" i="58"/>
  <c r="O48" i="58"/>
  <c r="N48" i="58"/>
  <c r="M48" i="58"/>
  <c r="L48" i="58"/>
  <c r="K48" i="58"/>
  <c r="Q47" i="58"/>
  <c r="P47" i="58"/>
  <c r="O47" i="58"/>
  <c r="N47" i="58"/>
  <c r="M47" i="58"/>
  <c r="L47" i="58"/>
  <c r="K47" i="58"/>
  <c r="Q46" i="58"/>
  <c r="P46" i="58"/>
  <c r="O46" i="58"/>
  <c r="N46" i="58"/>
  <c r="M46" i="58"/>
  <c r="L46" i="58"/>
  <c r="K46" i="58"/>
  <c r="Q45" i="58"/>
  <c r="P45" i="58"/>
  <c r="O45" i="58"/>
  <c r="N45" i="58"/>
  <c r="M45" i="58"/>
  <c r="L45" i="58"/>
  <c r="K45" i="58"/>
  <c r="Q44" i="58"/>
  <c r="P44" i="58"/>
  <c r="O44" i="58"/>
  <c r="N44" i="58"/>
  <c r="M44" i="58"/>
  <c r="L44" i="58"/>
  <c r="K44" i="58"/>
  <c r="Q43" i="58"/>
  <c r="P43" i="58"/>
  <c r="O43" i="58"/>
  <c r="N43" i="58"/>
  <c r="M43" i="58"/>
  <c r="L43" i="58"/>
  <c r="K43" i="58"/>
  <c r="Q42" i="58"/>
  <c r="P42" i="58"/>
  <c r="O42" i="58"/>
  <c r="N42" i="58"/>
  <c r="M42" i="58"/>
  <c r="L42" i="58"/>
  <c r="K42" i="58"/>
  <c r="Q41" i="58"/>
  <c r="P41" i="58"/>
  <c r="O41" i="58"/>
  <c r="N41" i="58"/>
  <c r="M41" i="58"/>
  <c r="L41" i="58"/>
  <c r="K41" i="58"/>
  <c r="Q40" i="58"/>
  <c r="P40" i="58"/>
  <c r="O40" i="58"/>
  <c r="N40" i="58"/>
  <c r="M40" i="58"/>
  <c r="L40" i="58"/>
  <c r="K40" i="58"/>
  <c r="Q39" i="58"/>
  <c r="P39" i="58"/>
  <c r="O39" i="58"/>
  <c r="N39" i="58"/>
  <c r="M39" i="58"/>
  <c r="L39" i="58"/>
  <c r="K39" i="58"/>
  <c r="Q38" i="58"/>
  <c r="P38" i="58"/>
  <c r="O38" i="58"/>
  <c r="N38" i="58"/>
  <c r="M38" i="58"/>
  <c r="L38" i="58"/>
  <c r="K38" i="58"/>
  <c r="Q37" i="58"/>
  <c r="P37" i="58"/>
  <c r="O37" i="58"/>
  <c r="N37" i="58"/>
  <c r="M37" i="58"/>
  <c r="L37" i="58"/>
  <c r="K37" i="58"/>
  <c r="Q36" i="58"/>
  <c r="P36" i="58"/>
  <c r="O36" i="58"/>
  <c r="N36" i="58"/>
  <c r="M36" i="58"/>
  <c r="L36" i="58"/>
  <c r="K36" i="58"/>
  <c r="Q35" i="58"/>
  <c r="P35" i="58"/>
  <c r="O35" i="58"/>
  <c r="N35" i="58"/>
  <c r="M35" i="58"/>
  <c r="L35" i="58"/>
  <c r="K35" i="58"/>
  <c r="Q34" i="58"/>
  <c r="P34" i="58"/>
  <c r="O34" i="58"/>
  <c r="N34" i="58"/>
  <c r="M34" i="58"/>
  <c r="L34" i="58"/>
  <c r="K34" i="58"/>
  <c r="Q33" i="58"/>
  <c r="P33" i="58"/>
  <c r="O33" i="58"/>
  <c r="N33" i="58"/>
  <c r="M33" i="58"/>
  <c r="L33" i="58"/>
  <c r="K33" i="58"/>
  <c r="Q32" i="58"/>
  <c r="P32" i="58"/>
  <c r="O32" i="58"/>
  <c r="N32" i="58"/>
  <c r="M32" i="58"/>
  <c r="L32" i="58"/>
  <c r="K32" i="58"/>
  <c r="Q31" i="58"/>
  <c r="P31" i="58"/>
  <c r="O31" i="58"/>
  <c r="N31" i="58"/>
  <c r="M31" i="58"/>
  <c r="L31" i="58"/>
  <c r="K31" i="58"/>
  <c r="Q30" i="58"/>
  <c r="P30" i="58"/>
  <c r="O30" i="58"/>
  <c r="N30" i="58"/>
  <c r="M30" i="58"/>
  <c r="L30" i="58"/>
  <c r="K30" i="58"/>
  <c r="Q29" i="58"/>
  <c r="P29" i="58"/>
  <c r="O29" i="58"/>
  <c r="N29" i="58"/>
  <c r="M29" i="58"/>
  <c r="L29" i="58"/>
  <c r="K29" i="58"/>
  <c r="Q28" i="58"/>
  <c r="P28" i="58"/>
  <c r="O28" i="58"/>
  <c r="N28" i="58"/>
  <c r="M28" i="58"/>
  <c r="L28" i="58"/>
  <c r="K28" i="58"/>
  <c r="Q27" i="58"/>
  <c r="P27" i="58"/>
  <c r="O27" i="58"/>
  <c r="N27" i="58"/>
  <c r="M27" i="58"/>
  <c r="L27" i="58"/>
  <c r="K27" i="58"/>
  <c r="Q26" i="58"/>
  <c r="P26" i="58"/>
  <c r="O26" i="58"/>
  <c r="N26" i="58"/>
  <c r="M26" i="58"/>
  <c r="L26" i="58"/>
  <c r="K26" i="58"/>
  <c r="Q25" i="58"/>
  <c r="P25" i="58"/>
  <c r="O25" i="58"/>
  <c r="N25" i="58"/>
  <c r="M25" i="58"/>
  <c r="L25" i="58"/>
  <c r="K25" i="58"/>
  <c r="Q24" i="58"/>
  <c r="P24" i="58"/>
  <c r="O24" i="58"/>
  <c r="N24" i="58"/>
  <c r="M24" i="58"/>
  <c r="L24" i="58"/>
  <c r="K24" i="58"/>
  <c r="Q23" i="58"/>
  <c r="P23" i="58"/>
  <c r="O23" i="58"/>
  <c r="N23" i="58"/>
  <c r="M23" i="58"/>
  <c r="L23" i="58"/>
  <c r="K23" i="58"/>
  <c r="Q22" i="58"/>
  <c r="P22" i="58"/>
  <c r="O22" i="58"/>
  <c r="N22" i="58"/>
  <c r="M22" i="58"/>
  <c r="L22" i="58"/>
  <c r="K22" i="58"/>
  <c r="Q21" i="58"/>
  <c r="P21" i="58"/>
  <c r="O21" i="58"/>
  <c r="N21" i="58"/>
  <c r="M21" i="58"/>
  <c r="L21" i="58"/>
  <c r="K21" i="58"/>
  <c r="Q20" i="58"/>
  <c r="P20" i="58"/>
  <c r="O20" i="58"/>
  <c r="N20" i="58"/>
  <c r="M20" i="58"/>
  <c r="L20" i="58"/>
  <c r="K20" i="58"/>
  <c r="Q19" i="58"/>
  <c r="P19" i="58"/>
  <c r="O19" i="58"/>
  <c r="N19" i="58"/>
  <c r="M19" i="58"/>
  <c r="L19" i="58"/>
  <c r="K19" i="58"/>
  <c r="Q18" i="58"/>
  <c r="P18" i="58"/>
  <c r="O18" i="58"/>
  <c r="N18" i="58"/>
  <c r="M18" i="58"/>
  <c r="L18" i="58"/>
  <c r="K18" i="58"/>
  <c r="Q17" i="58"/>
  <c r="P17" i="58"/>
  <c r="O17" i="58"/>
  <c r="N17" i="58"/>
  <c r="M17" i="58"/>
  <c r="L17" i="58"/>
  <c r="K17" i="58"/>
  <c r="Q16" i="58"/>
  <c r="P16" i="58"/>
  <c r="O16" i="58"/>
  <c r="N16" i="58"/>
  <c r="M16" i="58"/>
  <c r="L16" i="58"/>
  <c r="K16" i="58"/>
  <c r="Q15" i="58"/>
  <c r="P15" i="58"/>
  <c r="O15" i="58"/>
  <c r="N15" i="58"/>
  <c r="M15" i="58"/>
  <c r="L15" i="58"/>
  <c r="K15" i="58"/>
  <c r="Q14" i="58"/>
  <c r="P14" i="58"/>
  <c r="O14" i="58"/>
  <c r="N14" i="58"/>
  <c r="M14" i="58"/>
  <c r="L14" i="58"/>
  <c r="K14" i="58"/>
  <c r="A2" i="36"/>
  <c r="B32" i="1" s="1"/>
  <c r="Q203" i="36"/>
  <c r="P203" i="36"/>
  <c r="O203" i="36"/>
  <c r="N203" i="36"/>
  <c r="M203" i="36"/>
  <c r="L203" i="36"/>
  <c r="K203" i="36"/>
  <c r="Q202" i="36"/>
  <c r="P202" i="36"/>
  <c r="O202" i="36"/>
  <c r="N202" i="36"/>
  <c r="M202" i="36"/>
  <c r="L202" i="36"/>
  <c r="K202" i="36"/>
  <c r="Q201" i="36"/>
  <c r="P201" i="36"/>
  <c r="O201" i="36"/>
  <c r="N201" i="36"/>
  <c r="M201" i="36"/>
  <c r="L201" i="36"/>
  <c r="K201" i="36"/>
  <c r="Q200" i="36"/>
  <c r="P200" i="36"/>
  <c r="O200" i="36"/>
  <c r="N200" i="36"/>
  <c r="M200" i="36"/>
  <c r="L200" i="36"/>
  <c r="K200" i="36"/>
  <c r="Q199" i="36"/>
  <c r="P199" i="36"/>
  <c r="O199" i="36"/>
  <c r="N199" i="36"/>
  <c r="M199" i="36"/>
  <c r="L199" i="36"/>
  <c r="K199" i="36"/>
  <c r="Q198" i="36"/>
  <c r="P198" i="36"/>
  <c r="O198" i="36"/>
  <c r="N198" i="36"/>
  <c r="M198" i="36"/>
  <c r="L198" i="36"/>
  <c r="K198" i="36"/>
  <c r="Q197" i="36"/>
  <c r="P197" i="36"/>
  <c r="O197" i="36"/>
  <c r="N197" i="36"/>
  <c r="M197" i="36"/>
  <c r="L197" i="36"/>
  <c r="K197" i="36"/>
  <c r="Q196" i="36"/>
  <c r="P196" i="36"/>
  <c r="O196" i="36"/>
  <c r="N196" i="36"/>
  <c r="M196" i="36"/>
  <c r="L196" i="36"/>
  <c r="K196" i="36"/>
  <c r="Q195" i="36"/>
  <c r="P195" i="36"/>
  <c r="O195" i="36"/>
  <c r="N195" i="36"/>
  <c r="M195" i="36"/>
  <c r="L195" i="36"/>
  <c r="K195" i="36"/>
  <c r="Q194" i="36"/>
  <c r="P194" i="36"/>
  <c r="O194" i="36"/>
  <c r="N194" i="36"/>
  <c r="M194" i="36"/>
  <c r="L194" i="36"/>
  <c r="K194" i="36"/>
  <c r="Q193" i="36"/>
  <c r="P193" i="36"/>
  <c r="O193" i="36"/>
  <c r="N193" i="36"/>
  <c r="M193" i="36"/>
  <c r="L193" i="36"/>
  <c r="K193" i="36"/>
  <c r="Q192" i="36"/>
  <c r="P192" i="36"/>
  <c r="O192" i="36"/>
  <c r="N192" i="36"/>
  <c r="M192" i="36"/>
  <c r="L192" i="36"/>
  <c r="K192" i="36"/>
  <c r="Q191" i="36"/>
  <c r="P191" i="36"/>
  <c r="O191" i="36"/>
  <c r="N191" i="36"/>
  <c r="M191" i="36"/>
  <c r="L191" i="36"/>
  <c r="K191" i="36"/>
  <c r="Q190" i="36"/>
  <c r="P190" i="36"/>
  <c r="O190" i="36"/>
  <c r="N190" i="36"/>
  <c r="M190" i="36"/>
  <c r="L190" i="36"/>
  <c r="K190" i="36"/>
  <c r="Q189" i="36"/>
  <c r="P189" i="36"/>
  <c r="O189" i="36"/>
  <c r="N189" i="36"/>
  <c r="M189" i="36"/>
  <c r="L189" i="36"/>
  <c r="K189" i="36"/>
  <c r="Q188" i="36"/>
  <c r="P188" i="36"/>
  <c r="O188" i="36"/>
  <c r="N188" i="36"/>
  <c r="M188" i="36"/>
  <c r="L188" i="36"/>
  <c r="K188" i="36"/>
  <c r="Q187" i="36"/>
  <c r="P187" i="36"/>
  <c r="O187" i="36"/>
  <c r="N187" i="36"/>
  <c r="M187" i="36"/>
  <c r="L187" i="36"/>
  <c r="K187" i="36"/>
  <c r="Q186" i="36"/>
  <c r="P186" i="36"/>
  <c r="O186" i="36"/>
  <c r="N186" i="36"/>
  <c r="M186" i="36"/>
  <c r="L186" i="36"/>
  <c r="K186" i="36"/>
  <c r="Q185" i="36"/>
  <c r="P185" i="36"/>
  <c r="O185" i="36"/>
  <c r="N185" i="36"/>
  <c r="M185" i="36"/>
  <c r="L185" i="36"/>
  <c r="K185" i="36"/>
  <c r="Q184" i="36"/>
  <c r="P184" i="36"/>
  <c r="O184" i="36"/>
  <c r="N184" i="36"/>
  <c r="M184" i="36"/>
  <c r="L184" i="36"/>
  <c r="K184" i="36"/>
  <c r="Q183" i="36"/>
  <c r="P183" i="36"/>
  <c r="O183" i="36"/>
  <c r="N183" i="36"/>
  <c r="M183" i="36"/>
  <c r="L183" i="36"/>
  <c r="K183" i="36"/>
  <c r="Q182" i="36"/>
  <c r="P182" i="36"/>
  <c r="O182" i="36"/>
  <c r="N182" i="36"/>
  <c r="M182" i="36"/>
  <c r="L182" i="36"/>
  <c r="K182" i="36"/>
  <c r="Q181" i="36"/>
  <c r="P181" i="36"/>
  <c r="O181" i="36"/>
  <c r="N181" i="36"/>
  <c r="M181" i="36"/>
  <c r="L181" i="36"/>
  <c r="K181" i="36"/>
  <c r="Q180" i="36"/>
  <c r="P180" i="36"/>
  <c r="O180" i="36"/>
  <c r="N180" i="36"/>
  <c r="M180" i="36"/>
  <c r="L180" i="36"/>
  <c r="K180" i="36"/>
  <c r="Q179" i="36"/>
  <c r="P179" i="36"/>
  <c r="O179" i="36"/>
  <c r="N179" i="36"/>
  <c r="M179" i="36"/>
  <c r="L179" i="36"/>
  <c r="K179" i="36"/>
  <c r="Q178" i="36"/>
  <c r="P178" i="36"/>
  <c r="O178" i="36"/>
  <c r="N178" i="36"/>
  <c r="M178" i="36"/>
  <c r="L178" i="36"/>
  <c r="K178" i="36"/>
  <c r="Q177" i="36"/>
  <c r="P177" i="36"/>
  <c r="O177" i="36"/>
  <c r="N177" i="36"/>
  <c r="M177" i="36"/>
  <c r="L177" i="36"/>
  <c r="K177" i="36"/>
  <c r="Q176" i="36"/>
  <c r="P176" i="36"/>
  <c r="O176" i="36"/>
  <c r="N176" i="36"/>
  <c r="M176" i="36"/>
  <c r="L176" i="36"/>
  <c r="K176" i="36"/>
  <c r="Q175" i="36"/>
  <c r="P175" i="36"/>
  <c r="O175" i="36"/>
  <c r="N175" i="36"/>
  <c r="M175" i="36"/>
  <c r="L175" i="36"/>
  <c r="K175" i="36"/>
  <c r="Q174" i="36"/>
  <c r="P174" i="36"/>
  <c r="O174" i="36"/>
  <c r="N174" i="36"/>
  <c r="M174" i="36"/>
  <c r="L174" i="36"/>
  <c r="K174" i="36"/>
  <c r="Q173" i="36"/>
  <c r="P173" i="36"/>
  <c r="O173" i="36"/>
  <c r="N173" i="36"/>
  <c r="M173" i="36"/>
  <c r="L173" i="36"/>
  <c r="K173" i="36"/>
  <c r="Q172" i="36"/>
  <c r="P172" i="36"/>
  <c r="O172" i="36"/>
  <c r="N172" i="36"/>
  <c r="M172" i="36"/>
  <c r="L172" i="36"/>
  <c r="K172" i="36"/>
  <c r="Q171" i="36"/>
  <c r="P171" i="36"/>
  <c r="O171" i="36"/>
  <c r="N171" i="36"/>
  <c r="M171" i="36"/>
  <c r="L171" i="36"/>
  <c r="K171" i="36"/>
  <c r="Q170" i="36"/>
  <c r="P170" i="36"/>
  <c r="O170" i="36"/>
  <c r="N170" i="36"/>
  <c r="M170" i="36"/>
  <c r="L170" i="36"/>
  <c r="K170" i="36"/>
  <c r="Q169" i="36"/>
  <c r="P169" i="36"/>
  <c r="O169" i="36"/>
  <c r="N169" i="36"/>
  <c r="M169" i="36"/>
  <c r="L169" i="36"/>
  <c r="K169" i="36"/>
  <c r="Q168" i="36"/>
  <c r="P168" i="36"/>
  <c r="O168" i="36"/>
  <c r="N168" i="36"/>
  <c r="M168" i="36"/>
  <c r="L168" i="36"/>
  <c r="K168" i="36"/>
  <c r="Q167" i="36"/>
  <c r="P167" i="36"/>
  <c r="O167" i="36"/>
  <c r="N167" i="36"/>
  <c r="M167" i="36"/>
  <c r="L167" i="36"/>
  <c r="K167" i="36"/>
  <c r="Q166" i="36"/>
  <c r="P166" i="36"/>
  <c r="O166" i="36"/>
  <c r="N166" i="36"/>
  <c r="M166" i="36"/>
  <c r="L166" i="36"/>
  <c r="K166" i="36"/>
  <c r="Q165" i="36"/>
  <c r="P165" i="36"/>
  <c r="O165" i="36"/>
  <c r="N165" i="36"/>
  <c r="M165" i="36"/>
  <c r="L165" i="36"/>
  <c r="K165" i="36"/>
  <c r="Q164" i="36"/>
  <c r="P164" i="36"/>
  <c r="O164" i="36"/>
  <c r="N164" i="36"/>
  <c r="M164" i="36"/>
  <c r="L164" i="36"/>
  <c r="K164" i="36"/>
  <c r="Q163" i="36"/>
  <c r="P163" i="36"/>
  <c r="O163" i="36"/>
  <c r="N163" i="36"/>
  <c r="M163" i="36"/>
  <c r="L163" i="36"/>
  <c r="K163" i="36"/>
  <c r="Q162" i="36"/>
  <c r="P162" i="36"/>
  <c r="O162" i="36"/>
  <c r="N162" i="36"/>
  <c r="M162" i="36"/>
  <c r="L162" i="36"/>
  <c r="K162" i="36"/>
  <c r="Q161" i="36"/>
  <c r="P161" i="36"/>
  <c r="O161" i="36"/>
  <c r="N161" i="36"/>
  <c r="M161" i="36"/>
  <c r="L161" i="36"/>
  <c r="K161" i="36"/>
  <c r="Q160" i="36"/>
  <c r="P160" i="36"/>
  <c r="O160" i="36"/>
  <c r="N160" i="36"/>
  <c r="M160" i="36"/>
  <c r="L160" i="36"/>
  <c r="K160" i="36"/>
  <c r="Q159" i="36"/>
  <c r="P159" i="36"/>
  <c r="O159" i="36"/>
  <c r="N159" i="36"/>
  <c r="M159" i="36"/>
  <c r="L159" i="36"/>
  <c r="K159" i="36"/>
  <c r="Q158" i="36"/>
  <c r="P158" i="36"/>
  <c r="O158" i="36"/>
  <c r="N158" i="36"/>
  <c r="M158" i="36"/>
  <c r="L158" i="36"/>
  <c r="K158" i="36"/>
  <c r="Q157" i="36"/>
  <c r="P157" i="36"/>
  <c r="O157" i="36"/>
  <c r="N157" i="36"/>
  <c r="M157" i="36"/>
  <c r="L157" i="36"/>
  <c r="K157" i="36"/>
  <c r="Q156" i="36"/>
  <c r="P156" i="36"/>
  <c r="O156" i="36"/>
  <c r="N156" i="36"/>
  <c r="M156" i="36"/>
  <c r="L156" i="36"/>
  <c r="K156" i="36"/>
  <c r="Q155" i="36"/>
  <c r="P155" i="36"/>
  <c r="O155" i="36"/>
  <c r="N155" i="36"/>
  <c r="M155" i="36"/>
  <c r="L155" i="36"/>
  <c r="K155" i="36"/>
  <c r="Q154" i="36"/>
  <c r="P154" i="36"/>
  <c r="O154" i="36"/>
  <c r="N154" i="36"/>
  <c r="M154" i="36"/>
  <c r="L154" i="36"/>
  <c r="K154" i="36"/>
  <c r="Q153" i="36"/>
  <c r="P153" i="36"/>
  <c r="O153" i="36"/>
  <c r="N153" i="36"/>
  <c r="M153" i="36"/>
  <c r="L153" i="36"/>
  <c r="K153" i="36"/>
  <c r="Q152" i="36"/>
  <c r="P152" i="36"/>
  <c r="O152" i="36"/>
  <c r="N152" i="36"/>
  <c r="M152" i="36"/>
  <c r="L152" i="36"/>
  <c r="K152" i="36"/>
  <c r="Q151" i="36"/>
  <c r="P151" i="36"/>
  <c r="O151" i="36"/>
  <c r="N151" i="36"/>
  <c r="M151" i="36"/>
  <c r="L151" i="36"/>
  <c r="K151" i="36"/>
  <c r="Q150" i="36"/>
  <c r="P150" i="36"/>
  <c r="O150" i="36"/>
  <c r="N150" i="36"/>
  <c r="M150" i="36"/>
  <c r="L150" i="36"/>
  <c r="K150" i="36"/>
  <c r="Q149" i="36"/>
  <c r="P149" i="36"/>
  <c r="O149" i="36"/>
  <c r="N149" i="36"/>
  <c r="M149" i="36"/>
  <c r="L149" i="36"/>
  <c r="K149" i="36"/>
  <c r="Q148" i="36"/>
  <c r="P148" i="36"/>
  <c r="O148" i="36"/>
  <c r="N148" i="36"/>
  <c r="M148" i="36"/>
  <c r="L148" i="36"/>
  <c r="K148" i="36"/>
  <c r="Q147" i="36"/>
  <c r="P147" i="36"/>
  <c r="O147" i="36"/>
  <c r="N147" i="36"/>
  <c r="M147" i="36"/>
  <c r="L147" i="36"/>
  <c r="K147" i="36"/>
  <c r="Q146" i="36"/>
  <c r="P146" i="36"/>
  <c r="O146" i="36"/>
  <c r="N146" i="36"/>
  <c r="M146" i="36"/>
  <c r="L146" i="36"/>
  <c r="K146" i="36"/>
  <c r="Q145" i="36"/>
  <c r="P145" i="36"/>
  <c r="O145" i="36"/>
  <c r="N145" i="36"/>
  <c r="M145" i="36"/>
  <c r="L145" i="36"/>
  <c r="K145" i="36"/>
  <c r="Q144" i="36"/>
  <c r="P144" i="36"/>
  <c r="O144" i="36"/>
  <c r="N144" i="36"/>
  <c r="M144" i="36"/>
  <c r="L144" i="36"/>
  <c r="K144" i="36"/>
  <c r="Q143" i="36"/>
  <c r="P143" i="36"/>
  <c r="O143" i="36"/>
  <c r="N143" i="36"/>
  <c r="M143" i="36"/>
  <c r="L143" i="36"/>
  <c r="K143" i="36"/>
  <c r="Q142" i="36"/>
  <c r="P142" i="36"/>
  <c r="O142" i="36"/>
  <c r="N142" i="36"/>
  <c r="M142" i="36"/>
  <c r="L142" i="36"/>
  <c r="K142" i="36"/>
  <c r="Q141" i="36"/>
  <c r="P141" i="36"/>
  <c r="O141" i="36"/>
  <c r="N141" i="36"/>
  <c r="M141" i="36"/>
  <c r="L141" i="36"/>
  <c r="K141" i="36"/>
  <c r="Q140" i="36"/>
  <c r="P140" i="36"/>
  <c r="O140" i="36"/>
  <c r="N140" i="36"/>
  <c r="M140" i="36"/>
  <c r="L140" i="36"/>
  <c r="K140" i="36"/>
  <c r="Q139" i="36"/>
  <c r="P139" i="36"/>
  <c r="O139" i="36"/>
  <c r="N139" i="36"/>
  <c r="M139" i="36"/>
  <c r="L139" i="36"/>
  <c r="K139" i="36"/>
  <c r="Q138" i="36"/>
  <c r="P138" i="36"/>
  <c r="O138" i="36"/>
  <c r="N138" i="36"/>
  <c r="M138" i="36"/>
  <c r="L138" i="36"/>
  <c r="K138" i="36"/>
  <c r="Q137" i="36"/>
  <c r="P137" i="36"/>
  <c r="O137" i="36"/>
  <c r="N137" i="36"/>
  <c r="M137" i="36"/>
  <c r="L137" i="36"/>
  <c r="K137" i="36"/>
  <c r="Q136" i="36"/>
  <c r="P136" i="36"/>
  <c r="O136" i="36"/>
  <c r="N136" i="36"/>
  <c r="M136" i="36"/>
  <c r="L136" i="36"/>
  <c r="K136" i="36"/>
  <c r="Q135" i="36"/>
  <c r="P135" i="36"/>
  <c r="O135" i="36"/>
  <c r="N135" i="36"/>
  <c r="M135" i="36"/>
  <c r="L135" i="36"/>
  <c r="K135" i="36"/>
  <c r="Q134" i="36"/>
  <c r="P134" i="36"/>
  <c r="O134" i="36"/>
  <c r="N134" i="36"/>
  <c r="M134" i="36"/>
  <c r="L134" i="36"/>
  <c r="K134" i="36"/>
  <c r="Q133" i="36"/>
  <c r="P133" i="36"/>
  <c r="O133" i="36"/>
  <c r="N133" i="36"/>
  <c r="M133" i="36"/>
  <c r="L133" i="36"/>
  <c r="K133" i="36"/>
  <c r="Q132" i="36"/>
  <c r="P132" i="36"/>
  <c r="O132" i="36"/>
  <c r="N132" i="36"/>
  <c r="M132" i="36"/>
  <c r="L132" i="36"/>
  <c r="K132" i="36"/>
  <c r="Q131" i="36"/>
  <c r="P131" i="36"/>
  <c r="O131" i="36"/>
  <c r="N131" i="36"/>
  <c r="M131" i="36"/>
  <c r="L131" i="36"/>
  <c r="K131" i="36"/>
  <c r="Q130" i="36"/>
  <c r="P130" i="36"/>
  <c r="O130" i="36"/>
  <c r="N130" i="36"/>
  <c r="M130" i="36"/>
  <c r="L130" i="36"/>
  <c r="K130" i="36"/>
  <c r="Q129" i="36"/>
  <c r="P129" i="36"/>
  <c r="O129" i="36"/>
  <c r="N129" i="36"/>
  <c r="M129" i="36"/>
  <c r="L129" i="36"/>
  <c r="K129" i="36"/>
  <c r="Q128" i="36"/>
  <c r="P128" i="36"/>
  <c r="O128" i="36"/>
  <c r="N128" i="36"/>
  <c r="M128" i="36"/>
  <c r="L128" i="36"/>
  <c r="K128" i="36"/>
  <c r="Q127" i="36"/>
  <c r="P127" i="36"/>
  <c r="O127" i="36"/>
  <c r="N127" i="36"/>
  <c r="M127" i="36"/>
  <c r="L127" i="36"/>
  <c r="K127" i="36"/>
  <c r="Q126" i="36"/>
  <c r="P126" i="36"/>
  <c r="O126" i="36"/>
  <c r="N126" i="36"/>
  <c r="M126" i="36"/>
  <c r="L126" i="36"/>
  <c r="K126" i="36"/>
  <c r="Q125" i="36"/>
  <c r="P125" i="36"/>
  <c r="O125" i="36"/>
  <c r="N125" i="36"/>
  <c r="M125" i="36"/>
  <c r="L125" i="36"/>
  <c r="K125" i="36"/>
  <c r="Q124" i="36"/>
  <c r="P124" i="36"/>
  <c r="O124" i="36"/>
  <c r="N124" i="36"/>
  <c r="M124" i="36"/>
  <c r="L124" i="36"/>
  <c r="K124" i="36"/>
  <c r="Q123" i="36"/>
  <c r="P123" i="36"/>
  <c r="O123" i="36"/>
  <c r="N123" i="36"/>
  <c r="M123" i="36"/>
  <c r="L123" i="36"/>
  <c r="K123" i="36"/>
  <c r="Q122" i="36"/>
  <c r="P122" i="36"/>
  <c r="O122" i="36"/>
  <c r="N122" i="36"/>
  <c r="M122" i="36"/>
  <c r="L122" i="36"/>
  <c r="K122" i="36"/>
  <c r="Q121" i="36"/>
  <c r="P121" i="36"/>
  <c r="O121" i="36"/>
  <c r="N121" i="36"/>
  <c r="M121" i="36"/>
  <c r="L121" i="36"/>
  <c r="K121" i="36"/>
  <c r="Q120" i="36"/>
  <c r="P120" i="36"/>
  <c r="O120" i="36"/>
  <c r="N120" i="36"/>
  <c r="M120" i="36"/>
  <c r="L120" i="36"/>
  <c r="K120" i="36"/>
  <c r="Q119" i="36"/>
  <c r="P119" i="36"/>
  <c r="O119" i="36"/>
  <c r="N119" i="36"/>
  <c r="M119" i="36"/>
  <c r="L119" i="36"/>
  <c r="K119" i="36"/>
  <c r="Q118" i="36"/>
  <c r="P118" i="36"/>
  <c r="O118" i="36"/>
  <c r="N118" i="36"/>
  <c r="M118" i="36"/>
  <c r="L118" i="36"/>
  <c r="K118" i="36"/>
  <c r="Q117" i="36"/>
  <c r="P117" i="36"/>
  <c r="O117" i="36"/>
  <c r="N117" i="36"/>
  <c r="M117" i="36"/>
  <c r="L117" i="36"/>
  <c r="K117" i="36"/>
  <c r="Q116" i="36"/>
  <c r="P116" i="36"/>
  <c r="O116" i="36"/>
  <c r="N116" i="36"/>
  <c r="M116" i="36"/>
  <c r="L116" i="36"/>
  <c r="K116" i="36"/>
  <c r="Q115" i="36"/>
  <c r="P115" i="36"/>
  <c r="O115" i="36"/>
  <c r="N115" i="36"/>
  <c r="M115" i="36"/>
  <c r="L115" i="36"/>
  <c r="K115" i="36"/>
  <c r="Q114" i="36"/>
  <c r="P114" i="36"/>
  <c r="O114" i="36"/>
  <c r="N114" i="36"/>
  <c r="M114" i="36"/>
  <c r="L114" i="36"/>
  <c r="K114" i="36"/>
  <c r="Q113" i="36"/>
  <c r="P113" i="36"/>
  <c r="O113" i="36"/>
  <c r="N113" i="36"/>
  <c r="M113" i="36"/>
  <c r="L113" i="36"/>
  <c r="K113" i="36"/>
  <c r="Q112" i="36"/>
  <c r="P112" i="36"/>
  <c r="O112" i="36"/>
  <c r="N112" i="36"/>
  <c r="M112" i="36"/>
  <c r="L112" i="36"/>
  <c r="K112" i="36"/>
  <c r="Q111" i="36"/>
  <c r="P111" i="36"/>
  <c r="O111" i="36"/>
  <c r="N111" i="36"/>
  <c r="M111" i="36"/>
  <c r="L111" i="36"/>
  <c r="K111" i="36"/>
  <c r="Q110" i="36"/>
  <c r="P110" i="36"/>
  <c r="O110" i="36"/>
  <c r="N110" i="36"/>
  <c r="M110" i="36"/>
  <c r="L110" i="36"/>
  <c r="K110" i="36"/>
  <c r="Q109" i="36"/>
  <c r="P109" i="36"/>
  <c r="O109" i="36"/>
  <c r="N109" i="36"/>
  <c r="M109" i="36"/>
  <c r="L109" i="36"/>
  <c r="K109" i="36"/>
  <c r="Q108" i="36"/>
  <c r="P108" i="36"/>
  <c r="O108" i="36"/>
  <c r="N108" i="36"/>
  <c r="M108" i="36"/>
  <c r="L108" i="36"/>
  <c r="K108" i="36"/>
  <c r="Q107" i="36"/>
  <c r="P107" i="36"/>
  <c r="O107" i="36"/>
  <c r="N107" i="36"/>
  <c r="M107" i="36"/>
  <c r="L107" i="36"/>
  <c r="K107" i="36"/>
  <c r="Q106" i="36"/>
  <c r="P106" i="36"/>
  <c r="O106" i="36"/>
  <c r="N106" i="36"/>
  <c r="M106" i="36"/>
  <c r="L106" i="36"/>
  <c r="K106" i="36"/>
  <c r="Q105" i="36"/>
  <c r="P105" i="36"/>
  <c r="O105" i="36"/>
  <c r="N105" i="36"/>
  <c r="M105" i="36"/>
  <c r="L105" i="36"/>
  <c r="K105" i="36"/>
  <c r="Q104" i="36"/>
  <c r="P104" i="36"/>
  <c r="O104" i="36"/>
  <c r="N104" i="36"/>
  <c r="M104" i="36"/>
  <c r="L104" i="36"/>
  <c r="K104" i="36"/>
  <c r="Q103" i="36"/>
  <c r="P103" i="36"/>
  <c r="O103" i="36"/>
  <c r="N103" i="36"/>
  <c r="M103" i="36"/>
  <c r="L103" i="36"/>
  <c r="K103" i="36"/>
  <c r="Q102" i="36"/>
  <c r="P102" i="36"/>
  <c r="O102" i="36"/>
  <c r="N102" i="36"/>
  <c r="M102" i="36"/>
  <c r="L102" i="36"/>
  <c r="K102" i="36"/>
  <c r="Q101" i="36"/>
  <c r="P101" i="36"/>
  <c r="O101" i="36"/>
  <c r="N101" i="36"/>
  <c r="M101" i="36"/>
  <c r="L101" i="36"/>
  <c r="K101" i="36"/>
  <c r="Q100" i="36"/>
  <c r="P100" i="36"/>
  <c r="O100" i="36"/>
  <c r="N100" i="36"/>
  <c r="M100" i="36"/>
  <c r="L100" i="36"/>
  <c r="K100" i="36"/>
  <c r="Q99" i="36"/>
  <c r="P99" i="36"/>
  <c r="O99" i="36"/>
  <c r="N99" i="36"/>
  <c r="M99" i="36"/>
  <c r="L99" i="36"/>
  <c r="K99" i="36"/>
  <c r="Q98" i="36"/>
  <c r="P98" i="36"/>
  <c r="O98" i="36"/>
  <c r="N98" i="36"/>
  <c r="M98" i="36"/>
  <c r="L98" i="36"/>
  <c r="K98" i="36"/>
  <c r="Q97" i="36"/>
  <c r="P97" i="36"/>
  <c r="O97" i="36"/>
  <c r="N97" i="36"/>
  <c r="M97" i="36"/>
  <c r="L97" i="36"/>
  <c r="K97" i="36"/>
  <c r="Q96" i="36"/>
  <c r="P96" i="36"/>
  <c r="O96" i="36"/>
  <c r="N96" i="36"/>
  <c r="M96" i="36"/>
  <c r="L96" i="36"/>
  <c r="K96" i="36"/>
  <c r="Q95" i="36"/>
  <c r="P95" i="36"/>
  <c r="O95" i="36"/>
  <c r="N95" i="36"/>
  <c r="M95" i="36"/>
  <c r="L95" i="36"/>
  <c r="K95" i="36"/>
  <c r="Q94" i="36"/>
  <c r="P94" i="36"/>
  <c r="O94" i="36"/>
  <c r="N94" i="36"/>
  <c r="M94" i="36"/>
  <c r="L94" i="36"/>
  <c r="K94" i="36"/>
  <c r="Q93" i="36"/>
  <c r="P93" i="36"/>
  <c r="O93" i="36"/>
  <c r="N93" i="36"/>
  <c r="M93" i="36"/>
  <c r="L93" i="36"/>
  <c r="K93" i="36"/>
  <c r="Q92" i="36"/>
  <c r="P92" i="36"/>
  <c r="O92" i="36"/>
  <c r="N92" i="36"/>
  <c r="M92" i="36"/>
  <c r="L92" i="36"/>
  <c r="K92" i="36"/>
  <c r="Q91" i="36"/>
  <c r="P91" i="36"/>
  <c r="O91" i="36"/>
  <c r="N91" i="36"/>
  <c r="M91" i="36"/>
  <c r="L91" i="36"/>
  <c r="K91" i="36"/>
  <c r="Q90" i="36"/>
  <c r="P90" i="36"/>
  <c r="O90" i="36"/>
  <c r="N90" i="36"/>
  <c r="M90" i="36"/>
  <c r="L90" i="36"/>
  <c r="K90" i="36"/>
  <c r="Q89" i="36"/>
  <c r="P89" i="36"/>
  <c r="O89" i="36"/>
  <c r="N89" i="36"/>
  <c r="M89" i="36"/>
  <c r="L89" i="36"/>
  <c r="K89" i="36"/>
  <c r="Q88" i="36"/>
  <c r="P88" i="36"/>
  <c r="O88" i="36"/>
  <c r="N88" i="36"/>
  <c r="M88" i="36"/>
  <c r="L88" i="36"/>
  <c r="K88" i="36"/>
  <c r="Q87" i="36"/>
  <c r="P87" i="36"/>
  <c r="O87" i="36"/>
  <c r="N87" i="36"/>
  <c r="M87" i="36"/>
  <c r="L87" i="36"/>
  <c r="K87" i="36"/>
  <c r="Q86" i="36"/>
  <c r="P86" i="36"/>
  <c r="O86" i="36"/>
  <c r="N86" i="36"/>
  <c r="M86" i="36"/>
  <c r="L86" i="36"/>
  <c r="K86" i="36"/>
  <c r="Q85" i="36"/>
  <c r="P85" i="36"/>
  <c r="O85" i="36"/>
  <c r="N85" i="36"/>
  <c r="M85" i="36"/>
  <c r="L85" i="36"/>
  <c r="K85" i="36"/>
  <c r="Q84" i="36"/>
  <c r="P84" i="36"/>
  <c r="O84" i="36"/>
  <c r="N84" i="36"/>
  <c r="M84" i="36"/>
  <c r="L84" i="36"/>
  <c r="K84" i="36"/>
  <c r="Q83" i="36"/>
  <c r="P83" i="36"/>
  <c r="O83" i="36"/>
  <c r="N83" i="36"/>
  <c r="M83" i="36"/>
  <c r="L83" i="36"/>
  <c r="K83" i="36"/>
  <c r="Q82" i="36"/>
  <c r="P82" i="36"/>
  <c r="O82" i="36"/>
  <c r="N82" i="36"/>
  <c r="M82" i="36"/>
  <c r="L82" i="36"/>
  <c r="K82" i="36"/>
  <c r="Q81" i="36"/>
  <c r="P81" i="36"/>
  <c r="O81" i="36"/>
  <c r="N81" i="36"/>
  <c r="M81" i="36"/>
  <c r="L81" i="36"/>
  <c r="K81" i="36"/>
  <c r="Q80" i="36"/>
  <c r="P80" i="36"/>
  <c r="O80" i="36"/>
  <c r="N80" i="36"/>
  <c r="M80" i="36"/>
  <c r="L80" i="36"/>
  <c r="K80" i="36"/>
  <c r="Q79" i="36"/>
  <c r="P79" i="36"/>
  <c r="O79" i="36"/>
  <c r="N79" i="36"/>
  <c r="M79" i="36"/>
  <c r="L79" i="36"/>
  <c r="K79" i="36"/>
  <c r="Q78" i="36"/>
  <c r="P78" i="36"/>
  <c r="O78" i="36"/>
  <c r="N78" i="36"/>
  <c r="M78" i="36"/>
  <c r="L78" i="36"/>
  <c r="K78" i="36"/>
  <c r="Q77" i="36"/>
  <c r="P77" i="36"/>
  <c r="O77" i="36"/>
  <c r="N77" i="36"/>
  <c r="M77" i="36"/>
  <c r="L77" i="36"/>
  <c r="K77" i="36"/>
  <c r="Q76" i="36"/>
  <c r="P76" i="36"/>
  <c r="O76" i="36"/>
  <c r="N76" i="36"/>
  <c r="M76" i="36"/>
  <c r="L76" i="36"/>
  <c r="K76" i="36"/>
  <c r="Q75" i="36"/>
  <c r="P75" i="36"/>
  <c r="O75" i="36"/>
  <c r="N75" i="36"/>
  <c r="M75" i="36"/>
  <c r="L75" i="36"/>
  <c r="K75" i="36"/>
  <c r="Q74" i="36"/>
  <c r="P74" i="36"/>
  <c r="O74" i="36"/>
  <c r="N74" i="36"/>
  <c r="M74" i="36"/>
  <c r="L74" i="36"/>
  <c r="K74" i="36"/>
  <c r="Q73" i="36"/>
  <c r="P73" i="36"/>
  <c r="O73" i="36"/>
  <c r="N73" i="36"/>
  <c r="M73" i="36"/>
  <c r="L73" i="36"/>
  <c r="K73" i="36"/>
  <c r="Q72" i="36"/>
  <c r="P72" i="36"/>
  <c r="O72" i="36"/>
  <c r="N72" i="36"/>
  <c r="M72" i="36"/>
  <c r="L72" i="36"/>
  <c r="K72" i="36"/>
  <c r="Q71" i="36"/>
  <c r="P71" i="36"/>
  <c r="O71" i="36"/>
  <c r="N71" i="36"/>
  <c r="M71" i="36"/>
  <c r="L71" i="36"/>
  <c r="K71" i="36"/>
  <c r="Q70" i="36"/>
  <c r="P70" i="36"/>
  <c r="O70" i="36"/>
  <c r="N70" i="36"/>
  <c r="M70" i="36"/>
  <c r="L70" i="36"/>
  <c r="K70" i="36"/>
  <c r="Q69" i="36"/>
  <c r="P69" i="36"/>
  <c r="O69" i="36"/>
  <c r="N69" i="36"/>
  <c r="M69" i="36"/>
  <c r="L69" i="36"/>
  <c r="K69" i="36"/>
  <c r="Q68" i="36"/>
  <c r="P68" i="36"/>
  <c r="O68" i="36"/>
  <c r="N68" i="36"/>
  <c r="M68" i="36"/>
  <c r="L68" i="36"/>
  <c r="K68" i="36"/>
  <c r="Q67" i="36"/>
  <c r="P67" i="36"/>
  <c r="O67" i="36"/>
  <c r="N67" i="36"/>
  <c r="M67" i="36"/>
  <c r="L67" i="36"/>
  <c r="K67" i="36"/>
  <c r="Q66" i="36"/>
  <c r="P66" i="36"/>
  <c r="O66" i="36"/>
  <c r="N66" i="36"/>
  <c r="M66" i="36"/>
  <c r="L66" i="36"/>
  <c r="K66" i="36"/>
  <c r="Q65" i="36"/>
  <c r="P65" i="36"/>
  <c r="O65" i="36"/>
  <c r="N65" i="36"/>
  <c r="M65" i="36"/>
  <c r="L65" i="36"/>
  <c r="K65" i="36"/>
  <c r="Q64" i="36"/>
  <c r="P64" i="36"/>
  <c r="O64" i="36"/>
  <c r="N64" i="36"/>
  <c r="M64" i="36"/>
  <c r="L64" i="36"/>
  <c r="K64" i="36"/>
  <c r="Q63" i="36"/>
  <c r="P63" i="36"/>
  <c r="O63" i="36"/>
  <c r="N63" i="36"/>
  <c r="M63" i="36"/>
  <c r="L63" i="36"/>
  <c r="K63" i="36"/>
  <c r="Q62" i="36"/>
  <c r="P62" i="36"/>
  <c r="O62" i="36"/>
  <c r="N62" i="36"/>
  <c r="M62" i="36"/>
  <c r="L62" i="36"/>
  <c r="K62" i="36"/>
  <c r="Q61" i="36"/>
  <c r="P61" i="36"/>
  <c r="O61" i="36"/>
  <c r="N61" i="36"/>
  <c r="M61" i="36"/>
  <c r="L61" i="36"/>
  <c r="K61" i="36"/>
  <c r="Q60" i="36"/>
  <c r="P60" i="36"/>
  <c r="O60" i="36"/>
  <c r="N60" i="36"/>
  <c r="M60" i="36"/>
  <c r="L60" i="36"/>
  <c r="K60" i="36"/>
  <c r="Q59" i="36"/>
  <c r="P59" i="36"/>
  <c r="O59" i="36"/>
  <c r="N59" i="36"/>
  <c r="M59" i="36"/>
  <c r="L59" i="36"/>
  <c r="K59" i="36"/>
  <c r="Q58" i="36"/>
  <c r="P58" i="36"/>
  <c r="O58" i="36"/>
  <c r="N58" i="36"/>
  <c r="M58" i="36"/>
  <c r="L58" i="36"/>
  <c r="K58" i="36"/>
  <c r="Q57" i="36"/>
  <c r="P57" i="36"/>
  <c r="O57" i="36"/>
  <c r="N57" i="36"/>
  <c r="M57" i="36"/>
  <c r="L57" i="36"/>
  <c r="K57" i="36"/>
  <c r="Q56" i="36"/>
  <c r="P56" i="36"/>
  <c r="O56" i="36"/>
  <c r="N56" i="36"/>
  <c r="M56" i="36"/>
  <c r="L56" i="36"/>
  <c r="K56" i="36"/>
  <c r="Q55" i="36"/>
  <c r="P55" i="36"/>
  <c r="O55" i="36"/>
  <c r="N55" i="36"/>
  <c r="M55" i="36"/>
  <c r="L55" i="36"/>
  <c r="K55" i="36"/>
  <c r="Q54" i="36"/>
  <c r="P54" i="36"/>
  <c r="O54" i="36"/>
  <c r="N54" i="36"/>
  <c r="M54" i="36"/>
  <c r="L54" i="36"/>
  <c r="K54" i="36"/>
  <c r="Q53" i="36"/>
  <c r="P53" i="36"/>
  <c r="O53" i="36"/>
  <c r="N53" i="36"/>
  <c r="M53" i="36"/>
  <c r="L53" i="36"/>
  <c r="K53" i="36"/>
  <c r="Q52" i="36"/>
  <c r="P52" i="36"/>
  <c r="O52" i="36"/>
  <c r="N52" i="36"/>
  <c r="M52" i="36"/>
  <c r="L52" i="36"/>
  <c r="K52" i="36"/>
  <c r="Q51" i="36"/>
  <c r="P51" i="36"/>
  <c r="O51" i="36"/>
  <c r="N51" i="36"/>
  <c r="M51" i="36"/>
  <c r="L51" i="36"/>
  <c r="K51" i="36"/>
  <c r="Q50" i="36"/>
  <c r="P50" i="36"/>
  <c r="O50" i="36"/>
  <c r="N50" i="36"/>
  <c r="M50" i="36"/>
  <c r="L50" i="36"/>
  <c r="K50" i="36"/>
  <c r="Q49" i="36"/>
  <c r="P49" i="36"/>
  <c r="O49" i="36"/>
  <c r="N49" i="36"/>
  <c r="M49" i="36"/>
  <c r="L49" i="36"/>
  <c r="K49" i="36"/>
  <c r="Q48" i="36"/>
  <c r="P48" i="36"/>
  <c r="O48" i="36"/>
  <c r="N48" i="36"/>
  <c r="M48" i="36"/>
  <c r="L48" i="36"/>
  <c r="K48" i="36"/>
  <c r="Q47" i="36"/>
  <c r="P47" i="36"/>
  <c r="O47" i="36"/>
  <c r="N47" i="36"/>
  <c r="M47" i="36"/>
  <c r="L47" i="36"/>
  <c r="K47" i="36"/>
  <c r="Q46" i="36"/>
  <c r="P46" i="36"/>
  <c r="O46" i="36"/>
  <c r="N46" i="36"/>
  <c r="M46" i="36"/>
  <c r="L46" i="36"/>
  <c r="K46" i="36"/>
  <c r="Q45" i="36"/>
  <c r="P45" i="36"/>
  <c r="O45" i="36"/>
  <c r="N45" i="36"/>
  <c r="M45" i="36"/>
  <c r="L45" i="36"/>
  <c r="K45" i="36"/>
  <c r="Q44" i="36"/>
  <c r="P44" i="36"/>
  <c r="O44" i="36"/>
  <c r="N44" i="36"/>
  <c r="M44" i="36"/>
  <c r="L44" i="36"/>
  <c r="K44" i="36"/>
  <c r="Q43" i="36"/>
  <c r="P43" i="36"/>
  <c r="O43" i="36"/>
  <c r="N43" i="36"/>
  <c r="M43" i="36"/>
  <c r="L43" i="36"/>
  <c r="K43" i="36"/>
  <c r="Q42" i="36"/>
  <c r="P42" i="36"/>
  <c r="O42" i="36"/>
  <c r="N42" i="36"/>
  <c r="M42" i="36"/>
  <c r="L42" i="36"/>
  <c r="K42" i="36"/>
  <c r="Q41" i="36"/>
  <c r="P41" i="36"/>
  <c r="O41" i="36"/>
  <c r="N41" i="36"/>
  <c r="M41" i="36"/>
  <c r="L41" i="36"/>
  <c r="K41" i="36"/>
  <c r="Q40" i="36"/>
  <c r="P40" i="36"/>
  <c r="O40" i="36"/>
  <c r="N40" i="36"/>
  <c r="M40" i="36"/>
  <c r="L40" i="36"/>
  <c r="K40" i="36"/>
  <c r="Q39" i="36"/>
  <c r="P39" i="36"/>
  <c r="O39" i="36"/>
  <c r="N39" i="36"/>
  <c r="M39" i="36"/>
  <c r="L39" i="36"/>
  <c r="K39" i="36"/>
  <c r="Q38" i="36"/>
  <c r="P38" i="36"/>
  <c r="O38" i="36"/>
  <c r="N38" i="36"/>
  <c r="M38" i="36"/>
  <c r="L38" i="36"/>
  <c r="K38" i="36"/>
  <c r="Q37" i="36"/>
  <c r="P37" i="36"/>
  <c r="O37" i="36"/>
  <c r="N37" i="36"/>
  <c r="M37" i="36"/>
  <c r="L37" i="36"/>
  <c r="K37" i="36"/>
  <c r="Q36" i="36"/>
  <c r="P36" i="36"/>
  <c r="O36" i="36"/>
  <c r="N36" i="36"/>
  <c r="M36" i="36"/>
  <c r="L36" i="36"/>
  <c r="K36" i="36"/>
  <c r="Q35" i="36"/>
  <c r="P35" i="36"/>
  <c r="O35" i="36"/>
  <c r="N35" i="36"/>
  <c r="M35" i="36"/>
  <c r="L35" i="36"/>
  <c r="K35" i="36"/>
  <c r="Q34" i="36"/>
  <c r="P34" i="36"/>
  <c r="O34" i="36"/>
  <c r="N34" i="36"/>
  <c r="M34" i="36"/>
  <c r="L34" i="36"/>
  <c r="K34" i="36"/>
  <c r="Q33" i="36"/>
  <c r="P33" i="36"/>
  <c r="O33" i="36"/>
  <c r="N33" i="36"/>
  <c r="M33" i="36"/>
  <c r="L33" i="36"/>
  <c r="K33" i="36"/>
  <c r="Q32" i="36"/>
  <c r="P32" i="36"/>
  <c r="O32" i="36"/>
  <c r="N32" i="36"/>
  <c r="M32" i="36"/>
  <c r="L32" i="36"/>
  <c r="K32" i="36"/>
  <c r="Q31" i="36"/>
  <c r="P31" i="36"/>
  <c r="O31" i="36"/>
  <c r="N31" i="36"/>
  <c r="M31" i="36"/>
  <c r="L31" i="36"/>
  <c r="K31" i="36"/>
  <c r="Q30" i="36"/>
  <c r="P30" i="36"/>
  <c r="O30" i="36"/>
  <c r="N30" i="36"/>
  <c r="M30" i="36"/>
  <c r="L30" i="36"/>
  <c r="K30" i="36"/>
  <c r="Q29" i="36"/>
  <c r="P29" i="36"/>
  <c r="O29" i="36"/>
  <c r="N29" i="36"/>
  <c r="M29" i="36"/>
  <c r="L29" i="36"/>
  <c r="K29" i="36"/>
  <c r="Q28" i="36"/>
  <c r="P28" i="36"/>
  <c r="O28" i="36"/>
  <c r="N28" i="36"/>
  <c r="M28" i="36"/>
  <c r="L28" i="36"/>
  <c r="K28" i="36"/>
  <c r="Q27" i="36"/>
  <c r="P27" i="36"/>
  <c r="O27" i="36"/>
  <c r="N27" i="36"/>
  <c r="M27" i="36"/>
  <c r="L27" i="36"/>
  <c r="K27" i="36"/>
  <c r="Q26" i="36"/>
  <c r="P26" i="36"/>
  <c r="O26" i="36"/>
  <c r="N26" i="36"/>
  <c r="M26" i="36"/>
  <c r="L26" i="36"/>
  <c r="K26" i="36"/>
  <c r="Q25" i="36"/>
  <c r="P25" i="36"/>
  <c r="O25" i="36"/>
  <c r="N25" i="36"/>
  <c r="M25" i="36"/>
  <c r="L25" i="36"/>
  <c r="K25" i="36"/>
  <c r="Q24" i="36"/>
  <c r="P24" i="36"/>
  <c r="O24" i="36"/>
  <c r="N24" i="36"/>
  <c r="M24" i="36"/>
  <c r="L24" i="36"/>
  <c r="K24" i="36"/>
  <c r="Q23" i="36"/>
  <c r="P23" i="36"/>
  <c r="O23" i="36"/>
  <c r="N23" i="36"/>
  <c r="M23" i="36"/>
  <c r="L23" i="36"/>
  <c r="K23" i="36"/>
  <c r="Q22" i="36"/>
  <c r="P22" i="36"/>
  <c r="O22" i="36"/>
  <c r="N22" i="36"/>
  <c r="M22" i="36"/>
  <c r="L22" i="36"/>
  <c r="K22" i="36"/>
  <c r="Q21" i="36"/>
  <c r="P21" i="36"/>
  <c r="O21" i="36"/>
  <c r="N21" i="36"/>
  <c r="M21" i="36"/>
  <c r="L21" i="36"/>
  <c r="K21" i="36"/>
  <c r="Q20" i="36"/>
  <c r="P20" i="36"/>
  <c r="O20" i="36"/>
  <c r="N20" i="36"/>
  <c r="M20" i="36"/>
  <c r="L20" i="36"/>
  <c r="K20" i="36"/>
  <c r="Q19" i="36"/>
  <c r="P19" i="36"/>
  <c r="O19" i="36"/>
  <c r="N19" i="36"/>
  <c r="M19" i="36"/>
  <c r="L19" i="36"/>
  <c r="K19" i="36"/>
  <c r="Q18" i="36"/>
  <c r="P18" i="36"/>
  <c r="O18" i="36"/>
  <c r="N18" i="36"/>
  <c r="M18" i="36"/>
  <c r="L18" i="36"/>
  <c r="K18" i="36"/>
  <c r="Q17" i="36"/>
  <c r="P17" i="36"/>
  <c r="O17" i="36"/>
  <c r="N17" i="36"/>
  <c r="M17" i="36"/>
  <c r="L17" i="36"/>
  <c r="K17" i="36"/>
  <c r="Q16" i="36"/>
  <c r="P16" i="36"/>
  <c r="O16" i="36"/>
  <c r="N16" i="36"/>
  <c r="M16" i="36"/>
  <c r="L16" i="36"/>
  <c r="K16" i="36"/>
  <c r="Q15" i="36"/>
  <c r="P15" i="36"/>
  <c r="O15" i="36"/>
  <c r="N15" i="36"/>
  <c r="M15" i="36"/>
  <c r="L15" i="36"/>
  <c r="K15" i="36"/>
  <c r="Q14" i="36"/>
  <c r="P14" i="36"/>
  <c r="O14" i="36"/>
  <c r="N14" i="36"/>
  <c r="M14" i="36"/>
  <c r="L14" i="36"/>
  <c r="K14" i="36"/>
  <c r="A2" i="34"/>
  <c r="B31" i="1" s="1"/>
  <c r="A38" i="54" s="1"/>
  <c r="Q203" i="34"/>
  <c r="P203" i="34"/>
  <c r="O203" i="34"/>
  <c r="N203" i="34"/>
  <c r="M203" i="34"/>
  <c r="L203" i="34"/>
  <c r="K203" i="34"/>
  <c r="Q202" i="34"/>
  <c r="P202" i="34"/>
  <c r="O202" i="34"/>
  <c r="N202" i="34"/>
  <c r="M202" i="34"/>
  <c r="L202" i="34"/>
  <c r="K202" i="34"/>
  <c r="Q201" i="34"/>
  <c r="P201" i="34"/>
  <c r="O201" i="34"/>
  <c r="N201" i="34"/>
  <c r="M201" i="34"/>
  <c r="L201" i="34"/>
  <c r="K201" i="34"/>
  <c r="Q200" i="34"/>
  <c r="P200" i="34"/>
  <c r="O200" i="34"/>
  <c r="N200" i="34"/>
  <c r="M200" i="34"/>
  <c r="L200" i="34"/>
  <c r="K200" i="34"/>
  <c r="Q199" i="34"/>
  <c r="P199" i="34"/>
  <c r="O199" i="34"/>
  <c r="N199" i="34"/>
  <c r="M199" i="34"/>
  <c r="L199" i="34"/>
  <c r="K199" i="34"/>
  <c r="Q198" i="34"/>
  <c r="P198" i="34"/>
  <c r="O198" i="34"/>
  <c r="N198" i="34"/>
  <c r="M198" i="34"/>
  <c r="L198" i="34"/>
  <c r="K198" i="34"/>
  <c r="Q197" i="34"/>
  <c r="P197" i="34"/>
  <c r="O197" i="34"/>
  <c r="N197" i="34"/>
  <c r="M197" i="34"/>
  <c r="L197" i="34"/>
  <c r="K197" i="34"/>
  <c r="Q196" i="34"/>
  <c r="P196" i="34"/>
  <c r="O196" i="34"/>
  <c r="N196" i="34"/>
  <c r="M196" i="34"/>
  <c r="L196" i="34"/>
  <c r="K196" i="34"/>
  <c r="Q195" i="34"/>
  <c r="P195" i="34"/>
  <c r="O195" i="34"/>
  <c r="N195" i="34"/>
  <c r="M195" i="34"/>
  <c r="L195" i="34"/>
  <c r="K195" i="34"/>
  <c r="Q194" i="34"/>
  <c r="P194" i="34"/>
  <c r="O194" i="34"/>
  <c r="N194" i="34"/>
  <c r="M194" i="34"/>
  <c r="L194" i="34"/>
  <c r="K194" i="34"/>
  <c r="Q193" i="34"/>
  <c r="P193" i="34"/>
  <c r="O193" i="34"/>
  <c r="N193" i="34"/>
  <c r="M193" i="34"/>
  <c r="L193" i="34"/>
  <c r="K193" i="34"/>
  <c r="Q192" i="34"/>
  <c r="P192" i="34"/>
  <c r="O192" i="34"/>
  <c r="N192" i="34"/>
  <c r="M192" i="34"/>
  <c r="L192" i="34"/>
  <c r="K192" i="34"/>
  <c r="Q191" i="34"/>
  <c r="P191" i="34"/>
  <c r="O191" i="34"/>
  <c r="N191" i="34"/>
  <c r="M191" i="34"/>
  <c r="L191" i="34"/>
  <c r="K191" i="34"/>
  <c r="Q190" i="34"/>
  <c r="P190" i="34"/>
  <c r="O190" i="34"/>
  <c r="N190" i="34"/>
  <c r="M190" i="34"/>
  <c r="L190" i="34"/>
  <c r="K190" i="34"/>
  <c r="Q189" i="34"/>
  <c r="P189" i="34"/>
  <c r="O189" i="34"/>
  <c r="N189" i="34"/>
  <c r="M189" i="34"/>
  <c r="L189" i="34"/>
  <c r="K189" i="34"/>
  <c r="Q188" i="34"/>
  <c r="P188" i="34"/>
  <c r="O188" i="34"/>
  <c r="N188" i="34"/>
  <c r="M188" i="34"/>
  <c r="L188" i="34"/>
  <c r="K188" i="34"/>
  <c r="Q187" i="34"/>
  <c r="P187" i="34"/>
  <c r="O187" i="34"/>
  <c r="N187" i="34"/>
  <c r="M187" i="34"/>
  <c r="L187" i="34"/>
  <c r="K187" i="34"/>
  <c r="Q186" i="34"/>
  <c r="P186" i="34"/>
  <c r="O186" i="34"/>
  <c r="N186" i="34"/>
  <c r="M186" i="34"/>
  <c r="L186" i="34"/>
  <c r="K186" i="34"/>
  <c r="Q185" i="34"/>
  <c r="P185" i="34"/>
  <c r="O185" i="34"/>
  <c r="N185" i="34"/>
  <c r="M185" i="34"/>
  <c r="L185" i="34"/>
  <c r="K185" i="34"/>
  <c r="Q184" i="34"/>
  <c r="P184" i="34"/>
  <c r="O184" i="34"/>
  <c r="N184" i="34"/>
  <c r="M184" i="34"/>
  <c r="L184" i="34"/>
  <c r="K184" i="34"/>
  <c r="Q183" i="34"/>
  <c r="P183" i="34"/>
  <c r="O183" i="34"/>
  <c r="N183" i="34"/>
  <c r="M183" i="34"/>
  <c r="L183" i="34"/>
  <c r="K183" i="34"/>
  <c r="Q182" i="34"/>
  <c r="P182" i="34"/>
  <c r="O182" i="34"/>
  <c r="N182" i="34"/>
  <c r="M182" i="34"/>
  <c r="L182" i="34"/>
  <c r="K182" i="34"/>
  <c r="Q181" i="34"/>
  <c r="P181" i="34"/>
  <c r="O181" i="34"/>
  <c r="N181" i="34"/>
  <c r="M181" i="34"/>
  <c r="L181" i="34"/>
  <c r="K181" i="34"/>
  <c r="Q180" i="34"/>
  <c r="P180" i="34"/>
  <c r="O180" i="34"/>
  <c r="N180" i="34"/>
  <c r="M180" i="34"/>
  <c r="L180" i="34"/>
  <c r="K180" i="34"/>
  <c r="Q179" i="34"/>
  <c r="P179" i="34"/>
  <c r="O179" i="34"/>
  <c r="N179" i="34"/>
  <c r="M179" i="34"/>
  <c r="L179" i="34"/>
  <c r="K179" i="34"/>
  <c r="Q178" i="34"/>
  <c r="P178" i="34"/>
  <c r="O178" i="34"/>
  <c r="N178" i="34"/>
  <c r="M178" i="34"/>
  <c r="L178" i="34"/>
  <c r="K178" i="34"/>
  <c r="Q177" i="34"/>
  <c r="P177" i="34"/>
  <c r="O177" i="34"/>
  <c r="N177" i="34"/>
  <c r="M177" i="34"/>
  <c r="L177" i="34"/>
  <c r="K177" i="34"/>
  <c r="Q176" i="34"/>
  <c r="P176" i="34"/>
  <c r="O176" i="34"/>
  <c r="N176" i="34"/>
  <c r="M176" i="34"/>
  <c r="L176" i="34"/>
  <c r="K176" i="34"/>
  <c r="Q175" i="34"/>
  <c r="P175" i="34"/>
  <c r="O175" i="34"/>
  <c r="N175" i="34"/>
  <c r="M175" i="34"/>
  <c r="L175" i="34"/>
  <c r="K175" i="34"/>
  <c r="Q174" i="34"/>
  <c r="P174" i="34"/>
  <c r="O174" i="34"/>
  <c r="N174" i="34"/>
  <c r="M174" i="34"/>
  <c r="L174" i="34"/>
  <c r="K174" i="34"/>
  <c r="Q173" i="34"/>
  <c r="P173" i="34"/>
  <c r="O173" i="34"/>
  <c r="N173" i="34"/>
  <c r="M173" i="34"/>
  <c r="L173" i="34"/>
  <c r="K173" i="34"/>
  <c r="Q172" i="34"/>
  <c r="P172" i="34"/>
  <c r="O172" i="34"/>
  <c r="N172" i="34"/>
  <c r="M172" i="34"/>
  <c r="L172" i="34"/>
  <c r="K172" i="34"/>
  <c r="Q171" i="34"/>
  <c r="P171" i="34"/>
  <c r="O171" i="34"/>
  <c r="N171" i="34"/>
  <c r="M171" i="34"/>
  <c r="L171" i="34"/>
  <c r="K171" i="34"/>
  <c r="Q170" i="34"/>
  <c r="P170" i="34"/>
  <c r="O170" i="34"/>
  <c r="N170" i="34"/>
  <c r="M170" i="34"/>
  <c r="L170" i="34"/>
  <c r="K170" i="34"/>
  <c r="Q169" i="34"/>
  <c r="P169" i="34"/>
  <c r="O169" i="34"/>
  <c r="N169" i="34"/>
  <c r="M169" i="34"/>
  <c r="L169" i="34"/>
  <c r="K169" i="34"/>
  <c r="Q168" i="34"/>
  <c r="P168" i="34"/>
  <c r="O168" i="34"/>
  <c r="N168" i="34"/>
  <c r="M168" i="34"/>
  <c r="L168" i="34"/>
  <c r="K168" i="34"/>
  <c r="Q167" i="34"/>
  <c r="P167" i="34"/>
  <c r="O167" i="34"/>
  <c r="N167" i="34"/>
  <c r="M167" i="34"/>
  <c r="L167" i="34"/>
  <c r="K167" i="34"/>
  <c r="Q166" i="34"/>
  <c r="P166" i="34"/>
  <c r="O166" i="34"/>
  <c r="N166" i="34"/>
  <c r="M166" i="34"/>
  <c r="L166" i="34"/>
  <c r="K166" i="34"/>
  <c r="Q165" i="34"/>
  <c r="P165" i="34"/>
  <c r="O165" i="34"/>
  <c r="N165" i="34"/>
  <c r="M165" i="34"/>
  <c r="L165" i="34"/>
  <c r="K165" i="34"/>
  <c r="Q164" i="34"/>
  <c r="P164" i="34"/>
  <c r="O164" i="34"/>
  <c r="N164" i="34"/>
  <c r="M164" i="34"/>
  <c r="L164" i="34"/>
  <c r="K164" i="34"/>
  <c r="Q163" i="34"/>
  <c r="P163" i="34"/>
  <c r="O163" i="34"/>
  <c r="N163" i="34"/>
  <c r="M163" i="34"/>
  <c r="L163" i="34"/>
  <c r="K163" i="34"/>
  <c r="Q162" i="34"/>
  <c r="P162" i="34"/>
  <c r="O162" i="34"/>
  <c r="N162" i="34"/>
  <c r="M162" i="34"/>
  <c r="L162" i="34"/>
  <c r="K162" i="34"/>
  <c r="Q161" i="34"/>
  <c r="P161" i="34"/>
  <c r="O161" i="34"/>
  <c r="N161" i="34"/>
  <c r="M161" i="34"/>
  <c r="L161" i="34"/>
  <c r="K161" i="34"/>
  <c r="Q160" i="34"/>
  <c r="P160" i="34"/>
  <c r="O160" i="34"/>
  <c r="N160" i="34"/>
  <c r="M160" i="34"/>
  <c r="L160" i="34"/>
  <c r="K160" i="34"/>
  <c r="Q159" i="34"/>
  <c r="P159" i="34"/>
  <c r="O159" i="34"/>
  <c r="N159" i="34"/>
  <c r="M159" i="34"/>
  <c r="L159" i="34"/>
  <c r="K159" i="34"/>
  <c r="Q158" i="34"/>
  <c r="P158" i="34"/>
  <c r="O158" i="34"/>
  <c r="N158" i="34"/>
  <c r="M158" i="34"/>
  <c r="L158" i="34"/>
  <c r="K158" i="34"/>
  <c r="Q157" i="34"/>
  <c r="P157" i="34"/>
  <c r="O157" i="34"/>
  <c r="N157" i="34"/>
  <c r="M157" i="34"/>
  <c r="L157" i="34"/>
  <c r="K157" i="34"/>
  <c r="Q156" i="34"/>
  <c r="P156" i="34"/>
  <c r="O156" i="34"/>
  <c r="N156" i="34"/>
  <c r="M156" i="34"/>
  <c r="L156" i="34"/>
  <c r="K156" i="34"/>
  <c r="Q155" i="34"/>
  <c r="P155" i="34"/>
  <c r="O155" i="34"/>
  <c r="N155" i="34"/>
  <c r="M155" i="34"/>
  <c r="L155" i="34"/>
  <c r="K155" i="34"/>
  <c r="Q154" i="34"/>
  <c r="P154" i="34"/>
  <c r="O154" i="34"/>
  <c r="N154" i="34"/>
  <c r="M154" i="34"/>
  <c r="L154" i="34"/>
  <c r="K154" i="34"/>
  <c r="Q153" i="34"/>
  <c r="P153" i="34"/>
  <c r="O153" i="34"/>
  <c r="N153" i="34"/>
  <c r="M153" i="34"/>
  <c r="L153" i="34"/>
  <c r="K153" i="34"/>
  <c r="Q152" i="34"/>
  <c r="P152" i="34"/>
  <c r="O152" i="34"/>
  <c r="N152" i="34"/>
  <c r="M152" i="34"/>
  <c r="L152" i="34"/>
  <c r="K152" i="34"/>
  <c r="Q151" i="34"/>
  <c r="P151" i="34"/>
  <c r="O151" i="34"/>
  <c r="N151" i="34"/>
  <c r="M151" i="34"/>
  <c r="L151" i="34"/>
  <c r="K151" i="34"/>
  <c r="Q150" i="34"/>
  <c r="P150" i="34"/>
  <c r="O150" i="34"/>
  <c r="N150" i="34"/>
  <c r="M150" i="34"/>
  <c r="L150" i="34"/>
  <c r="K150" i="34"/>
  <c r="Q149" i="34"/>
  <c r="P149" i="34"/>
  <c r="O149" i="34"/>
  <c r="N149" i="34"/>
  <c r="M149" i="34"/>
  <c r="L149" i="34"/>
  <c r="K149" i="34"/>
  <c r="Q148" i="34"/>
  <c r="P148" i="34"/>
  <c r="O148" i="34"/>
  <c r="N148" i="34"/>
  <c r="M148" i="34"/>
  <c r="L148" i="34"/>
  <c r="K148" i="34"/>
  <c r="Q147" i="34"/>
  <c r="P147" i="34"/>
  <c r="O147" i="34"/>
  <c r="N147" i="34"/>
  <c r="M147" i="34"/>
  <c r="L147" i="34"/>
  <c r="K147" i="34"/>
  <c r="Q146" i="34"/>
  <c r="P146" i="34"/>
  <c r="O146" i="34"/>
  <c r="N146" i="34"/>
  <c r="M146" i="34"/>
  <c r="L146" i="34"/>
  <c r="K146" i="34"/>
  <c r="Q145" i="34"/>
  <c r="P145" i="34"/>
  <c r="O145" i="34"/>
  <c r="N145" i="34"/>
  <c r="M145" i="34"/>
  <c r="L145" i="34"/>
  <c r="K145" i="34"/>
  <c r="Q144" i="34"/>
  <c r="P144" i="34"/>
  <c r="O144" i="34"/>
  <c r="N144" i="34"/>
  <c r="M144" i="34"/>
  <c r="L144" i="34"/>
  <c r="K144" i="34"/>
  <c r="Q143" i="34"/>
  <c r="P143" i="34"/>
  <c r="O143" i="34"/>
  <c r="N143" i="34"/>
  <c r="M143" i="34"/>
  <c r="L143" i="34"/>
  <c r="K143" i="34"/>
  <c r="Q142" i="34"/>
  <c r="P142" i="34"/>
  <c r="O142" i="34"/>
  <c r="N142" i="34"/>
  <c r="M142" i="34"/>
  <c r="L142" i="34"/>
  <c r="K142" i="34"/>
  <c r="Q141" i="34"/>
  <c r="P141" i="34"/>
  <c r="O141" i="34"/>
  <c r="N141" i="34"/>
  <c r="M141" i="34"/>
  <c r="L141" i="34"/>
  <c r="K141" i="34"/>
  <c r="Q140" i="34"/>
  <c r="P140" i="34"/>
  <c r="O140" i="34"/>
  <c r="N140" i="34"/>
  <c r="M140" i="34"/>
  <c r="L140" i="34"/>
  <c r="K140" i="34"/>
  <c r="Q139" i="34"/>
  <c r="P139" i="34"/>
  <c r="O139" i="34"/>
  <c r="N139" i="34"/>
  <c r="M139" i="34"/>
  <c r="L139" i="34"/>
  <c r="K139" i="34"/>
  <c r="Q138" i="34"/>
  <c r="P138" i="34"/>
  <c r="O138" i="34"/>
  <c r="N138" i="34"/>
  <c r="M138" i="34"/>
  <c r="L138" i="34"/>
  <c r="K138" i="34"/>
  <c r="Q137" i="34"/>
  <c r="P137" i="34"/>
  <c r="O137" i="34"/>
  <c r="N137" i="34"/>
  <c r="M137" i="34"/>
  <c r="L137" i="34"/>
  <c r="K137" i="34"/>
  <c r="Q136" i="34"/>
  <c r="P136" i="34"/>
  <c r="O136" i="34"/>
  <c r="N136" i="34"/>
  <c r="M136" i="34"/>
  <c r="L136" i="34"/>
  <c r="K136" i="34"/>
  <c r="Q135" i="34"/>
  <c r="P135" i="34"/>
  <c r="O135" i="34"/>
  <c r="N135" i="34"/>
  <c r="M135" i="34"/>
  <c r="L135" i="34"/>
  <c r="K135" i="34"/>
  <c r="Q134" i="34"/>
  <c r="P134" i="34"/>
  <c r="O134" i="34"/>
  <c r="N134" i="34"/>
  <c r="M134" i="34"/>
  <c r="L134" i="34"/>
  <c r="K134" i="34"/>
  <c r="Q133" i="34"/>
  <c r="P133" i="34"/>
  <c r="O133" i="34"/>
  <c r="N133" i="34"/>
  <c r="M133" i="34"/>
  <c r="L133" i="34"/>
  <c r="K133" i="34"/>
  <c r="Q132" i="34"/>
  <c r="P132" i="34"/>
  <c r="O132" i="34"/>
  <c r="N132" i="34"/>
  <c r="M132" i="34"/>
  <c r="L132" i="34"/>
  <c r="K132" i="34"/>
  <c r="Q131" i="34"/>
  <c r="P131" i="34"/>
  <c r="O131" i="34"/>
  <c r="N131" i="34"/>
  <c r="M131" i="34"/>
  <c r="L131" i="34"/>
  <c r="K131" i="34"/>
  <c r="Q130" i="34"/>
  <c r="P130" i="34"/>
  <c r="O130" i="34"/>
  <c r="N130" i="34"/>
  <c r="M130" i="34"/>
  <c r="L130" i="34"/>
  <c r="K130" i="34"/>
  <c r="Q129" i="34"/>
  <c r="P129" i="34"/>
  <c r="O129" i="34"/>
  <c r="N129" i="34"/>
  <c r="M129" i="34"/>
  <c r="L129" i="34"/>
  <c r="K129" i="34"/>
  <c r="Q128" i="34"/>
  <c r="P128" i="34"/>
  <c r="O128" i="34"/>
  <c r="N128" i="34"/>
  <c r="M128" i="34"/>
  <c r="L128" i="34"/>
  <c r="K128" i="34"/>
  <c r="Q127" i="34"/>
  <c r="P127" i="34"/>
  <c r="O127" i="34"/>
  <c r="N127" i="34"/>
  <c r="M127" i="34"/>
  <c r="L127" i="34"/>
  <c r="K127" i="34"/>
  <c r="Q126" i="34"/>
  <c r="P126" i="34"/>
  <c r="O126" i="34"/>
  <c r="N126" i="34"/>
  <c r="M126" i="34"/>
  <c r="L126" i="34"/>
  <c r="K126" i="34"/>
  <c r="Q125" i="34"/>
  <c r="P125" i="34"/>
  <c r="O125" i="34"/>
  <c r="N125" i="34"/>
  <c r="M125" i="34"/>
  <c r="L125" i="34"/>
  <c r="K125" i="34"/>
  <c r="Q124" i="34"/>
  <c r="P124" i="34"/>
  <c r="O124" i="34"/>
  <c r="N124" i="34"/>
  <c r="M124" i="34"/>
  <c r="L124" i="34"/>
  <c r="K124" i="34"/>
  <c r="Q123" i="34"/>
  <c r="P123" i="34"/>
  <c r="O123" i="34"/>
  <c r="N123" i="34"/>
  <c r="M123" i="34"/>
  <c r="L123" i="34"/>
  <c r="K123" i="34"/>
  <c r="Q122" i="34"/>
  <c r="P122" i="34"/>
  <c r="O122" i="34"/>
  <c r="N122" i="34"/>
  <c r="M122" i="34"/>
  <c r="L122" i="34"/>
  <c r="K122" i="34"/>
  <c r="Q121" i="34"/>
  <c r="P121" i="34"/>
  <c r="O121" i="34"/>
  <c r="N121" i="34"/>
  <c r="M121" i="34"/>
  <c r="L121" i="34"/>
  <c r="K121" i="34"/>
  <c r="Q120" i="34"/>
  <c r="P120" i="34"/>
  <c r="O120" i="34"/>
  <c r="N120" i="34"/>
  <c r="M120" i="34"/>
  <c r="L120" i="34"/>
  <c r="K120" i="34"/>
  <c r="Q119" i="34"/>
  <c r="P119" i="34"/>
  <c r="O119" i="34"/>
  <c r="N119" i="34"/>
  <c r="M119" i="34"/>
  <c r="L119" i="34"/>
  <c r="K119" i="34"/>
  <c r="Q118" i="34"/>
  <c r="P118" i="34"/>
  <c r="O118" i="34"/>
  <c r="N118" i="34"/>
  <c r="M118" i="34"/>
  <c r="L118" i="34"/>
  <c r="K118" i="34"/>
  <c r="Q117" i="34"/>
  <c r="P117" i="34"/>
  <c r="O117" i="34"/>
  <c r="N117" i="34"/>
  <c r="M117" i="34"/>
  <c r="L117" i="34"/>
  <c r="K117" i="34"/>
  <c r="Q116" i="34"/>
  <c r="P116" i="34"/>
  <c r="O116" i="34"/>
  <c r="N116" i="34"/>
  <c r="M116" i="34"/>
  <c r="L116" i="34"/>
  <c r="K116" i="34"/>
  <c r="Q115" i="34"/>
  <c r="P115" i="34"/>
  <c r="O115" i="34"/>
  <c r="N115" i="34"/>
  <c r="M115" i="34"/>
  <c r="L115" i="34"/>
  <c r="K115" i="34"/>
  <c r="Q114" i="34"/>
  <c r="P114" i="34"/>
  <c r="O114" i="34"/>
  <c r="N114" i="34"/>
  <c r="M114" i="34"/>
  <c r="L114" i="34"/>
  <c r="K114" i="34"/>
  <c r="Q113" i="34"/>
  <c r="P113" i="34"/>
  <c r="O113" i="34"/>
  <c r="N113" i="34"/>
  <c r="M113" i="34"/>
  <c r="L113" i="34"/>
  <c r="K113" i="34"/>
  <c r="Q112" i="34"/>
  <c r="P112" i="34"/>
  <c r="O112" i="34"/>
  <c r="N112" i="34"/>
  <c r="M112" i="34"/>
  <c r="L112" i="34"/>
  <c r="K112" i="34"/>
  <c r="Q111" i="34"/>
  <c r="P111" i="34"/>
  <c r="O111" i="34"/>
  <c r="N111" i="34"/>
  <c r="M111" i="34"/>
  <c r="L111" i="34"/>
  <c r="K111" i="34"/>
  <c r="Q110" i="34"/>
  <c r="P110" i="34"/>
  <c r="O110" i="34"/>
  <c r="N110" i="34"/>
  <c r="M110" i="34"/>
  <c r="L110" i="34"/>
  <c r="K110" i="34"/>
  <c r="Q109" i="34"/>
  <c r="P109" i="34"/>
  <c r="O109" i="34"/>
  <c r="N109" i="34"/>
  <c r="M109" i="34"/>
  <c r="L109" i="34"/>
  <c r="K109" i="34"/>
  <c r="Q108" i="34"/>
  <c r="P108" i="34"/>
  <c r="O108" i="34"/>
  <c r="N108" i="34"/>
  <c r="M108" i="34"/>
  <c r="L108" i="34"/>
  <c r="K108" i="34"/>
  <c r="Q107" i="34"/>
  <c r="P107" i="34"/>
  <c r="O107" i="34"/>
  <c r="N107" i="34"/>
  <c r="M107" i="34"/>
  <c r="L107" i="34"/>
  <c r="K107" i="34"/>
  <c r="Q106" i="34"/>
  <c r="P106" i="34"/>
  <c r="O106" i="34"/>
  <c r="N106" i="34"/>
  <c r="M106" i="34"/>
  <c r="L106" i="34"/>
  <c r="K106" i="34"/>
  <c r="Q105" i="34"/>
  <c r="P105" i="34"/>
  <c r="O105" i="34"/>
  <c r="N105" i="34"/>
  <c r="M105" i="34"/>
  <c r="L105" i="34"/>
  <c r="K105" i="34"/>
  <c r="Q104" i="34"/>
  <c r="P104" i="34"/>
  <c r="O104" i="34"/>
  <c r="N104" i="34"/>
  <c r="M104" i="34"/>
  <c r="L104" i="34"/>
  <c r="K104" i="34"/>
  <c r="Q103" i="34"/>
  <c r="P103" i="34"/>
  <c r="O103" i="34"/>
  <c r="N103" i="34"/>
  <c r="M103" i="34"/>
  <c r="L103" i="34"/>
  <c r="K103" i="34"/>
  <c r="Q102" i="34"/>
  <c r="P102" i="34"/>
  <c r="O102" i="34"/>
  <c r="N102" i="34"/>
  <c r="M102" i="34"/>
  <c r="L102" i="34"/>
  <c r="K102" i="34"/>
  <c r="Q101" i="34"/>
  <c r="P101" i="34"/>
  <c r="O101" i="34"/>
  <c r="N101" i="34"/>
  <c r="M101" i="34"/>
  <c r="L101" i="34"/>
  <c r="K101" i="34"/>
  <c r="Q100" i="34"/>
  <c r="P100" i="34"/>
  <c r="O100" i="34"/>
  <c r="N100" i="34"/>
  <c r="M100" i="34"/>
  <c r="L100" i="34"/>
  <c r="K100" i="34"/>
  <c r="Q99" i="34"/>
  <c r="P99" i="34"/>
  <c r="O99" i="34"/>
  <c r="N99" i="34"/>
  <c r="M99" i="34"/>
  <c r="L99" i="34"/>
  <c r="K99" i="34"/>
  <c r="Q98" i="34"/>
  <c r="P98" i="34"/>
  <c r="O98" i="34"/>
  <c r="N98" i="34"/>
  <c r="M98" i="34"/>
  <c r="L98" i="34"/>
  <c r="K98" i="34"/>
  <c r="Q97" i="34"/>
  <c r="P97" i="34"/>
  <c r="O97" i="34"/>
  <c r="N97" i="34"/>
  <c r="M97" i="34"/>
  <c r="L97" i="34"/>
  <c r="K97" i="34"/>
  <c r="Q96" i="34"/>
  <c r="P96" i="34"/>
  <c r="O96" i="34"/>
  <c r="N96" i="34"/>
  <c r="M96" i="34"/>
  <c r="L96" i="34"/>
  <c r="K96" i="34"/>
  <c r="Q95" i="34"/>
  <c r="P95" i="34"/>
  <c r="O95" i="34"/>
  <c r="N95" i="34"/>
  <c r="M95" i="34"/>
  <c r="L95" i="34"/>
  <c r="K95" i="34"/>
  <c r="Q94" i="34"/>
  <c r="P94" i="34"/>
  <c r="O94" i="34"/>
  <c r="N94" i="34"/>
  <c r="M94" i="34"/>
  <c r="L94" i="34"/>
  <c r="K94" i="34"/>
  <c r="Q93" i="34"/>
  <c r="P93" i="34"/>
  <c r="O93" i="34"/>
  <c r="N93" i="34"/>
  <c r="M93" i="34"/>
  <c r="L93" i="34"/>
  <c r="K93" i="34"/>
  <c r="Q92" i="34"/>
  <c r="P92" i="34"/>
  <c r="O92" i="34"/>
  <c r="N92" i="34"/>
  <c r="M92" i="34"/>
  <c r="L92" i="34"/>
  <c r="K92" i="34"/>
  <c r="Q91" i="34"/>
  <c r="P91" i="34"/>
  <c r="O91" i="34"/>
  <c r="N91" i="34"/>
  <c r="M91" i="34"/>
  <c r="L91" i="34"/>
  <c r="K91" i="34"/>
  <c r="Q90" i="34"/>
  <c r="P90" i="34"/>
  <c r="O90" i="34"/>
  <c r="N90" i="34"/>
  <c r="M90" i="34"/>
  <c r="L90" i="34"/>
  <c r="K90" i="34"/>
  <c r="Q89" i="34"/>
  <c r="P89" i="34"/>
  <c r="O89" i="34"/>
  <c r="N89" i="34"/>
  <c r="M89" i="34"/>
  <c r="L89" i="34"/>
  <c r="K89" i="34"/>
  <c r="Q88" i="34"/>
  <c r="P88" i="34"/>
  <c r="O88" i="34"/>
  <c r="N88" i="34"/>
  <c r="M88" i="34"/>
  <c r="L88" i="34"/>
  <c r="K88" i="34"/>
  <c r="Q87" i="34"/>
  <c r="P87" i="34"/>
  <c r="O87" i="34"/>
  <c r="N87" i="34"/>
  <c r="M87" i="34"/>
  <c r="L87" i="34"/>
  <c r="K87" i="34"/>
  <c r="Q86" i="34"/>
  <c r="P86" i="34"/>
  <c r="O86" i="34"/>
  <c r="N86" i="34"/>
  <c r="M86" i="34"/>
  <c r="L86" i="34"/>
  <c r="K86" i="34"/>
  <c r="Q85" i="34"/>
  <c r="P85" i="34"/>
  <c r="O85" i="34"/>
  <c r="N85" i="34"/>
  <c r="M85" i="34"/>
  <c r="L85" i="34"/>
  <c r="K85" i="34"/>
  <c r="Q84" i="34"/>
  <c r="P84" i="34"/>
  <c r="O84" i="34"/>
  <c r="N84" i="34"/>
  <c r="M84" i="34"/>
  <c r="L84" i="34"/>
  <c r="K84" i="34"/>
  <c r="Q83" i="34"/>
  <c r="P83" i="34"/>
  <c r="O83" i="34"/>
  <c r="N83" i="34"/>
  <c r="M83" i="34"/>
  <c r="L83" i="34"/>
  <c r="K83" i="34"/>
  <c r="Q82" i="34"/>
  <c r="P82" i="34"/>
  <c r="O82" i="34"/>
  <c r="N82" i="34"/>
  <c r="M82" i="34"/>
  <c r="L82" i="34"/>
  <c r="K82" i="34"/>
  <c r="Q81" i="34"/>
  <c r="P81" i="34"/>
  <c r="O81" i="34"/>
  <c r="N81" i="34"/>
  <c r="M81" i="34"/>
  <c r="L81" i="34"/>
  <c r="K81" i="34"/>
  <c r="Q80" i="34"/>
  <c r="P80" i="34"/>
  <c r="O80" i="34"/>
  <c r="N80" i="34"/>
  <c r="M80" i="34"/>
  <c r="L80" i="34"/>
  <c r="K80" i="34"/>
  <c r="Q79" i="34"/>
  <c r="P79" i="34"/>
  <c r="O79" i="34"/>
  <c r="N79" i="34"/>
  <c r="M79" i="34"/>
  <c r="L79" i="34"/>
  <c r="K79" i="34"/>
  <c r="Q78" i="34"/>
  <c r="P78" i="34"/>
  <c r="O78" i="34"/>
  <c r="N78" i="34"/>
  <c r="M78" i="34"/>
  <c r="L78" i="34"/>
  <c r="K78" i="34"/>
  <c r="Q77" i="34"/>
  <c r="P77" i="34"/>
  <c r="O77" i="34"/>
  <c r="N77" i="34"/>
  <c r="M77" i="34"/>
  <c r="L77" i="34"/>
  <c r="K77" i="34"/>
  <c r="Q76" i="34"/>
  <c r="P76" i="34"/>
  <c r="O76" i="34"/>
  <c r="N76" i="34"/>
  <c r="M76" i="34"/>
  <c r="L76" i="34"/>
  <c r="K76" i="34"/>
  <c r="Q75" i="34"/>
  <c r="P75" i="34"/>
  <c r="O75" i="34"/>
  <c r="N75" i="34"/>
  <c r="M75" i="34"/>
  <c r="L75" i="34"/>
  <c r="K75" i="34"/>
  <c r="Q74" i="34"/>
  <c r="P74" i="34"/>
  <c r="O74" i="34"/>
  <c r="N74" i="34"/>
  <c r="M74" i="34"/>
  <c r="L74" i="34"/>
  <c r="K74" i="34"/>
  <c r="Q73" i="34"/>
  <c r="P73" i="34"/>
  <c r="O73" i="34"/>
  <c r="N73" i="34"/>
  <c r="M73" i="34"/>
  <c r="L73" i="34"/>
  <c r="K73" i="34"/>
  <c r="Q72" i="34"/>
  <c r="P72" i="34"/>
  <c r="O72" i="34"/>
  <c r="N72" i="34"/>
  <c r="M72" i="34"/>
  <c r="L72" i="34"/>
  <c r="K72" i="34"/>
  <c r="Q71" i="34"/>
  <c r="P71" i="34"/>
  <c r="O71" i="34"/>
  <c r="N71" i="34"/>
  <c r="M71" i="34"/>
  <c r="L71" i="34"/>
  <c r="K71" i="34"/>
  <c r="Q70" i="34"/>
  <c r="P70" i="34"/>
  <c r="O70" i="34"/>
  <c r="N70" i="34"/>
  <c r="M70" i="34"/>
  <c r="L70" i="34"/>
  <c r="K70" i="34"/>
  <c r="Q69" i="34"/>
  <c r="P69" i="34"/>
  <c r="O69" i="34"/>
  <c r="N69" i="34"/>
  <c r="M69" i="34"/>
  <c r="L69" i="34"/>
  <c r="K69" i="34"/>
  <c r="Q68" i="34"/>
  <c r="P68" i="34"/>
  <c r="O68" i="34"/>
  <c r="N68" i="34"/>
  <c r="M68" i="34"/>
  <c r="L68" i="34"/>
  <c r="K68" i="34"/>
  <c r="Q67" i="34"/>
  <c r="P67" i="34"/>
  <c r="O67" i="34"/>
  <c r="N67" i="34"/>
  <c r="M67" i="34"/>
  <c r="L67" i="34"/>
  <c r="K67" i="34"/>
  <c r="Q66" i="34"/>
  <c r="P66" i="34"/>
  <c r="O66" i="34"/>
  <c r="N66" i="34"/>
  <c r="M66" i="34"/>
  <c r="L66" i="34"/>
  <c r="K66" i="34"/>
  <c r="Q65" i="34"/>
  <c r="P65" i="34"/>
  <c r="O65" i="34"/>
  <c r="N65" i="34"/>
  <c r="M65" i="34"/>
  <c r="L65" i="34"/>
  <c r="K65" i="34"/>
  <c r="Q64" i="34"/>
  <c r="P64" i="34"/>
  <c r="O64" i="34"/>
  <c r="N64" i="34"/>
  <c r="M64" i="34"/>
  <c r="L64" i="34"/>
  <c r="K64" i="34"/>
  <c r="Q63" i="34"/>
  <c r="P63" i="34"/>
  <c r="O63" i="34"/>
  <c r="N63" i="34"/>
  <c r="M63" i="34"/>
  <c r="L63" i="34"/>
  <c r="K63" i="34"/>
  <c r="Q62" i="34"/>
  <c r="P62" i="34"/>
  <c r="O62" i="34"/>
  <c r="N62" i="34"/>
  <c r="M62" i="34"/>
  <c r="L62" i="34"/>
  <c r="K62" i="34"/>
  <c r="Q61" i="34"/>
  <c r="P61" i="34"/>
  <c r="O61" i="34"/>
  <c r="N61" i="34"/>
  <c r="M61" i="34"/>
  <c r="L61" i="34"/>
  <c r="K61" i="34"/>
  <c r="Q60" i="34"/>
  <c r="P60" i="34"/>
  <c r="O60" i="34"/>
  <c r="N60" i="34"/>
  <c r="M60" i="34"/>
  <c r="L60" i="34"/>
  <c r="K60" i="34"/>
  <c r="Q59" i="34"/>
  <c r="P59" i="34"/>
  <c r="O59" i="34"/>
  <c r="N59" i="34"/>
  <c r="M59" i="34"/>
  <c r="L59" i="34"/>
  <c r="K59" i="34"/>
  <c r="Q58" i="34"/>
  <c r="P58" i="34"/>
  <c r="O58" i="34"/>
  <c r="N58" i="34"/>
  <c r="M58" i="34"/>
  <c r="L58" i="34"/>
  <c r="K58" i="34"/>
  <c r="Q57" i="34"/>
  <c r="P57" i="34"/>
  <c r="O57" i="34"/>
  <c r="N57" i="34"/>
  <c r="M57" i="34"/>
  <c r="L57" i="34"/>
  <c r="K57" i="34"/>
  <c r="Q56" i="34"/>
  <c r="P56" i="34"/>
  <c r="O56" i="34"/>
  <c r="N56" i="34"/>
  <c r="M56" i="34"/>
  <c r="L56" i="34"/>
  <c r="K56" i="34"/>
  <c r="Q55" i="34"/>
  <c r="P55" i="34"/>
  <c r="O55" i="34"/>
  <c r="N55" i="34"/>
  <c r="M55" i="34"/>
  <c r="L55" i="34"/>
  <c r="K55" i="34"/>
  <c r="Q54" i="34"/>
  <c r="P54" i="34"/>
  <c r="O54" i="34"/>
  <c r="N54" i="34"/>
  <c r="M54" i="34"/>
  <c r="L54" i="34"/>
  <c r="K54" i="34"/>
  <c r="Q53" i="34"/>
  <c r="P53" i="34"/>
  <c r="O53" i="34"/>
  <c r="N53" i="34"/>
  <c r="M53" i="34"/>
  <c r="L53" i="34"/>
  <c r="K53" i="34"/>
  <c r="Q52" i="34"/>
  <c r="P52" i="34"/>
  <c r="O52" i="34"/>
  <c r="N52" i="34"/>
  <c r="M52" i="34"/>
  <c r="L52" i="34"/>
  <c r="K52" i="34"/>
  <c r="Q51" i="34"/>
  <c r="P51" i="34"/>
  <c r="O51" i="34"/>
  <c r="N51" i="34"/>
  <c r="M51" i="34"/>
  <c r="L51" i="34"/>
  <c r="K51" i="34"/>
  <c r="Q50" i="34"/>
  <c r="P50" i="34"/>
  <c r="O50" i="34"/>
  <c r="N50" i="34"/>
  <c r="M50" i="34"/>
  <c r="L50" i="34"/>
  <c r="K50" i="34"/>
  <c r="Q49" i="34"/>
  <c r="P49" i="34"/>
  <c r="O49" i="34"/>
  <c r="N49" i="34"/>
  <c r="M49" i="34"/>
  <c r="L49" i="34"/>
  <c r="K49" i="34"/>
  <c r="Q48" i="34"/>
  <c r="P48" i="34"/>
  <c r="O48" i="34"/>
  <c r="N48" i="34"/>
  <c r="M48" i="34"/>
  <c r="L48" i="34"/>
  <c r="K48" i="34"/>
  <c r="Q47" i="34"/>
  <c r="P47" i="34"/>
  <c r="O47" i="34"/>
  <c r="N47" i="34"/>
  <c r="M47" i="34"/>
  <c r="L47" i="34"/>
  <c r="K47" i="34"/>
  <c r="Q46" i="34"/>
  <c r="P46" i="34"/>
  <c r="O46" i="34"/>
  <c r="N46" i="34"/>
  <c r="M46" i="34"/>
  <c r="L46" i="34"/>
  <c r="K46" i="34"/>
  <c r="Q45" i="34"/>
  <c r="P45" i="34"/>
  <c r="O45" i="34"/>
  <c r="N45" i="34"/>
  <c r="M45" i="34"/>
  <c r="L45" i="34"/>
  <c r="K45" i="34"/>
  <c r="Q44" i="34"/>
  <c r="P44" i="34"/>
  <c r="O44" i="34"/>
  <c r="N44" i="34"/>
  <c r="M44" i="34"/>
  <c r="L44" i="34"/>
  <c r="K44" i="34"/>
  <c r="Q43" i="34"/>
  <c r="P43" i="34"/>
  <c r="O43" i="34"/>
  <c r="N43" i="34"/>
  <c r="M43" i="34"/>
  <c r="L43" i="34"/>
  <c r="K43" i="34"/>
  <c r="Q42" i="34"/>
  <c r="P42" i="34"/>
  <c r="O42" i="34"/>
  <c r="N42" i="34"/>
  <c r="M42" i="34"/>
  <c r="L42" i="34"/>
  <c r="K42" i="34"/>
  <c r="Q41" i="34"/>
  <c r="P41" i="34"/>
  <c r="O41" i="34"/>
  <c r="N41" i="34"/>
  <c r="M41" i="34"/>
  <c r="L41" i="34"/>
  <c r="K41" i="34"/>
  <c r="Q40" i="34"/>
  <c r="P40" i="34"/>
  <c r="O40" i="34"/>
  <c r="N40" i="34"/>
  <c r="M40" i="34"/>
  <c r="L40" i="34"/>
  <c r="K40" i="34"/>
  <c r="Q39" i="34"/>
  <c r="P39" i="34"/>
  <c r="O39" i="34"/>
  <c r="N39" i="34"/>
  <c r="M39" i="34"/>
  <c r="L39" i="34"/>
  <c r="K39" i="34"/>
  <c r="Q38" i="34"/>
  <c r="P38" i="34"/>
  <c r="O38" i="34"/>
  <c r="N38" i="34"/>
  <c r="M38" i="34"/>
  <c r="L38" i="34"/>
  <c r="K38" i="34"/>
  <c r="Q37" i="34"/>
  <c r="P37" i="34"/>
  <c r="O37" i="34"/>
  <c r="N37" i="34"/>
  <c r="M37" i="34"/>
  <c r="L37" i="34"/>
  <c r="K37" i="34"/>
  <c r="Q36" i="34"/>
  <c r="P36" i="34"/>
  <c r="O36" i="34"/>
  <c r="N36" i="34"/>
  <c r="M36" i="34"/>
  <c r="L36" i="34"/>
  <c r="K36" i="34"/>
  <c r="Q35" i="34"/>
  <c r="P35" i="34"/>
  <c r="O35" i="34"/>
  <c r="N35" i="34"/>
  <c r="M35" i="34"/>
  <c r="L35" i="34"/>
  <c r="K35" i="34"/>
  <c r="Q34" i="34"/>
  <c r="P34" i="34"/>
  <c r="O34" i="34"/>
  <c r="N34" i="34"/>
  <c r="M34" i="34"/>
  <c r="L34" i="34"/>
  <c r="K34" i="34"/>
  <c r="Q33" i="34"/>
  <c r="P33" i="34"/>
  <c r="O33" i="34"/>
  <c r="N33" i="34"/>
  <c r="M33" i="34"/>
  <c r="L33" i="34"/>
  <c r="K33" i="34"/>
  <c r="Q32" i="34"/>
  <c r="P32" i="34"/>
  <c r="O32" i="34"/>
  <c r="N32" i="34"/>
  <c r="M32" i="34"/>
  <c r="L32" i="34"/>
  <c r="K32" i="34"/>
  <c r="Q31" i="34"/>
  <c r="P31" i="34"/>
  <c r="O31" i="34"/>
  <c r="N31" i="34"/>
  <c r="M31" i="34"/>
  <c r="L31" i="34"/>
  <c r="K31" i="34"/>
  <c r="Q30" i="34"/>
  <c r="P30" i="34"/>
  <c r="O30" i="34"/>
  <c r="N30" i="34"/>
  <c r="M30" i="34"/>
  <c r="L30" i="34"/>
  <c r="K30" i="34"/>
  <c r="Q29" i="34"/>
  <c r="P29" i="34"/>
  <c r="O29" i="34"/>
  <c r="N29" i="34"/>
  <c r="M29" i="34"/>
  <c r="L29" i="34"/>
  <c r="K29" i="34"/>
  <c r="Q28" i="34"/>
  <c r="P28" i="34"/>
  <c r="O28" i="34"/>
  <c r="N28" i="34"/>
  <c r="M28" i="34"/>
  <c r="L28" i="34"/>
  <c r="K28" i="34"/>
  <c r="Q27" i="34"/>
  <c r="P27" i="34"/>
  <c r="O27" i="34"/>
  <c r="N27" i="34"/>
  <c r="M27" i="34"/>
  <c r="L27" i="34"/>
  <c r="K27" i="34"/>
  <c r="Q26" i="34"/>
  <c r="P26" i="34"/>
  <c r="O26" i="34"/>
  <c r="N26" i="34"/>
  <c r="M26" i="34"/>
  <c r="L26" i="34"/>
  <c r="K26" i="34"/>
  <c r="Q25" i="34"/>
  <c r="P25" i="34"/>
  <c r="O25" i="34"/>
  <c r="N25" i="34"/>
  <c r="M25" i="34"/>
  <c r="L25" i="34"/>
  <c r="K25" i="34"/>
  <c r="Q24" i="34"/>
  <c r="P24" i="34"/>
  <c r="O24" i="34"/>
  <c r="N24" i="34"/>
  <c r="M24" i="34"/>
  <c r="L24" i="34"/>
  <c r="K24" i="34"/>
  <c r="Q23" i="34"/>
  <c r="P23" i="34"/>
  <c r="O23" i="34"/>
  <c r="N23" i="34"/>
  <c r="M23" i="34"/>
  <c r="L23" i="34"/>
  <c r="K23" i="34"/>
  <c r="Q22" i="34"/>
  <c r="P22" i="34"/>
  <c r="O22" i="34"/>
  <c r="N22" i="34"/>
  <c r="M22" i="34"/>
  <c r="L22" i="34"/>
  <c r="K22" i="34"/>
  <c r="Q21" i="34"/>
  <c r="P21" i="34"/>
  <c r="O21" i="34"/>
  <c r="N21" i="34"/>
  <c r="M21" i="34"/>
  <c r="L21" i="34"/>
  <c r="K21" i="34"/>
  <c r="Q20" i="34"/>
  <c r="P20" i="34"/>
  <c r="O20" i="34"/>
  <c r="N20" i="34"/>
  <c r="M20" i="34"/>
  <c r="L20" i="34"/>
  <c r="K20" i="34"/>
  <c r="Q19" i="34"/>
  <c r="P19" i="34"/>
  <c r="O19" i="34"/>
  <c r="N19" i="34"/>
  <c r="M19" i="34"/>
  <c r="L19" i="34"/>
  <c r="K19" i="34"/>
  <c r="Q18" i="34"/>
  <c r="P18" i="34"/>
  <c r="O18" i="34"/>
  <c r="N18" i="34"/>
  <c r="M18" i="34"/>
  <c r="L18" i="34"/>
  <c r="K18" i="34"/>
  <c r="Q17" i="34"/>
  <c r="P17" i="34"/>
  <c r="O17" i="34"/>
  <c r="N17" i="34"/>
  <c r="M17" i="34"/>
  <c r="L17" i="34"/>
  <c r="K17" i="34"/>
  <c r="Q16" i="34"/>
  <c r="P16" i="34"/>
  <c r="O16" i="34"/>
  <c r="N16" i="34"/>
  <c r="M16" i="34"/>
  <c r="L16" i="34"/>
  <c r="K16" i="34"/>
  <c r="Q15" i="34"/>
  <c r="P15" i="34"/>
  <c r="O15" i="34"/>
  <c r="N15" i="34"/>
  <c r="M15" i="34"/>
  <c r="L15" i="34"/>
  <c r="K15" i="34"/>
  <c r="Q14" i="34"/>
  <c r="P14" i="34"/>
  <c r="O14" i="34"/>
  <c r="N14" i="34"/>
  <c r="M14" i="34"/>
  <c r="L14" i="34"/>
  <c r="K14" i="34"/>
  <c r="A2" i="35"/>
  <c r="B30" i="1" s="1"/>
  <c r="Q203" i="35"/>
  <c r="P203" i="35"/>
  <c r="O203" i="35"/>
  <c r="N203" i="35"/>
  <c r="M203" i="35"/>
  <c r="L203" i="35"/>
  <c r="K203" i="35"/>
  <c r="Q202" i="35"/>
  <c r="P202" i="35"/>
  <c r="O202" i="35"/>
  <c r="N202" i="35"/>
  <c r="M202" i="35"/>
  <c r="L202" i="35"/>
  <c r="K202" i="35"/>
  <c r="Q201" i="35"/>
  <c r="P201" i="35"/>
  <c r="O201" i="35"/>
  <c r="N201" i="35"/>
  <c r="M201" i="35"/>
  <c r="L201" i="35"/>
  <c r="K201" i="35"/>
  <c r="Q200" i="35"/>
  <c r="P200" i="35"/>
  <c r="O200" i="35"/>
  <c r="N200" i="35"/>
  <c r="M200" i="35"/>
  <c r="L200" i="35"/>
  <c r="K200" i="35"/>
  <c r="Q199" i="35"/>
  <c r="P199" i="35"/>
  <c r="O199" i="35"/>
  <c r="N199" i="35"/>
  <c r="M199" i="35"/>
  <c r="L199" i="35"/>
  <c r="K199" i="35"/>
  <c r="Q198" i="35"/>
  <c r="P198" i="35"/>
  <c r="O198" i="35"/>
  <c r="N198" i="35"/>
  <c r="M198" i="35"/>
  <c r="L198" i="35"/>
  <c r="K198" i="35"/>
  <c r="Q197" i="35"/>
  <c r="P197" i="35"/>
  <c r="O197" i="35"/>
  <c r="N197" i="35"/>
  <c r="M197" i="35"/>
  <c r="L197" i="35"/>
  <c r="K197" i="35"/>
  <c r="Q196" i="35"/>
  <c r="P196" i="35"/>
  <c r="O196" i="35"/>
  <c r="N196" i="35"/>
  <c r="M196" i="35"/>
  <c r="L196" i="35"/>
  <c r="K196" i="35"/>
  <c r="Q195" i="35"/>
  <c r="P195" i="35"/>
  <c r="O195" i="35"/>
  <c r="N195" i="35"/>
  <c r="M195" i="35"/>
  <c r="L195" i="35"/>
  <c r="K195" i="35"/>
  <c r="Q194" i="35"/>
  <c r="P194" i="35"/>
  <c r="O194" i="35"/>
  <c r="N194" i="35"/>
  <c r="M194" i="35"/>
  <c r="L194" i="35"/>
  <c r="K194" i="35"/>
  <c r="Q193" i="35"/>
  <c r="P193" i="35"/>
  <c r="O193" i="35"/>
  <c r="N193" i="35"/>
  <c r="M193" i="35"/>
  <c r="L193" i="35"/>
  <c r="K193" i="35"/>
  <c r="Q192" i="35"/>
  <c r="P192" i="35"/>
  <c r="O192" i="35"/>
  <c r="N192" i="35"/>
  <c r="M192" i="35"/>
  <c r="L192" i="35"/>
  <c r="K192" i="35"/>
  <c r="Q191" i="35"/>
  <c r="P191" i="35"/>
  <c r="O191" i="35"/>
  <c r="N191" i="35"/>
  <c r="M191" i="35"/>
  <c r="L191" i="35"/>
  <c r="K191" i="35"/>
  <c r="Q190" i="35"/>
  <c r="P190" i="35"/>
  <c r="O190" i="35"/>
  <c r="N190" i="35"/>
  <c r="M190" i="35"/>
  <c r="L190" i="35"/>
  <c r="K190" i="35"/>
  <c r="Q189" i="35"/>
  <c r="P189" i="35"/>
  <c r="O189" i="35"/>
  <c r="N189" i="35"/>
  <c r="M189" i="35"/>
  <c r="L189" i="35"/>
  <c r="K189" i="35"/>
  <c r="Q188" i="35"/>
  <c r="P188" i="35"/>
  <c r="O188" i="35"/>
  <c r="N188" i="35"/>
  <c r="M188" i="35"/>
  <c r="L188" i="35"/>
  <c r="K188" i="35"/>
  <c r="Q187" i="35"/>
  <c r="P187" i="35"/>
  <c r="O187" i="35"/>
  <c r="N187" i="35"/>
  <c r="M187" i="35"/>
  <c r="L187" i="35"/>
  <c r="K187" i="35"/>
  <c r="Q186" i="35"/>
  <c r="P186" i="35"/>
  <c r="O186" i="35"/>
  <c r="N186" i="35"/>
  <c r="M186" i="35"/>
  <c r="L186" i="35"/>
  <c r="K186" i="35"/>
  <c r="Q185" i="35"/>
  <c r="P185" i="35"/>
  <c r="O185" i="35"/>
  <c r="N185" i="35"/>
  <c r="M185" i="35"/>
  <c r="L185" i="35"/>
  <c r="K185" i="35"/>
  <c r="Q184" i="35"/>
  <c r="P184" i="35"/>
  <c r="O184" i="35"/>
  <c r="N184" i="35"/>
  <c r="M184" i="35"/>
  <c r="L184" i="35"/>
  <c r="K184" i="35"/>
  <c r="Q183" i="35"/>
  <c r="P183" i="35"/>
  <c r="O183" i="35"/>
  <c r="N183" i="35"/>
  <c r="M183" i="35"/>
  <c r="L183" i="35"/>
  <c r="K183" i="35"/>
  <c r="Q182" i="35"/>
  <c r="P182" i="35"/>
  <c r="O182" i="35"/>
  <c r="N182" i="35"/>
  <c r="M182" i="35"/>
  <c r="L182" i="35"/>
  <c r="K182" i="35"/>
  <c r="Q181" i="35"/>
  <c r="P181" i="35"/>
  <c r="O181" i="35"/>
  <c r="N181" i="35"/>
  <c r="M181" i="35"/>
  <c r="L181" i="35"/>
  <c r="K181" i="35"/>
  <c r="Q180" i="35"/>
  <c r="P180" i="35"/>
  <c r="O180" i="35"/>
  <c r="N180" i="35"/>
  <c r="M180" i="35"/>
  <c r="L180" i="35"/>
  <c r="K180" i="35"/>
  <c r="Q179" i="35"/>
  <c r="P179" i="35"/>
  <c r="O179" i="35"/>
  <c r="N179" i="35"/>
  <c r="M179" i="35"/>
  <c r="L179" i="35"/>
  <c r="K179" i="35"/>
  <c r="Q178" i="35"/>
  <c r="P178" i="35"/>
  <c r="O178" i="35"/>
  <c r="N178" i="35"/>
  <c r="M178" i="35"/>
  <c r="L178" i="35"/>
  <c r="K178" i="35"/>
  <c r="Q177" i="35"/>
  <c r="P177" i="35"/>
  <c r="O177" i="35"/>
  <c r="N177" i="35"/>
  <c r="M177" i="35"/>
  <c r="L177" i="35"/>
  <c r="K177" i="35"/>
  <c r="Q176" i="35"/>
  <c r="P176" i="35"/>
  <c r="O176" i="35"/>
  <c r="N176" i="35"/>
  <c r="M176" i="35"/>
  <c r="L176" i="35"/>
  <c r="K176" i="35"/>
  <c r="Q175" i="35"/>
  <c r="P175" i="35"/>
  <c r="O175" i="35"/>
  <c r="N175" i="35"/>
  <c r="M175" i="35"/>
  <c r="L175" i="35"/>
  <c r="K175" i="35"/>
  <c r="Q174" i="35"/>
  <c r="P174" i="35"/>
  <c r="O174" i="35"/>
  <c r="N174" i="35"/>
  <c r="M174" i="35"/>
  <c r="L174" i="35"/>
  <c r="K174" i="35"/>
  <c r="Q173" i="35"/>
  <c r="P173" i="35"/>
  <c r="O173" i="35"/>
  <c r="N173" i="35"/>
  <c r="M173" i="35"/>
  <c r="L173" i="35"/>
  <c r="K173" i="35"/>
  <c r="Q172" i="35"/>
  <c r="P172" i="35"/>
  <c r="O172" i="35"/>
  <c r="N172" i="35"/>
  <c r="M172" i="35"/>
  <c r="L172" i="35"/>
  <c r="K172" i="35"/>
  <c r="Q171" i="35"/>
  <c r="P171" i="35"/>
  <c r="O171" i="35"/>
  <c r="N171" i="35"/>
  <c r="M171" i="35"/>
  <c r="L171" i="35"/>
  <c r="K171" i="35"/>
  <c r="Q170" i="35"/>
  <c r="P170" i="35"/>
  <c r="O170" i="35"/>
  <c r="N170" i="35"/>
  <c r="M170" i="35"/>
  <c r="L170" i="35"/>
  <c r="K170" i="35"/>
  <c r="Q169" i="35"/>
  <c r="P169" i="35"/>
  <c r="O169" i="35"/>
  <c r="N169" i="35"/>
  <c r="M169" i="35"/>
  <c r="L169" i="35"/>
  <c r="K169" i="35"/>
  <c r="Q168" i="35"/>
  <c r="P168" i="35"/>
  <c r="O168" i="35"/>
  <c r="N168" i="35"/>
  <c r="M168" i="35"/>
  <c r="L168" i="35"/>
  <c r="K168" i="35"/>
  <c r="Q167" i="35"/>
  <c r="P167" i="35"/>
  <c r="O167" i="35"/>
  <c r="N167" i="35"/>
  <c r="M167" i="35"/>
  <c r="L167" i="35"/>
  <c r="K167" i="35"/>
  <c r="Q166" i="35"/>
  <c r="P166" i="35"/>
  <c r="O166" i="35"/>
  <c r="N166" i="35"/>
  <c r="M166" i="35"/>
  <c r="L166" i="35"/>
  <c r="K166" i="35"/>
  <c r="Q165" i="35"/>
  <c r="P165" i="35"/>
  <c r="O165" i="35"/>
  <c r="N165" i="35"/>
  <c r="M165" i="35"/>
  <c r="L165" i="35"/>
  <c r="K165" i="35"/>
  <c r="Q164" i="35"/>
  <c r="P164" i="35"/>
  <c r="O164" i="35"/>
  <c r="N164" i="35"/>
  <c r="M164" i="35"/>
  <c r="L164" i="35"/>
  <c r="K164" i="35"/>
  <c r="Q163" i="35"/>
  <c r="P163" i="35"/>
  <c r="O163" i="35"/>
  <c r="N163" i="35"/>
  <c r="M163" i="35"/>
  <c r="L163" i="35"/>
  <c r="K163" i="35"/>
  <c r="Q162" i="35"/>
  <c r="P162" i="35"/>
  <c r="O162" i="35"/>
  <c r="N162" i="35"/>
  <c r="M162" i="35"/>
  <c r="L162" i="35"/>
  <c r="K162" i="35"/>
  <c r="Q161" i="35"/>
  <c r="P161" i="35"/>
  <c r="O161" i="35"/>
  <c r="N161" i="35"/>
  <c r="M161" i="35"/>
  <c r="L161" i="35"/>
  <c r="K161" i="35"/>
  <c r="Q160" i="35"/>
  <c r="P160" i="35"/>
  <c r="O160" i="35"/>
  <c r="N160" i="35"/>
  <c r="M160" i="35"/>
  <c r="L160" i="35"/>
  <c r="K160" i="35"/>
  <c r="Q159" i="35"/>
  <c r="P159" i="35"/>
  <c r="O159" i="35"/>
  <c r="N159" i="35"/>
  <c r="M159" i="35"/>
  <c r="L159" i="35"/>
  <c r="K159" i="35"/>
  <c r="Q158" i="35"/>
  <c r="P158" i="35"/>
  <c r="O158" i="35"/>
  <c r="N158" i="35"/>
  <c r="M158" i="35"/>
  <c r="L158" i="35"/>
  <c r="K158" i="35"/>
  <c r="Q157" i="35"/>
  <c r="P157" i="35"/>
  <c r="O157" i="35"/>
  <c r="N157" i="35"/>
  <c r="M157" i="35"/>
  <c r="L157" i="35"/>
  <c r="K157" i="35"/>
  <c r="Q156" i="35"/>
  <c r="P156" i="35"/>
  <c r="O156" i="35"/>
  <c r="N156" i="35"/>
  <c r="M156" i="35"/>
  <c r="L156" i="35"/>
  <c r="K156" i="35"/>
  <c r="Q155" i="35"/>
  <c r="P155" i="35"/>
  <c r="O155" i="35"/>
  <c r="N155" i="35"/>
  <c r="M155" i="35"/>
  <c r="L155" i="35"/>
  <c r="K155" i="35"/>
  <c r="Q154" i="35"/>
  <c r="P154" i="35"/>
  <c r="O154" i="35"/>
  <c r="N154" i="35"/>
  <c r="M154" i="35"/>
  <c r="L154" i="35"/>
  <c r="K154" i="35"/>
  <c r="Q153" i="35"/>
  <c r="P153" i="35"/>
  <c r="O153" i="35"/>
  <c r="N153" i="35"/>
  <c r="M153" i="35"/>
  <c r="L153" i="35"/>
  <c r="K153" i="35"/>
  <c r="Q152" i="35"/>
  <c r="P152" i="35"/>
  <c r="O152" i="35"/>
  <c r="N152" i="35"/>
  <c r="M152" i="35"/>
  <c r="L152" i="35"/>
  <c r="K152" i="35"/>
  <c r="Q151" i="35"/>
  <c r="P151" i="35"/>
  <c r="O151" i="35"/>
  <c r="N151" i="35"/>
  <c r="M151" i="35"/>
  <c r="L151" i="35"/>
  <c r="K151" i="35"/>
  <c r="Q150" i="35"/>
  <c r="P150" i="35"/>
  <c r="O150" i="35"/>
  <c r="N150" i="35"/>
  <c r="M150" i="35"/>
  <c r="L150" i="35"/>
  <c r="K150" i="35"/>
  <c r="Q149" i="35"/>
  <c r="P149" i="35"/>
  <c r="O149" i="35"/>
  <c r="N149" i="35"/>
  <c r="M149" i="35"/>
  <c r="L149" i="35"/>
  <c r="K149" i="35"/>
  <c r="Q148" i="35"/>
  <c r="P148" i="35"/>
  <c r="O148" i="35"/>
  <c r="N148" i="35"/>
  <c r="M148" i="35"/>
  <c r="L148" i="35"/>
  <c r="K148" i="35"/>
  <c r="Q147" i="35"/>
  <c r="P147" i="35"/>
  <c r="O147" i="35"/>
  <c r="N147" i="35"/>
  <c r="M147" i="35"/>
  <c r="L147" i="35"/>
  <c r="K147" i="35"/>
  <c r="Q146" i="35"/>
  <c r="P146" i="35"/>
  <c r="O146" i="35"/>
  <c r="N146" i="35"/>
  <c r="M146" i="35"/>
  <c r="L146" i="35"/>
  <c r="K146" i="35"/>
  <c r="Q145" i="35"/>
  <c r="P145" i="35"/>
  <c r="O145" i="35"/>
  <c r="N145" i="35"/>
  <c r="M145" i="35"/>
  <c r="L145" i="35"/>
  <c r="K145" i="35"/>
  <c r="Q144" i="35"/>
  <c r="P144" i="35"/>
  <c r="O144" i="35"/>
  <c r="N144" i="35"/>
  <c r="M144" i="35"/>
  <c r="L144" i="35"/>
  <c r="K144" i="35"/>
  <c r="Q143" i="35"/>
  <c r="P143" i="35"/>
  <c r="O143" i="35"/>
  <c r="N143" i="35"/>
  <c r="M143" i="35"/>
  <c r="L143" i="35"/>
  <c r="K143" i="35"/>
  <c r="Q142" i="35"/>
  <c r="P142" i="35"/>
  <c r="O142" i="35"/>
  <c r="N142" i="35"/>
  <c r="M142" i="35"/>
  <c r="L142" i="35"/>
  <c r="K142" i="35"/>
  <c r="Q141" i="35"/>
  <c r="P141" i="35"/>
  <c r="O141" i="35"/>
  <c r="N141" i="35"/>
  <c r="M141" i="35"/>
  <c r="L141" i="35"/>
  <c r="K141" i="35"/>
  <c r="Q140" i="35"/>
  <c r="P140" i="35"/>
  <c r="O140" i="35"/>
  <c r="N140" i="35"/>
  <c r="M140" i="35"/>
  <c r="L140" i="35"/>
  <c r="K140" i="35"/>
  <c r="Q139" i="35"/>
  <c r="P139" i="35"/>
  <c r="O139" i="35"/>
  <c r="N139" i="35"/>
  <c r="M139" i="35"/>
  <c r="L139" i="35"/>
  <c r="K139" i="35"/>
  <c r="Q138" i="35"/>
  <c r="P138" i="35"/>
  <c r="O138" i="35"/>
  <c r="N138" i="35"/>
  <c r="M138" i="35"/>
  <c r="L138" i="35"/>
  <c r="K138" i="35"/>
  <c r="Q137" i="35"/>
  <c r="P137" i="35"/>
  <c r="O137" i="35"/>
  <c r="N137" i="35"/>
  <c r="M137" i="35"/>
  <c r="L137" i="35"/>
  <c r="K137" i="35"/>
  <c r="Q136" i="35"/>
  <c r="P136" i="35"/>
  <c r="O136" i="35"/>
  <c r="N136" i="35"/>
  <c r="M136" i="35"/>
  <c r="L136" i="35"/>
  <c r="K136" i="35"/>
  <c r="Q135" i="35"/>
  <c r="P135" i="35"/>
  <c r="O135" i="35"/>
  <c r="N135" i="35"/>
  <c r="M135" i="35"/>
  <c r="L135" i="35"/>
  <c r="K135" i="35"/>
  <c r="Q134" i="35"/>
  <c r="P134" i="35"/>
  <c r="O134" i="35"/>
  <c r="N134" i="35"/>
  <c r="M134" i="35"/>
  <c r="L134" i="35"/>
  <c r="K134" i="35"/>
  <c r="Q133" i="35"/>
  <c r="P133" i="35"/>
  <c r="O133" i="35"/>
  <c r="N133" i="35"/>
  <c r="M133" i="35"/>
  <c r="L133" i="35"/>
  <c r="K133" i="35"/>
  <c r="Q132" i="35"/>
  <c r="P132" i="35"/>
  <c r="O132" i="35"/>
  <c r="N132" i="35"/>
  <c r="M132" i="35"/>
  <c r="L132" i="35"/>
  <c r="K132" i="35"/>
  <c r="Q131" i="35"/>
  <c r="P131" i="35"/>
  <c r="O131" i="35"/>
  <c r="N131" i="35"/>
  <c r="M131" i="35"/>
  <c r="L131" i="35"/>
  <c r="K131" i="35"/>
  <c r="Q130" i="35"/>
  <c r="P130" i="35"/>
  <c r="O130" i="35"/>
  <c r="N130" i="35"/>
  <c r="M130" i="35"/>
  <c r="L130" i="35"/>
  <c r="K130" i="35"/>
  <c r="Q129" i="35"/>
  <c r="P129" i="35"/>
  <c r="O129" i="35"/>
  <c r="N129" i="35"/>
  <c r="M129" i="35"/>
  <c r="L129" i="35"/>
  <c r="K129" i="35"/>
  <c r="Q128" i="35"/>
  <c r="P128" i="35"/>
  <c r="O128" i="35"/>
  <c r="N128" i="35"/>
  <c r="M128" i="35"/>
  <c r="L128" i="35"/>
  <c r="K128" i="35"/>
  <c r="Q127" i="35"/>
  <c r="P127" i="35"/>
  <c r="O127" i="35"/>
  <c r="N127" i="35"/>
  <c r="M127" i="35"/>
  <c r="L127" i="35"/>
  <c r="K127" i="35"/>
  <c r="Q126" i="35"/>
  <c r="P126" i="35"/>
  <c r="O126" i="35"/>
  <c r="N126" i="35"/>
  <c r="M126" i="35"/>
  <c r="L126" i="35"/>
  <c r="K126" i="35"/>
  <c r="Q125" i="35"/>
  <c r="P125" i="35"/>
  <c r="O125" i="35"/>
  <c r="N125" i="35"/>
  <c r="M125" i="35"/>
  <c r="L125" i="35"/>
  <c r="K125" i="35"/>
  <c r="Q124" i="35"/>
  <c r="P124" i="35"/>
  <c r="O124" i="35"/>
  <c r="N124" i="35"/>
  <c r="M124" i="35"/>
  <c r="L124" i="35"/>
  <c r="K124" i="35"/>
  <c r="Q123" i="35"/>
  <c r="P123" i="35"/>
  <c r="O123" i="35"/>
  <c r="N123" i="35"/>
  <c r="M123" i="35"/>
  <c r="L123" i="35"/>
  <c r="K123" i="35"/>
  <c r="Q122" i="35"/>
  <c r="P122" i="35"/>
  <c r="O122" i="35"/>
  <c r="N122" i="35"/>
  <c r="M122" i="35"/>
  <c r="L122" i="35"/>
  <c r="K122" i="35"/>
  <c r="Q121" i="35"/>
  <c r="P121" i="35"/>
  <c r="O121" i="35"/>
  <c r="N121" i="35"/>
  <c r="M121" i="35"/>
  <c r="L121" i="35"/>
  <c r="K121" i="35"/>
  <c r="Q120" i="35"/>
  <c r="P120" i="35"/>
  <c r="O120" i="35"/>
  <c r="N120" i="35"/>
  <c r="M120" i="35"/>
  <c r="L120" i="35"/>
  <c r="K120" i="35"/>
  <c r="Q119" i="35"/>
  <c r="P119" i="35"/>
  <c r="O119" i="35"/>
  <c r="N119" i="35"/>
  <c r="M119" i="35"/>
  <c r="L119" i="35"/>
  <c r="K119" i="35"/>
  <c r="Q118" i="35"/>
  <c r="P118" i="35"/>
  <c r="O118" i="35"/>
  <c r="N118" i="35"/>
  <c r="M118" i="35"/>
  <c r="L118" i="35"/>
  <c r="K118" i="35"/>
  <c r="Q117" i="35"/>
  <c r="P117" i="35"/>
  <c r="O117" i="35"/>
  <c r="N117" i="35"/>
  <c r="M117" i="35"/>
  <c r="L117" i="35"/>
  <c r="K117" i="35"/>
  <c r="Q116" i="35"/>
  <c r="P116" i="35"/>
  <c r="O116" i="35"/>
  <c r="N116" i="35"/>
  <c r="M116" i="35"/>
  <c r="L116" i="35"/>
  <c r="K116" i="35"/>
  <c r="Q115" i="35"/>
  <c r="P115" i="35"/>
  <c r="O115" i="35"/>
  <c r="N115" i="35"/>
  <c r="M115" i="35"/>
  <c r="L115" i="35"/>
  <c r="K115" i="35"/>
  <c r="Q114" i="35"/>
  <c r="P114" i="35"/>
  <c r="O114" i="35"/>
  <c r="N114" i="35"/>
  <c r="M114" i="35"/>
  <c r="L114" i="35"/>
  <c r="K114" i="35"/>
  <c r="Q113" i="35"/>
  <c r="P113" i="35"/>
  <c r="O113" i="35"/>
  <c r="N113" i="35"/>
  <c r="M113" i="35"/>
  <c r="L113" i="35"/>
  <c r="K113" i="35"/>
  <c r="Q112" i="35"/>
  <c r="P112" i="35"/>
  <c r="O112" i="35"/>
  <c r="N112" i="35"/>
  <c r="M112" i="35"/>
  <c r="L112" i="35"/>
  <c r="K112" i="35"/>
  <c r="Q111" i="35"/>
  <c r="P111" i="35"/>
  <c r="O111" i="35"/>
  <c r="N111" i="35"/>
  <c r="M111" i="35"/>
  <c r="L111" i="35"/>
  <c r="K111" i="35"/>
  <c r="Q110" i="35"/>
  <c r="P110" i="35"/>
  <c r="O110" i="35"/>
  <c r="N110" i="35"/>
  <c r="M110" i="35"/>
  <c r="L110" i="35"/>
  <c r="K110" i="35"/>
  <c r="Q109" i="35"/>
  <c r="P109" i="35"/>
  <c r="O109" i="35"/>
  <c r="N109" i="35"/>
  <c r="M109" i="35"/>
  <c r="L109" i="35"/>
  <c r="K109" i="35"/>
  <c r="Q108" i="35"/>
  <c r="P108" i="35"/>
  <c r="O108" i="35"/>
  <c r="N108" i="35"/>
  <c r="M108" i="35"/>
  <c r="L108" i="35"/>
  <c r="K108" i="35"/>
  <c r="Q107" i="35"/>
  <c r="P107" i="35"/>
  <c r="O107" i="35"/>
  <c r="N107" i="35"/>
  <c r="M107" i="35"/>
  <c r="L107" i="35"/>
  <c r="K107" i="35"/>
  <c r="Q106" i="35"/>
  <c r="P106" i="35"/>
  <c r="O106" i="35"/>
  <c r="N106" i="35"/>
  <c r="M106" i="35"/>
  <c r="L106" i="35"/>
  <c r="K106" i="35"/>
  <c r="Q105" i="35"/>
  <c r="P105" i="35"/>
  <c r="O105" i="35"/>
  <c r="N105" i="35"/>
  <c r="M105" i="35"/>
  <c r="L105" i="35"/>
  <c r="K105" i="35"/>
  <c r="Q104" i="35"/>
  <c r="P104" i="35"/>
  <c r="O104" i="35"/>
  <c r="N104" i="35"/>
  <c r="M104" i="35"/>
  <c r="L104" i="35"/>
  <c r="K104" i="35"/>
  <c r="Q103" i="35"/>
  <c r="P103" i="35"/>
  <c r="O103" i="35"/>
  <c r="N103" i="35"/>
  <c r="M103" i="35"/>
  <c r="L103" i="35"/>
  <c r="K103" i="35"/>
  <c r="Q102" i="35"/>
  <c r="P102" i="35"/>
  <c r="O102" i="35"/>
  <c r="N102" i="35"/>
  <c r="M102" i="35"/>
  <c r="L102" i="35"/>
  <c r="K102" i="35"/>
  <c r="Q101" i="35"/>
  <c r="P101" i="35"/>
  <c r="O101" i="35"/>
  <c r="N101" i="35"/>
  <c r="M101" i="35"/>
  <c r="L101" i="35"/>
  <c r="K101" i="35"/>
  <c r="Q100" i="35"/>
  <c r="P100" i="35"/>
  <c r="O100" i="35"/>
  <c r="N100" i="35"/>
  <c r="M100" i="35"/>
  <c r="L100" i="35"/>
  <c r="K100" i="35"/>
  <c r="Q99" i="35"/>
  <c r="P99" i="35"/>
  <c r="O99" i="35"/>
  <c r="N99" i="35"/>
  <c r="M99" i="35"/>
  <c r="L99" i="35"/>
  <c r="K99" i="35"/>
  <c r="Q98" i="35"/>
  <c r="P98" i="35"/>
  <c r="O98" i="35"/>
  <c r="N98" i="35"/>
  <c r="M98" i="35"/>
  <c r="L98" i="35"/>
  <c r="K98" i="35"/>
  <c r="Q97" i="35"/>
  <c r="P97" i="35"/>
  <c r="O97" i="35"/>
  <c r="N97" i="35"/>
  <c r="M97" i="35"/>
  <c r="L97" i="35"/>
  <c r="K97" i="35"/>
  <c r="Q96" i="35"/>
  <c r="P96" i="35"/>
  <c r="O96" i="35"/>
  <c r="N96" i="35"/>
  <c r="M96" i="35"/>
  <c r="L96" i="35"/>
  <c r="K96" i="35"/>
  <c r="Q95" i="35"/>
  <c r="P95" i="35"/>
  <c r="O95" i="35"/>
  <c r="N95" i="35"/>
  <c r="M95" i="35"/>
  <c r="L95" i="35"/>
  <c r="K95" i="35"/>
  <c r="Q94" i="35"/>
  <c r="P94" i="35"/>
  <c r="O94" i="35"/>
  <c r="N94" i="35"/>
  <c r="M94" i="35"/>
  <c r="L94" i="35"/>
  <c r="K94" i="35"/>
  <c r="Q93" i="35"/>
  <c r="P93" i="35"/>
  <c r="O93" i="35"/>
  <c r="N93" i="35"/>
  <c r="M93" i="35"/>
  <c r="L93" i="35"/>
  <c r="K93" i="35"/>
  <c r="Q92" i="35"/>
  <c r="P92" i="35"/>
  <c r="O92" i="35"/>
  <c r="N92" i="35"/>
  <c r="M92" i="35"/>
  <c r="L92" i="35"/>
  <c r="K92" i="35"/>
  <c r="Q91" i="35"/>
  <c r="P91" i="35"/>
  <c r="O91" i="35"/>
  <c r="N91" i="35"/>
  <c r="M91" i="35"/>
  <c r="L91" i="35"/>
  <c r="K91" i="35"/>
  <c r="Q90" i="35"/>
  <c r="P90" i="35"/>
  <c r="O90" i="35"/>
  <c r="N90" i="35"/>
  <c r="M90" i="35"/>
  <c r="L90" i="35"/>
  <c r="K90" i="35"/>
  <c r="Q89" i="35"/>
  <c r="P89" i="35"/>
  <c r="O89" i="35"/>
  <c r="N89" i="35"/>
  <c r="M89" i="35"/>
  <c r="L89" i="35"/>
  <c r="K89" i="35"/>
  <c r="Q88" i="35"/>
  <c r="P88" i="35"/>
  <c r="O88" i="35"/>
  <c r="N88" i="35"/>
  <c r="M88" i="35"/>
  <c r="L88" i="35"/>
  <c r="K88" i="35"/>
  <c r="Q87" i="35"/>
  <c r="P87" i="35"/>
  <c r="O87" i="35"/>
  <c r="N87" i="35"/>
  <c r="M87" i="35"/>
  <c r="L87" i="35"/>
  <c r="K87" i="35"/>
  <c r="Q86" i="35"/>
  <c r="P86" i="35"/>
  <c r="O86" i="35"/>
  <c r="N86" i="35"/>
  <c r="M86" i="35"/>
  <c r="L86" i="35"/>
  <c r="K86" i="35"/>
  <c r="Q85" i="35"/>
  <c r="P85" i="35"/>
  <c r="O85" i="35"/>
  <c r="N85" i="35"/>
  <c r="M85" i="35"/>
  <c r="L85" i="35"/>
  <c r="K85" i="35"/>
  <c r="Q84" i="35"/>
  <c r="P84" i="35"/>
  <c r="O84" i="35"/>
  <c r="N84" i="35"/>
  <c r="M84" i="35"/>
  <c r="L84" i="35"/>
  <c r="K84" i="35"/>
  <c r="Q83" i="35"/>
  <c r="P83" i="35"/>
  <c r="O83" i="35"/>
  <c r="N83" i="35"/>
  <c r="M83" i="35"/>
  <c r="L83" i="35"/>
  <c r="K83" i="35"/>
  <c r="Q82" i="35"/>
  <c r="P82" i="35"/>
  <c r="O82" i="35"/>
  <c r="N82" i="35"/>
  <c r="M82" i="35"/>
  <c r="L82" i="35"/>
  <c r="K82" i="35"/>
  <c r="Q81" i="35"/>
  <c r="P81" i="35"/>
  <c r="O81" i="35"/>
  <c r="N81" i="35"/>
  <c r="M81" i="35"/>
  <c r="L81" i="35"/>
  <c r="K81" i="35"/>
  <c r="Q80" i="35"/>
  <c r="P80" i="35"/>
  <c r="O80" i="35"/>
  <c r="N80" i="35"/>
  <c r="M80" i="35"/>
  <c r="L80" i="35"/>
  <c r="K80" i="35"/>
  <c r="Q79" i="35"/>
  <c r="P79" i="35"/>
  <c r="O79" i="35"/>
  <c r="N79" i="35"/>
  <c r="M79" i="35"/>
  <c r="L79" i="35"/>
  <c r="K79" i="35"/>
  <c r="Q78" i="35"/>
  <c r="P78" i="35"/>
  <c r="O78" i="35"/>
  <c r="N78" i="35"/>
  <c r="M78" i="35"/>
  <c r="L78" i="35"/>
  <c r="K78" i="35"/>
  <c r="Q77" i="35"/>
  <c r="P77" i="35"/>
  <c r="O77" i="35"/>
  <c r="N77" i="35"/>
  <c r="M77" i="35"/>
  <c r="L77" i="35"/>
  <c r="K77" i="35"/>
  <c r="Q76" i="35"/>
  <c r="P76" i="35"/>
  <c r="O76" i="35"/>
  <c r="N76" i="35"/>
  <c r="M76" i="35"/>
  <c r="L76" i="35"/>
  <c r="K76" i="35"/>
  <c r="Q75" i="35"/>
  <c r="P75" i="35"/>
  <c r="O75" i="35"/>
  <c r="N75" i="35"/>
  <c r="M75" i="35"/>
  <c r="L75" i="35"/>
  <c r="K75" i="35"/>
  <c r="Q74" i="35"/>
  <c r="P74" i="35"/>
  <c r="O74" i="35"/>
  <c r="N74" i="35"/>
  <c r="M74" i="35"/>
  <c r="L74" i="35"/>
  <c r="K74" i="35"/>
  <c r="Q73" i="35"/>
  <c r="P73" i="35"/>
  <c r="O73" i="35"/>
  <c r="N73" i="35"/>
  <c r="M73" i="35"/>
  <c r="L73" i="35"/>
  <c r="K73" i="35"/>
  <c r="Q72" i="35"/>
  <c r="P72" i="35"/>
  <c r="O72" i="35"/>
  <c r="N72" i="35"/>
  <c r="M72" i="35"/>
  <c r="L72" i="35"/>
  <c r="K72" i="35"/>
  <c r="Q71" i="35"/>
  <c r="P71" i="35"/>
  <c r="O71" i="35"/>
  <c r="N71" i="35"/>
  <c r="M71" i="35"/>
  <c r="L71" i="35"/>
  <c r="K71" i="35"/>
  <c r="Q70" i="35"/>
  <c r="P70" i="35"/>
  <c r="O70" i="35"/>
  <c r="N70" i="35"/>
  <c r="M70" i="35"/>
  <c r="L70" i="35"/>
  <c r="K70" i="35"/>
  <c r="Q69" i="35"/>
  <c r="P69" i="35"/>
  <c r="O69" i="35"/>
  <c r="N69" i="35"/>
  <c r="M69" i="35"/>
  <c r="L69" i="35"/>
  <c r="K69" i="35"/>
  <c r="Q68" i="35"/>
  <c r="P68" i="35"/>
  <c r="O68" i="35"/>
  <c r="N68" i="35"/>
  <c r="M68" i="35"/>
  <c r="L68" i="35"/>
  <c r="K68" i="35"/>
  <c r="Q67" i="35"/>
  <c r="P67" i="35"/>
  <c r="O67" i="35"/>
  <c r="N67" i="35"/>
  <c r="M67" i="35"/>
  <c r="L67" i="35"/>
  <c r="K67" i="35"/>
  <c r="Q66" i="35"/>
  <c r="P66" i="35"/>
  <c r="O66" i="35"/>
  <c r="N66" i="35"/>
  <c r="M66" i="35"/>
  <c r="L66" i="35"/>
  <c r="K66" i="35"/>
  <c r="Q65" i="35"/>
  <c r="P65" i="35"/>
  <c r="O65" i="35"/>
  <c r="N65" i="35"/>
  <c r="M65" i="35"/>
  <c r="L65" i="35"/>
  <c r="K65" i="35"/>
  <c r="Q64" i="35"/>
  <c r="P64" i="35"/>
  <c r="O64" i="35"/>
  <c r="N64" i="35"/>
  <c r="M64" i="35"/>
  <c r="L64" i="35"/>
  <c r="K64" i="35"/>
  <c r="Q63" i="35"/>
  <c r="P63" i="35"/>
  <c r="O63" i="35"/>
  <c r="N63" i="35"/>
  <c r="M63" i="35"/>
  <c r="L63" i="35"/>
  <c r="K63" i="35"/>
  <c r="Q62" i="35"/>
  <c r="P62" i="35"/>
  <c r="O62" i="35"/>
  <c r="N62" i="35"/>
  <c r="M62" i="35"/>
  <c r="L62" i="35"/>
  <c r="K62" i="35"/>
  <c r="Q61" i="35"/>
  <c r="P61" i="35"/>
  <c r="O61" i="35"/>
  <c r="N61" i="35"/>
  <c r="M61" i="35"/>
  <c r="L61" i="35"/>
  <c r="K61" i="35"/>
  <c r="Q60" i="35"/>
  <c r="P60" i="35"/>
  <c r="O60" i="35"/>
  <c r="N60" i="35"/>
  <c r="M60" i="35"/>
  <c r="L60" i="35"/>
  <c r="K60" i="35"/>
  <c r="Q59" i="35"/>
  <c r="P59" i="35"/>
  <c r="O59" i="35"/>
  <c r="N59" i="35"/>
  <c r="M59" i="35"/>
  <c r="L59" i="35"/>
  <c r="K59" i="35"/>
  <c r="Q58" i="35"/>
  <c r="P58" i="35"/>
  <c r="O58" i="35"/>
  <c r="N58" i="35"/>
  <c r="M58" i="35"/>
  <c r="L58" i="35"/>
  <c r="K58" i="35"/>
  <c r="Q57" i="35"/>
  <c r="P57" i="35"/>
  <c r="O57" i="35"/>
  <c r="N57" i="35"/>
  <c r="M57" i="35"/>
  <c r="L57" i="35"/>
  <c r="K57" i="35"/>
  <c r="Q56" i="35"/>
  <c r="P56" i="35"/>
  <c r="O56" i="35"/>
  <c r="N56" i="35"/>
  <c r="M56" i="35"/>
  <c r="L56" i="35"/>
  <c r="K56" i="35"/>
  <c r="Q55" i="35"/>
  <c r="P55" i="35"/>
  <c r="O55" i="35"/>
  <c r="N55" i="35"/>
  <c r="M55" i="35"/>
  <c r="L55" i="35"/>
  <c r="K55" i="35"/>
  <c r="Q54" i="35"/>
  <c r="P54" i="35"/>
  <c r="O54" i="35"/>
  <c r="N54" i="35"/>
  <c r="M54" i="35"/>
  <c r="L54" i="35"/>
  <c r="K54" i="35"/>
  <c r="Q53" i="35"/>
  <c r="P53" i="35"/>
  <c r="O53" i="35"/>
  <c r="N53" i="35"/>
  <c r="M53" i="35"/>
  <c r="L53" i="35"/>
  <c r="K53" i="35"/>
  <c r="Q52" i="35"/>
  <c r="P52" i="35"/>
  <c r="O52" i="35"/>
  <c r="N52" i="35"/>
  <c r="M52" i="35"/>
  <c r="L52" i="35"/>
  <c r="K52" i="35"/>
  <c r="Q51" i="35"/>
  <c r="P51" i="35"/>
  <c r="O51" i="35"/>
  <c r="N51" i="35"/>
  <c r="M51" i="35"/>
  <c r="L51" i="35"/>
  <c r="K51" i="35"/>
  <c r="Q50" i="35"/>
  <c r="P50" i="35"/>
  <c r="O50" i="35"/>
  <c r="N50" i="35"/>
  <c r="M50" i="35"/>
  <c r="L50" i="35"/>
  <c r="K50" i="35"/>
  <c r="Q49" i="35"/>
  <c r="P49" i="35"/>
  <c r="O49" i="35"/>
  <c r="N49" i="35"/>
  <c r="M49" i="35"/>
  <c r="L49" i="35"/>
  <c r="K49" i="35"/>
  <c r="Q48" i="35"/>
  <c r="P48" i="35"/>
  <c r="O48" i="35"/>
  <c r="N48" i="35"/>
  <c r="M48" i="35"/>
  <c r="L48" i="35"/>
  <c r="K48" i="35"/>
  <c r="Q47" i="35"/>
  <c r="P47" i="35"/>
  <c r="O47" i="35"/>
  <c r="N47" i="35"/>
  <c r="M47" i="35"/>
  <c r="L47" i="35"/>
  <c r="K47" i="35"/>
  <c r="Q46" i="35"/>
  <c r="P46" i="35"/>
  <c r="O46" i="35"/>
  <c r="N46" i="35"/>
  <c r="M46" i="35"/>
  <c r="L46" i="35"/>
  <c r="K46" i="35"/>
  <c r="Q45" i="35"/>
  <c r="P45" i="35"/>
  <c r="O45" i="35"/>
  <c r="N45" i="35"/>
  <c r="M45" i="35"/>
  <c r="L45" i="35"/>
  <c r="K45" i="35"/>
  <c r="Q44" i="35"/>
  <c r="P44" i="35"/>
  <c r="O44" i="35"/>
  <c r="N44" i="35"/>
  <c r="M44" i="35"/>
  <c r="L44" i="35"/>
  <c r="K44" i="35"/>
  <c r="Q43" i="35"/>
  <c r="P43" i="35"/>
  <c r="O43" i="35"/>
  <c r="N43" i="35"/>
  <c r="M43" i="35"/>
  <c r="L43" i="35"/>
  <c r="K43" i="35"/>
  <c r="Q42" i="35"/>
  <c r="P42" i="35"/>
  <c r="O42" i="35"/>
  <c r="N42" i="35"/>
  <c r="M42" i="35"/>
  <c r="L42" i="35"/>
  <c r="K42" i="35"/>
  <c r="Q41" i="35"/>
  <c r="P41" i="35"/>
  <c r="O41" i="35"/>
  <c r="N41" i="35"/>
  <c r="M41" i="35"/>
  <c r="L41" i="35"/>
  <c r="K41" i="35"/>
  <c r="Q40" i="35"/>
  <c r="P40" i="35"/>
  <c r="O40" i="35"/>
  <c r="N40" i="35"/>
  <c r="M40" i="35"/>
  <c r="L40" i="35"/>
  <c r="K40" i="35"/>
  <c r="Q39" i="35"/>
  <c r="P39" i="35"/>
  <c r="O39" i="35"/>
  <c r="N39" i="35"/>
  <c r="M39" i="35"/>
  <c r="L39" i="35"/>
  <c r="K39" i="35"/>
  <c r="Q38" i="35"/>
  <c r="P38" i="35"/>
  <c r="O38" i="35"/>
  <c r="N38" i="35"/>
  <c r="M38" i="35"/>
  <c r="L38" i="35"/>
  <c r="K38" i="35"/>
  <c r="Q37" i="35"/>
  <c r="P37" i="35"/>
  <c r="O37" i="35"/>
  <c r="N37" i="35"/>
  <c r="M37" i="35"/>
  <c r="L37" i="35"/>
  <c r="K37" i="35"/>
  <c r="Q36" i="35"/>
  <c r="P36" i="35"/>
  <c r="O36" i="35"/>
  <c r="N36" i="35"/>
  <c r="M36" i="35"/>
  <c r="L36" i="35"/>
  <c r="K36" i="35"/>
  <c r="Q35" i="35"/>
  <c r="P35" i="35"/>
  <c r="O35" i="35"/>
  <c r="N35" i="35"/>
  <c r="M35" i="35"/>
  <c r="L35" i="35"/>
  <c r="K35" i="35"/>
  <c r="Q34" i="35"/>
  <c r="P34" i="35"/>
  <c r="O34" i="35"/>
  <c r="N34" i="35"/>
  <c r="M34" i="35"/>
  <c r="L34" i="35"/>
  <c r="K34" i="35"/>
  <c r="Q33" i="35"/>
  <c r="P33" i="35"/>
  <c r="O33" i="35"/>
  <c r="N33" i="35"/>
  <c r="M33" i="35"/>
  <c r="L33" i="35"/>
  <c r="K33" i="35"/>
  <c r="Q32" i="35"/>
  <c r="P32" i="35"/>
  <c r="O32" i="35"/>
  <c r="N32" i="35"/>
  <c r="M32" i="35"/>
  <c r="L32" i="35"/>
  <c r="K32" i="35"/>
  <c r="Q31" i="35"/>
  <c r="P31" i="35"/>
  <c r="O31" i="35"/>
  <c r="N31" i="35"/>
  <c r="M31" i="35"/>
  <c r="L31" i="35"/>
  <c r="K31" i="35"/>
  <c r="Q30" i="35"/>
  <c r="P30" i="35"/>
  <c r="O30" i="35"/>
  <c r="N30" i="35"/>
  <c r="M30" i="35"/>
  <c r="L30" i="35"/>
  <c r="K30" i="35"/>
  <c r="Q29" i="35"/>
  <c r="P29" i="35"/>
  <c r="O29" i="35"/>
  <c r="N29" i="35"/>
  <c r="M29" i="35"/>
  <c r="L29" i="35"/>
  <c r="K29" i="35"/>
  <c r="Q28" i="35"/>
  <c r="P28" i="35"/>
  <c r="O28" i="35"/>
  <c r="N28" i="35"/>
  <c r="M28" i="35"/>
  <c r="L28" i="35"/>
  <c r="K28" i="35"/>
  <c r="Q27" i="35"/>
  <c r="P27" i="35"/>
  <c r="O27" i="35"/>
  <c r="N27" i="35"/>
  <c r="M27" i="35"/>
  <c r="L27" i="35"/>
  <c r="K27" i="35"/>
  <c r="Q26" i="35"/>
  <c r="P26" i="35"/>
  <c r="O26" i="35"/>
  <c r="N26" i="35"/>
  <c r="M26" i="35"/>
  <c r="L26" i="35"/>
  <c r="K26" i="35"/>
  <c r="Q25" i="35"/>
  <c r="P25" i="35"/>
  <c r="O25" i="35"/>
  <c r="N25" i="35"/>
  <c r="M25" i="35"/>
  <c r="L25" i="35"/>
  <c r="K25" i="35"/>
  <c r="Q24" i="35"/>
  <c r="P24" i="35"/>
  <c r="O24" i="35"/>
  <c r="N24" i="35"/>
  <c r="M24" i="35"/>
  <c r="L24" i="35"/>
  <c r="K24" i="35"/>
  <c r="Q23" i="35"/>
  <c r="P23" i="35"/>
  <c r="O23" i="35"/>
  <c r="N23" i="35"/>
  <c r="M23" i="35"/>
  <c r="L23" i="35"/>
  <c r="K23" i="35"/>
  <c r="Q22" i="35"/>
  <c r="P22" i="35"/>
  <c r="O22" i="35"/>
  <c r="N22" i="35"/>
  <c r="M22" i="35"/>
  <c r="L22" i="35"/>
  <c r="K22" i="35"/>
  <c r="Q21" i="35"/>
  <c r="P21" i="35"/>
  <c r="O21" i="35"/>
  <c r="N21" i="35"/>
  <c r="M21" i="35"/>
  <c r="L21" i="35"/>
  <c r="K21" i="35"/>
  <c r="Q20" i="35"/>
  <c r="P20" i="35"/>
  <c r="O20" i="35"/>
  <c r="N20" i="35"/>
  <c r="M20" i="35"/>
  <c r="L20" i="35"/>
  <c r="K20" i="35"/>
  <c r="Q19" i="35"/>
  <c r="P19" i="35"/>
  <c r="O19" i="35"/>
  <c r="N19" i="35"/>
  <c r="M19" i="35"/>
  <c r="L19" i="35"/>
  <c r="K19" i="35"/>
  <c r="Q18" i="35"/>
  <c r="P18" i="35"/>
  <c r="O18" i="35"/>
  <c r="N18" i="35"/>
  <c r="M18" i="35"/>
  <c r="L18" i="35"/>
  <c r="K18" i="35"/>
  <c r="Q17" i="35"/>
  <c r="P17" i="35"/>
  <c r="O17" i="35"/>
  <c r="N17" i="35"/>
  <c r="M17" i="35"/>
  <c r="L17" i="35"/>
  <c r="K17" i="35"/>
  <c r="Q16" i="35"/>
  <c r="P16" i="35"/>
  <c r="O16" i="35"/>
  <c r="N16" i="35"/>
  <c r="M16" i="35"/>
  <c r="L16" i="35"/>
  <c r="K16" i="35"/>
  <c r="Q15" i="35"/>
  <c r="P15" i="35"/>
  <c r="O15" i="35"/>
  <c r="N15" i="35"/>
  <c r="M15" i="35"/>
  <c r="L15" i="35"/>
  <c r="K15" i="35"/>
  <c r="Q14" i="35"/>
  <c r="P14" i="35"/>
  <c r="O14" i="35"/>
  <c r="N14" i="35"/>
  <c r="M14" i="35"/>
  <c r="L14" i="35"/>
  <c r="K14" i="35"/>
  <c r="A2" i="33"/>
  <c r="Q203" i="33"/>
  <c r="P203" i="33"/>
  <c r="O203" i="33"/>
  <c r="N203" i="33"/>
  <c r="M203" i="33"/>
  <c r="L203" i="33"/>
  <c r="K203" i="33"/>
  <c r="Q202" i="33"/>
  <c r="P202" i="33"/>
  <c r="O202" i="33"/>
  <c r="N202" i="33"/>
  <c r="M202" i="33"/>
  <c r="L202" i="33"/>
  <c r="K202" i="33"/>
  <c r="Q201" i="33"/>
  <c r="P201" i="33"/>
  <c r="O201" i="33"/>
  <c r="N201" i="33"/>
  <c r="M201" i="33"/>
  <c r="L201" i="33"/>
  <c r="K201" i="33"/>
  <c r="Q200" i="33"/>
  <c r="P200" i="33"/>
  <c r="O200" i="33"/>
  <c r="N200" i="33"/>
  <c r="M200" i="33"/>
  <c r="L200" i="33"/>
  <c r="K200" i="33"/>
  <c r="Q199" i="33"/>
  <c r="P199" i="33"/>
  <c r="O199" i="33"/>
  <c r="N199" i="33"/>
  <c r="M199" i="33"/>
  <c r="L199" i="33"/>
  <c r="K199" i="33"/>
  <c r="Q198" i="33"/>
  <c r="P198" i="33"/>
  <c r="O198" i="33"/>
  <c r="N198" i="33"/>
  <c r="M198" i="33"/>
  <c r="L198" i="33"/>
  <c r="K198" i="33"/>
  <c r="Q197" i="33"/>
  <c r="P197" i="33"/>
  <c r="O197" i="33"/>
  <c r="N197" i="33"/>
  <c r="M197" i="33"/>
  <c r="L197" i="33"/>
  <c r="K197" i="33"/>
  <c r="Q196" i="33"/>
  <c r="P196" i="33"/>
  <c r="O196" i="33"/>
  <c r="N196" i="33"/>
  <c r="M196" i="33"/>
  <c r="L196" i="33"/>
  <c r="K196" i="33"/>
  <c r="Q195" i="33"/>
  <c r="P195" i="33"/>
  <c r="O195" i="33"/>
  <c r="N195" i="33"/>
  <c r="M195" i="33"/>
  <c r="L195" i="33"/>
  <c r="K195" i="33"/>
  <c r="Q194" i="33"/>
  <c r="P194" i="33"/>
  <c r="O194" i="33"/>
  <c r="N194" i="33"/>
  <c r="M194" i="33"/>
  <c r="L194" i="33"/>
  <c r="K194" i="33"/>
  <c r="Q193" i="33"/>
  <c r="P193" i="33"/>
  <c r="O193" i="33"/>
  <c r="N193" i="33"/>
  <c r="M193" i="33"/>
  <c r="L193" i="33"/>
  <c r="K193" i="33"/>
  <c r="Q192" i="33"/>
  <c r="P192" i="33"/>
  <c r="O192" i="33"/>
  <c r="N192" i="33"/>
  <c r="M192" i="33"/>
  <c r="L192" i="33"/>
  <c r="K192" i="33"/>
  <c r="Q191" i="33"/>
  <c r="P191" i="33"/>
  <c r="O191" i="33"/>
  <c r="N191" i="33"/>
  <c r="M191" i="33"/>
  <c r="L191" i="33"/>
  <c r="K191" i="33"/>
  <c r="Q190" i="33"/>
  <c r="P190" i="33"/>
  <c r="O190" i="33"/>
  <c r="N190" i="33"/>
  <c r="M190" i="33"/>
  <c r="L190" i="33"/>
  <c r="K190" i="33"/>
  <c r="Q189" i="33"/>
  <c r="P189" i="33"/>
  <c r="O189" i="33"/>
  <c r="N189" i="33"/>
  <c r="M189" i="33"/>
  <c r="L189" i="33"/>
  <c r="K189" i="33"/>
  <c r="Q188" i="33"/>
  <c r="P188" i="33"/>
  <c r="O188" i="33"/>
  <c r="N188" i="33"/>
  <c r="M188" i="33"/>
  <c r="L188" i="33"/>
  <c r="K188" i="33"/>
  <c r="Q187" i="33"/>
  <c r="P187" i="33"/>
  <c r="O187" i="33"/>
  <c r="N187" i="33"/>
  <c r="M187" i="33"/>
  <c r="L187" i="33"/>
  <c r="K187" i="33"/>
  <c r="Q186" i="33"/>
  <c r="P186" i="33"/>
  <c r="O186" i="33"/>
  <c r="N186" i="33"/>
  <c r="M186" i="33"/>
  <c r="L186" i="33"/>
  <c r="K186" i="33"/>
  <c r="Q185" i="33"/>
  <c r="P185" i="33"/>
  <c r="O185" i="33"/>
  <c r="N185" i="33"/>
  <c r="M185" i="33"/>
  <c r="L185" i="33"/>
  <c r="K185" i="33"/>
  <c r="Q184" i="33"/>
  <c r="P184" i="33"/>
  <c r="O184" i="33"/>
  <c r="N184" i="33"/>
  <c r="M184" i="33"/>
  <c r="L184" i="33"/>
  <c r="K184" i="33"/>
  <c r="Q183" i="33"/>
  <c r="P183" i="33"/>
  <c r="O183" i="33"/>
  <c r="N183" i="33"/>
  <c r="M183" i="33"/>
  <c r="L183" i="33"/>
  <c r="K183" i="33"/>
  <c r="Q182" i="33"/>
  <c r="P182" i="33"/>
  <c r="O182" i="33"/>
  <c r="N182" i="33"/>
  <c r="M182" i="33"/>
  <c r="L182" i="33"/>
  <c r="K182" i="33"/>
  <c r="Q181" i="33"/>
  <c r="P181" i="33"/>
  <c r="O181" i="33"/>
  <c r="N181" i="33"/>
  <c r="M181" i="33"/>
  <c r="L181" i="33"/>
  <c r="K181" i="33"/>
  <c r="Q180" i="33"/>
  <c r="P180" i="33"/>
  <c r="O180" i="33"/>
  <c r="N180" i="33"/>
  <c r="M180" i="33"/>
  <c r="L180" i="33"/>
  <c r="K180" i="33"/>
  <c r="Q179" i="33"/>
  <c r="P179" i="33"/>
  <c r="O179" i="33"/>
  <c r="N179" i="33"/>
  <c r="M179" i="33"/>
  <c r="L179" i="33"/>
  <c r="K179" i="33"/>
  <c r="Q178" i="33"/>
  <c r="P178" i="33"/>
  <c r="O178" i="33"/>
  <c r="N178" i="33"/>
  <c r="M178" i="33"/>
  <c r="L178" i="33"/>
  <c r="K178" i="33"/>
  <c r="Q177" i="33"/>
  <c r="P177" i="33"/>
  <c r="O177" i="33"/>
  <c r="N177" i="33"/>
  <c r="M177" i="33"/>
  <c r="L177" i="33"/>
  <c r="K177" i="33"/>
  <c r="Q176" i="33"/>
  <c r="P176" i="33"/>
  <c r="O176" i="33"/>
  <c r="N176" i="33"/>
  <c r="M176" i="33"/>
  <c r="L176" i="33"/>
  <c r="K176" i="33"/>
  <c r="Q175" i="33"/>
  <c r="P175" i="33"/>
  <c r="O175" i="33"/>
  <c r="N175" i="33"/>
  <c r="M175" i="33"/>
  <c r="L175" i="33"/>
  <c r="K175" i="33"/>
  <c r="Q174" i="33"/>
  <c r="P174" i="33"/>
  <c r="O174" i="33"/>
  <c r="N174" i="33"/>
  <c r="M174" i="33"/>
  <c r="L174" i="33"/>
  <c r="K174" i="33"/>
  <c r="Q173" i="33"/>
  <c r="P173" i="33"/>
  <c r="O173" i="33"/>
  <c r="N173" i="33"/>
  <c r="M173" i="33"/>
  <c r="L173" i="33"/>
  <c r="K173" i="33"/>
  <c r="Q172" i="33"/>
  <c r="P172" i="33"/>
  <c r="O172" i="33"/>
  <c r="N172" i="33"/>
  <c r="M172" i="33"/>
  <c r="L172" i="33"/>
  <c r="K172" i="33"/>
  <c r="Q171" i="33"/>
  <c r="P171" i="33"/>
  <c r="O171" i="33"/>
  <c r="N171" i="33"/>
  <c r="M171" i="33"/>
  <c r="L171" i="33"/>
  <c r="K171" i="33"/>
  <c r="Q170" i="33"/>
  <c r="P170" i="33"/>
  <c r="O170" i="33"/>
  <c r="N170" i="33"/>
  <c r="M170" i="33"/>
  <c r="L170" i="33"/>
  <c r="K170" i="33"/>
  <c r="Q169" i="33"/>
  <c r="P169" i="33"/>
  <c r="O169" i="33"/>
  <c r="N169" i="33"/>
  <c r="M169" i="33"/>
  <c r="L169" i="33"/>
  <c r="K169" i="33"/>
  <c r="Q168" i="33"/>
  <c r="P168" i="33"/>
  <c r="O168" i="33"/>
  <c r="N168" i="33"/>
  <c r="M168" i="33"/>
  <c r="L168" i="33"/>
  <c r="K168" i="33"/>
  <c r="Q167" i="33"/>
  <c r="P167" i="33"/>
  <c r="O167" i="33"/>
  <c r="N167" i="33"/>
  <c r="M167" i="33"/>
  <c r="L167" i="33"/>
  <c r="K167" i="33"/>
  <c r="Q166" i="33"/>
  <c r="P166" i="33"/>
  <c r="O166" i="33"/>
  <c r="N166" i="33"/>
  <c r="M166" i="33"/>
  <c r="L166" i="33"/>
  <c r="K166" i="33"/>
  <c r="Q165" i="33"/>
  <c r="P165" i="33"/>
  <c r="O165" i="33"/>
  <c r="N165" i="33"/>
  <c r="M165" i="33"/>
  <c r="L165" i="33"/>
  <c r="K165" i="33"/>
  <c r="Q164" i="33"/>
  <c r="P164" i="33"/>
  <c r="O164" i="33"/>
  <c r="N164" i="33"/>
  <c r="M164" i="33"/>
  <c r="L164" i="33"/>
  <c r="K164" i="33"/>
  <c r="Q163" i="33"/>
  <c r="P163" i="33"/>
  <c r="O163" i="33"/>
  <c r="N163" i="33"/>
  <c r="M163" i="33"/>
  <c r="L163" i="33"/>
  <c r="K163" i="33"/>
  <c r="Q162" i="33"/>
  <c r="P162" i="33"/>
  <c r="O162" i="33"/>
  <c r="N162" i="33"/>
  <c r="M162" i="33"/>
  <c r="L162" i="33"/>
  <c r="K162" i="33"/>
  <c r="Q161" i="33"/>
  <c r="P161" i="33"/>
  <c r="O161" i="33"/>
  <c r="N161" i="33"/>
  <c r="M161" i="33"/>
  <c r="L161" i="33"/>
  <c r="K161" i="33"/>
  <c r="Q160" i="33"/>
  <c r="P160" i="33"/>
  <c r="O160" i="33"/>
  <c r="N160" i="33"/>
  <c r="M160" i="33"/>
  <c r="L160" i="33"/>
  <c r="K160" i="33"/>
  <c r="Q159" i="33"/>
  <c r="P159" i="33"/>
  <c r="O159" i="33"/>
  <c r="N159" i="33"/>
  <c r="M159" i="33"/>
  <c r="L159" i="33"/>
  <c r="K159" i="33"/>
  <c r="Q158" i="33"/>
  <c r="P158" i="33"/>
  <c r="O158" i="33"/>
  <c r="N158" i="33"/>
  <c r="M158" i="33"/>
  <c r="L158" i="33"/>
  <c r="K158" i="33"/>
  <c r="Q157" i="33"/>
  <c r="P157" i="33"/>
  <c r="O157" i="33"/>
  <c r="N157" i="33"/>
  <c r="M157" i="33"/>
  <c r="L157" i="33"/>
  <c r="K157" i="33"/>
  <c r="Q156" i="33"/>
  <c r="P156" i="33"/>
  <c r="O156" i="33"/>
  <c r="N156" i="33"/>
  <c r="M156" i="33"/>
  <c r="L156" i="33"/>
  <c r="K156" i="33"/>
  <c r="Q155" i="33"/>
  <c r="P155" i="33"/>
  <c r="O155" i="33"/>
  <c r="N155" i="33"/>
  <c r="M155" i="33"/>
  <c r="L155" i="33"/>
  <c r="K155" i="33"/>
  <c r="Q154" i="33"/>
  <c r="P154" i="33"/>
  <c r="O154" i="33"/>
  <c r="N154" i="33"/>
  <c r="M154" i="33"/>
  <c r="L154" i="33"/>
  <c r="K154" i="33"/>
  <c r="Q153" i="33"/>
  <c r="P153" i="33"/>
  <c r="O153" i="33"/>
  <c r="N153" i="33"/>
  <c r="M153" i="33"/>
  <c r="L153" i="33"/>
  <c r="K153" i="33"/>
  <c r="Q152" i="33"/>
  <c r="P152" i="33"/>
  <c r="O152" i="33"/>
  <c r="N152" i="33"/>
  <c r="M152" i="33"/>
  <c r="L152" i="33"/>
  <c r="K152" i="33"/>
  <c r="Q151" i="33"/>
  <c r="P151" i="33"/>
  <c r="O151" i="33"/>
  <c r="N151" i="33"/>
  <c r="M151" i="33"/>
  <c r="L151" i="33"/>
  <c r="K151" i="33"/>
  <c r="Q150" i="33"/>
  <c r="P150" i="33"/>
  <c r="O150" i="33"/>
  <c r="N150" i="33"/>
  <c r="M150" i="33"/>
  <c r="L150" i="33"/>
  <c r="K150" i="33"/>
  <c r="Q149" i="33"/>
  <c r="P149" i="33"/>
  <c r="O149" i="33"/>
  <c r="N149" i="33"/>
  <c r="M149" i="33"/>
  <c r="L149" i="33"/>
  <c r="K149" i="33"/>
  <c r="Q148" i="33"/>
  <c r="P148" i="33"/>
  <c r="O148" i="33"/>
  <c r="N148" i="33"/>
  <c r="M148" i="33"/>
  <c r="L148" i="33"/>
  <c r="K148" i="33"/>
  <c r="Q147" i="33"/>
  <c r="P147" i="33"/>
  <c r="O147" i="33"/>
  <c r="N147" i="33"/>
  <c r="M147" i="33"/>
  <c r="L147" i="33"/>
  <c r="K147" i="33"/>
  <c r="Q146" i="33"/>
  <c r="P146" i="33"/>
  <c r="O146" i="33"/>
  <c r="N146" i="33"/>
  <c r="M146" i="33"/>
  <c r="L146" i="33"/>
  <c r="K146" i="33"/>
  <c r="Q145" i="33"/>
  <c r="P145" i="33"/>
  <c r="O145" i="33"/>
  <c r="N145" i="33"/>
  <c r="M145" i="33"/>
  <c r="L145" i="33"/>
  <c r="K145" i="33"/>
  <c r="Q144" i="33"/>
  <c r="P144" i="33"/>
  <c r="O144" i="33"/>
  <c r="N144" i="33"/>
  <c r="M144" i="33"/>
  <c r="L144" i="33"/>
  <c r="K144" i="33"/>
  <c r="Q143" i="33"/>
  <c r="P143" i="33"/>
  <c r="O143" i="33"/>
  <c r="N143" i="33"/>
  <c r="M143" i="33"/>
  <c r="L143" i="33"/>
  <c r="K143" i="33"/>
  <c r="Q142" i="33"/>
  <c r="P142" i="33"/>
  <c r="O142" i="33"/>
  <c r="N142" i="33"/>
  <c r="M142" i="33"/>
  <c r="L142" i="33"/>
  <c r="K142" i="33"/>
  <c r="Q141" i="33"/>
  <c r="P141" i="33"/>
  <c r="O141" i="33"/>
  <c r="N141" i="33"/>
  <c r="M141" i="33"/>
  <c r="L141" i="33"/>
  <c r="K141" i="33"/>
  <c r="Q140" i="33"/>
  <c r="P140" i="33"/>
  <c r="O140" i="33"/>
  <c r="N140" i="33"/>
  <c r="M140" i="33"/>
  <c r="L140" i="33"/>
  <c r="K140" i="33"/>
  <c r="Q139" i="33"/>
  <c r="P139" i="33"/>
  <c r="O139" i="33"/>
  <c r="N139" i="33"/>
  <c r="M139" i="33"/>
  <c r="L139" i="33"/>
  <c r="K139" i="33"/>
  <c r="Q138" i="33"/>
  <c r="P138" i="33"/>
  <c r="O138" i="33"/>
  <c r="N138" i="33"/>
  <c r="M138" i="33"/>
  <c r="L138" i="33"/>
  <c r="K138" i="33"/>
  <c r="Q137" i="33"/>
  <c r="P137" i="33"/>
  <c r="O137" i="33"/>
  <c r="N137" i="33"/>
  <c r="M137" i="33"/>
  <c r="L137" i="33"/>
  <c r="K137" i="33"/>
  <c r="Q136" i="33"/>
  <c r="P136" i="33"/>
  <c r="O136" i="33"/>
  <c r="N136" i="33"/>
  <c r="M136" i="33"/>
  <c r="L136" i="33"/>
  <c r="K136" i="33"/>
  <c r="Q135" i="33"/>
  <c r="P135" i="33"/>
  <c r="O135" i="33"/>
  <c r="N135" i="33"/>
  <c r="M135" i="33"/>
  <c r="L135" i="33"/>
  <c r="K135" i="33"/>
  <c r="Q134" i="33"/>
  <c r="P134" i="33"/>
  <c r="O134" i="33"/>
  <c r="N134" i="33"/>
  <c r="M134" i="33"/>
  <c r="L134" i="33"/>
  <c r="K134" i="33"/>
  <c r="Q133" i="33"/>
  <c r="P133" i="33"/>
  <c r="O133" i="33"/>
  <c r="N133" i="33"/>
  <c r="M133" i="33"/>
  <c r="L133" i="33"/>
  <c r="K133" i="33"/>
  <c r="Q132" i="33"/>
  <c r="P132" i="33"/>
  <c r="O132" i="33"/>
  <c r="N132" i="33"/>
  <c r="M132" i="33"/>
  <c r="L132" i="33"/>
  <c r="K132" i="33"/>
  <c r="Q131" i="33"/>
  <c r="P131" i="33"/>
  <c r="O131" i="33"/>
  <c r="N131" i="33"/>
  <c r="M131" i="33"/>
  <c r="L131" i="33"/>
  <c r="K131" i="33"/>
  <c r="Q130" i="33"/>
  <c r="P130" i="33"/>
  <c r="O130" i="33"/>
  <c r="N130" i="33"/>
  <c r="M130" i="33"/>
  <c r="L130" i="33"/>
  <c r="K130" i="33"/>
  <c r="Q129" i="33"/>
  <c r="P129" i="33"/>
  <c r="O129" i="33"/>
  <c r="N129" i="33"/>
  <c r="M129" i="33"/>
  <c r="L129" i="33"/>
  <c r="K129" i="33"/>
  <c r="Q128" i="33"/>
  <c r="P128" i="33"/>
  <c r="O128" i="33"/>
  <c r="N128" i="33"/>
  <c r="M128" i="33"/>
  <c r="L128" i="33"/>
  <c r="K128" i="33"/>
  <c r="Q127" i="33"/>
  <c r="P127" i="33"/>
  <c r="O127" i="33"/>
  <c r="N127" i="33"/>
  <c r="M127" i="33"/>
  <c r="L127" i="33"/>
  <c r="K127" i="33"/>
  <c r="Q126" i="33"/>
  <c r="P126" i="33"/>
  <c r="O126" i="33"/>
  <c r="N126" i="33"/>
  <c r="M126" i="33"/>
  <c r="L126" i="33"/>
  <c r="K126" i="33"/>
  <c r="Q125" i="33"/>
  <c r="P125" i="33"/>
  <c r="O125" i="33"/>
  <c r="N125" i="33"/>
  <c r="M125" i="33"/>
  <c r="L125" i="33"/>
  <c r="K125" i="33"/>
  <c r="Q124" i="33"/>
  <c r="P124" i="33"/>
  <c r="O124" i="33"/>
  <c r="N124" i="33"/>
  <c r="M124" i="33"/>
  <c r="L124" i="33"/>
  <c r="K124" i="33"/>
  <c r="Q123" i="33"/>
  <c r="P123" i="33"/>
  <c r="O123" i="33"/>
  <c r="N123" i="33"/>
  <c r="M123" i="33"/>
  <c r="L123" i="33"/>
  <c r="K123" i="33"/>
  <c r="Q122" i="33"/>
  <c r="P122" i="33"/>
  <c r="O122" i="33"/>
  <c r="N122" i="33"/>
  <c r="M122" i="33"/>
  <c r="L122" i="33"/>
  <c r="K122" i="33"/>
  <c r="Q121" i="33"/>
  <c r="P121" i="33"/>
  <c r="O121" i="33"/>
  <c r="N121" i="33"/>
  <c r="M121" i="33"/>
  <c r="L121" i="33"/>
  <c r="K121" i="33"/>
  <c r="Q120" i="33"/>
  <c r="P120" i="33"/>
  <c r="O120" i="33"/>
  <c r="N120" i="33"/>
  <c r="M120" i="33"/>
  <c r="L120" i="33"/>
  <c r="K120" i="33"/>
  <c r="Q119" i="33"/>
  <c r="P119" i="33"/>
  <c r="O119" i="33"/>
  <c r="N119" i="33"/>
  <c r="M119" i="33"/>
  <c r="L119" i="33"/>
  <c r="K119" i="33"/>
  <c r="Q118" i="33"/>
  <c r="P118" i="33"/>
  <c r="O118" i="33"/>
  <c r="N118" i="33"/>
  <c r="M118" i="33"/>
  <c r="L118" i="33"/>
  <c r="K118" i="33"/>
  <c r="Q117" i="33"/>
  <c r="P117" i="33"/>
  <c r="O117" i="33"/>
  <c r="N117" i="33"/>
  <c r="M117" i="33"/>
  <c r="L117" i="33"/>
  <c r="K117" i="33"/>
  <c r="Q116" i="33"/>
  <c r="P116" i="33"/>
  <c r="O116" i="33"/>
  <c r="N116" i="33"/>
  <c r="M116" i="33"/>
  <c r="L116" i="33"/>
  <c r="K116" i="33"/>
  <c r="Q115" i="33"/>
  <c r="P115" i="33"/>
  <c r="O115" i="33"/>
  <c r="N115" i="33"/>
  <c r="M115" i="33"/>
  <c r="L115" i="33"/>
  <c r="K115" i="33"/>
  <c r="Q114" i="33"/>
  <c r="P114" i="33"/>
  <c r="O114" i="33"/>
  <c r="N114" i="33"/>
  <c r="M114" i="33"/>
  <c r="L114" i="33"/>
  <c r="K114" i="33"/>
  <c r="Q113" i="33"/>
  <c r="P113" i="33"/>
  <c r="O113" i="33"/>
  <c r="N113" i="33"/>
  <c r="M113" i="33"/>
  <c r="L113" i="33"/>
  <c r="K113" i="33"/>
  <c r="Q112" i="33"/>
  <c r="P112" i="33"/>
  <c r="O112" i="33"/>
  <c r="N112" i="33"/>
  <c r="M112" i="33"/>
  <c r="L112" i="33"/>
  <c r="K112" i="33"/>
  <c r="Q111" i="33"/>
  <c r="P111" i="33"/>
  <c r="O111" i="33"/>
  <c r="N111" i="33"/>
  <c r="M111" i="33"/>
  <c r="L111" i="33"/>
  <c r="K111" i="33"/>
  <c r="Q110" i="33"/>
  <c r="P110" i="33"/>
  <c r="O110" i="33"/>
  <c r="N110" i="33"/>
  <c r="M110" i="33"/>
  <c r="L110" i="33"/>
  <c r="K110" i="33"/>
  <c r="Q109" i="33"/>
  <c r="P109" i="33"/>
  <c r="O109" i="33"/>
  <c r="N109" i="33"/>
  <c r="M109" i="33"/>
  <c r="L109" i="33"/>
  <c r="K109" i="33"/>
  <c r="Q108" i="33"/>
  <c r="P108" i="33"/>
  <c r="O108" i="33"/>
  <c r="N108" i="33"/>
  <c r="M108" i="33"/>
  <c r="L108" i="33"/>
  <c r="K108" i="33"/>
  <c r="Q107" i="33"/>
  <c r="P107" i="33"/>
  <c r="O107" i="33"/>
  <c r="N107" i="33"/>
  <c r="M107" i="33"/>
  <c r="L107" i="33"/>
  <c r="K107" i="33"/>
  <c r="Q106" i="33"/>
  <c r="P106" i="33"/>
  <c r="O106" i="33"/>
  <c r="N106" i="33"/>
  <c r="M106" i="33"/>
  <c r="L106" i="33"/>
  <c r="K106" i="33"/>
  <c r="Q105" i="33"/>
  <c r="P105" i="33"/>
  <c r="O105" i="33"/>
  <c r="N105" i="33"/>
  <c r="M105" i="33"/>
  <c r="L105" i="33"/>
  <c r="K105" i="33"/>
  <c r="Q104" i="33"/>
  <c r="P104" i="33"/>
  <c r="O104" i="33"/>
  <c r="N104" i="33"/>
  <c r="M104" i="33"/>
  <c r="L104" i="33"/>
  <c r="K104" i="33"/>
  <c r="Q103" i="33"/>
  <c r="P103" i="33"/>
  <c r="O103" i="33"/>
  <c r="N103" i="33"/>
  <c r="M103" i="33"/>
  <c r="L103" i="33"/>
  <c r="K103" i="33"/>
  <c r="Q102" i="33"/>
  <c r="P102" i="33"/>
  <c r="O102" i="33"/>
  <c r="N102" i="33"/>
  <c r="M102" i="33"/>
  <c r="L102" i="33"/>
  <c r="K102" i="33"/>
  <c r="Q101" i="33"/>
  <c r="P101" i="33"/>
  <c r="O101" i="33"/>
  <c r="N101" i="33"/>
  <c r="M101" i="33"/>
  <c r="L101" i="33"/>
  <c r="K101" i="33"/>
  <c r="Q100" i="33"/>
  <c r="P100" i="33"/>
  <c r="O100" i="33"/>
  <c r="N100" i="33"/>
  <c r="M100" i="33"/>
  <c r="L100" i="33"/>
  <c r="K100" i="33"/>
  <c r="Q99" i="33"/>
  <c r="P99" i="33"/>
  <c r="O99" i="33"/>
  <c r="N99" i="33"/>
  <c r="M99" i="33"/>
  <c r="L99" i="33"/>
  <c r="K99" i="33"/>
  <c r="Q98" i="33"/>
  <c r="P98" i="33"/>
  <c r="O98" i="33"/>
  <c r="N98" i="33"/>
  <c r="M98" i="33"/>
  <c r="L98" i="33"/>
  <c r="K98" i="33"/>
  <c r="Q97" i="33"/>
  <c r="P97" i="33"/>
  <c r="O97" i="33"/>
  <c r="N97" i="33"/>
  <c r="M97" i="33"/>
  <c r="L97" i="33"/>
  <c r="K97" i="33"/>
  <c r="Q96" i="33"/>
  <c r="P96" i="33"/>
  <c r="O96" i="33"/>
  <c r="N96" i="33"/>
  <c r="M96" i="33"/>
  <c r="L96" i="33"/>
  <c r="K96" i="33"/>
  <c r="Q95" i="33"/>
  <c r="P95" i="33"/>
  <c r="O95" i="33"/>
  <c r="N95" i="33"/>
  <c r="M95" i="33"/>
  <c r="L95" i="33"/>
  <c r="K95" i="33"/>
  <c r="Q94" i="33"/>
  <c r="P94" i="33"/>
  <c r="O94" i="33"/>
  <c r="N94" i="33"/>
  <c r="M94" i="33"/>
  <c r="L94" i="33"/>
  <c r="K94" i="33"/>
  <c r="Q93" i="33"/>
  <c r="P93" i="33"/>
  <c r="O93" i="33"/>
  <c r="N93" i="33"/>
  <c r="M93" i="33"/>
  <c r="L93" i="33"/>
  <c r="K93" i="33"/>
  <c r="Q92" i="33"/>
  <c r="P92" i="33"/>
  <c r="O92" i="33"/>
  <c r="N92" i="33"/>
  <c r="M92" i="33"/>
  <c r="L92" i="33"/>
  <c r="K92" i="33"/>
  <c r="Q91" i="33"/>
  <c r="P91" i="33"/>
  <c r="O91" i="33"/>
  <c r="N91" i="33"/>
  <c r="M91" i="33"/>
  <c r="L91" i="33"/>
  <c r="K91" i="33"/>
  <c r="Q90" i="33"/>
  <c r="P90" i="33"/>
  <c r="O90" i="33"/>
  <c r="N90" i="33"/>
  <c r="M90" i="33"/>
  <c r="L90" i="33"/>
  <c r="K90" i="33"/>
  <c r="Q89" i="33"/>
  <c r="P89" i="33"/>
  <c r="O89" i="33"/>
  <c r="N89" i="33"/>
  <c r="M89" i="33"/>
  <c r="L89" i="33"/>
  <c r="K89" i="33"/>
  <c r="Q88" i="33"/>
  <c r="P88" i="33"/>
  <c r="O88" i="33"/>
  <c r="N88" i="33"/>
  <c r="M88" i="33"/>
  <c r="L88" i="33"/>
  <c r="K88" i="33"/>
  <c r="Q87" i="33"/>
  <c r="P87" i="33"/>
  <c r="O87" i="33"/>
  <c r="N87" i="33"/>
  <c r="M87" i="33"/>
  <c r="L87" i="33"/>
  <c r="K87" i="33"/>
  <c r="Q86" i="33"/>
  <c r="P86" i="33"/>
  <c r="O86" i="33"/>
  <c r="N86" i="33"/>
  <c r="M86" i="33"/>
  <c r="L86" i="33"/>
  <c r="K86" i="33"/>
  <c r="Q85" i="33"/>
  <c r="P85" i="33"/>
  <c r="O85" i="33"/>
  <c r="N85" i="33"/>
  <c r="M85" i="33"/>
  <c r="L85" i="33"/>
  <c r="K85" i="33"/>
  <c r="Q84" i="33"/>
  <c r="P84" i="33"/>
  <c r="O84" i="33"/>
  <c r="N84" i="33"/>
  <c r="M84" i="33"/>
  <c r="L84" i="33"/>
  <c r="K84" i="33"/>
  <c r="Q83" i="33"/>
  <c r="P83" i="33"/>
  <c r="O83" i="33"/>
  <c r="N83" i="33"/>
  <c r="M83" i="33"/>
  <c r="L83" i="33"/>
  <c r="K83" i="33"/>
  <c r="Q82" i="33"/>
  <c r="P82" i="33"/>
  <c r="O82" i="33"/>
  <c r="N82" i="33"/>
  <c r="M82" i="33"/>
  <c r="L82" i="33"/>
  <c r="K82" i="33"/>
  <c r="Q81" i="33"/>
  <c r="P81" i="33"/>
  <c r="O81" i="33"/>
  <c r="N81" i="33"/>
  <c r="M81" i="33"/>
  <c r="L81" i="33"/>
  <c r="K81" i="33"/>
  <c r="Q80" i="33"/>
  <c r="P80" i="33"/>
  <c r="O80" i="33"/>
  <c r="N80" i="33"/>
  <c r="M80" i="33"/>
  <c r="L80" i="33"/>
  <c r="K80" i="33"/>
  <c r="Q79" i="33"/>
  <c r="P79" i="33"/>
  <c r="O79" i="33"/>
  <c r="N79" i="33"/>
  <c r="M79" i="33"/>
  <c r="L79" i="33"/>
  <c r="K79" i="33"/>
  <c r="Q78" i="33"/>
  <c r="P78" i="33"/>
  <c r="O78" i="33"/>
  <c r="N78" i="33"/>
  <c r="M78" i="33"/>
  <c r="L78" i="33"/>
  <c r="K78" i="33"/>
  <c r="Q77" i="33"/>
  <c r="P77" i="33"/>
  <c r="O77" i="33"/>
  <c r="N77" i="33"/>
  <c r="M77" i="33"/>
  <c r="L77" i="33"/>
  <c r="K77" i="33"/>
  <c r="Q76" i="33"/>
  <c r="P76" i="33"/>
  <c r="O76" i="33"/>
  <c r="N76" i="33"/>
  <c r="M76" i="33"/>
  <c r="L76" i="33"/>
  <c r="K76" i="33"/>
  <c r="Q75" i="33"/>
  <c r="P75" i="33"/>
  <c r="O75" i="33"/>
  <c r="N75" i="33"/>
  <c r="M75" i="33"/>
  <c r="L75" i="33"/>
  <c r="K75" i="33"/>
  <c r="Q74" i="33"/>
  <c r="P74" i="33"/>
  <c r="O74" i="33"/>
  <c r="N74" i="33"/>
  <c r="M74" i="33"/>
  <c r="L74" i="33"/>
  <c r="K74" i="33"/>
  <c r="Q73" i="33"/>
  <c r="P73" i="33"/>
  <c r="O73" i="33"/>
  <c r="N73" i="33"/>
  <c r="M73" i="33"/>
  <c r="L73" i="33"/>
  <c r="K73" i="33"/>
  <c r="Q72" i="33"/>
  <c r="P72" i="33"/>
  <c r="O72" i="33"/>
  <c r="N72" i="33"/>
  <c r="M72" i="33"/>
  <c r="L72" i="33"/>
  <c r="K72" i="33"/>
  <c r="Q71" i="33"/>
  <c r="P71" i="33"/>
  <c r="O71" i="33"/>
  <c r="N71" i="33"/>
  <c r="M71" i="33"/>
  <c r="L71" i="33"/>
  <c r="K71" i="33"/>
  <c r="Q70" i="33"/>
  <c r="P70" i="33"/>
  <c r="O70" i="33"/>
  <c r="N70" i="33"/>
  <c r="M70" i="33"/>
  <c r="L70" i="33"/>
  <c r="K70" i="33"/>
  <c r="Q69" i="33"/>
  <c r="P69" i="33"/>
  <c r="O69" i="33"/>
  <c r="N69" i="33"/>
  <c r="M69" i="33"/>
  <c r="L69" i="33"/>
  <c r="K69" i="33"/>
  <c r="Q68" i="33"/>
  <c r="P68" i="33"/>
  <c r="O68" i="33"/>
  <c r="N68" i="33"/>
  <c r="M68" i="33"/>
  <c r="L68" i="33"/>
  <c r="K68" i="33"/>
  <c r="Q67" i="33"/>
  <c r="P67" i="33"/>
  <c r="O67" i="33"/>
  <c r="N67" i="33"/>
  <c r="M67" i="33"/>
  <c r="L67" i="33"/>
  <c r="K67" i="33"/>
  <c r="Q66" i="33"/>
  <c r="P66" i="33"/>
  <c r="O66" i="33"/>
  <c r="N66" i="33"/>
  <c r="M66" i="33"/>
  <c r="L66" i="33"/>
  <c r="K66" i="33"/>
  <c r="Q65" i="33"/>
  <c r="P65" i="33"/>
  <c r="O65" i="33"/>
  <c r="N65" i="33"/>
  <c r="M65" i="33"/>
  <c r="L65" i="33"/>
  <c r="K65" i="33"/>
  <c r="Q64" i="33"/>
  <c r="P64" i="33"/>
  <c r="O64" i="33"/>
  <c r="N64" i="33"/>
  <c r="M64" i="33"/>
  <c r="L64" i="33"/>
  <c r="K64" i="33"/>
  <c r="Q63" i="33"/>
  <c r="P63" i="33"/>
  <c r="O63" i="33"/>
  <c r="N63" i="33"/>
  <c r="M63" i="33"/>
  <c r="L63" i="33"/>
  <c r="K63" i="33"/>
  <c r="Q62" i="33"/>
  <c r="P62" i="33"/>
  <c r="O62" i="33"/>
  <c r="N62" i="33"/>
  <c r="M62" i="33"/>
  <c r="L62" i="33"/>
  <c r="K62" i="33"/>
  <c r="Q61" i="33"/>
  <c r="P61" i="33"/>
  <c r="O61" i="33"/>
  <c r="N61" i="33"/>
  <c r="M61" i="33"/>
  <c r="L61" i="33"/>
  <c r="K61" i="33"/>
  <c r="Q60" i="33"/>
  <c r="P60" i="33"/>
  <c r="O60" i="33"/>
  <c r="N60" i="33"/>
  <c r="M60" i="33"/>
  <c r="L60" i="33"/>
  <c r="K60" i="33"/>
  <c r="Q59" i="33"/>
  <c r="P59" i="33"/>
  <c r="O59" i="33"/>
  <c r="N59" i="33"/>
  <c r="M59" i="33"/>
  <c r="L59" i="33"/>
  <c r="K59" i="33"/>
  <c r="Q58" i="33"/>
  <c r="P58" i="33"/>
  <c r="O58" i="33"/>
  <c r="N58" i="33"/>
  <c r="M58" i="33"/>
  <c r="L58" i="33"/>
  <c r="K58" i="33"/>
  <c r="Q57" i="33"/>
  <c r="P57" i="33"/>
  <c r="O57" i="33"/>
  <c r="N57" i="33"/>
  <c r="M57" i="33"/>
  <c r="L57" i="33"/>
  <c r="K57" i="33"/>
  <c r="Q56" i="33"/>
  <c r="P56" i="33"/>
  <c r="O56" i="33"/>
  <c r="N56" i="33"/>
  <c r="M56" i="33"/>
  <c r="L56" i="33"/>
  <c r="K56" i="33"/>
  <c r="Q55" i="33"/>
  <c r="P55" i="33"/>
  <c r="O55" i="33"/>
  <c r="N55" i="33"/>
  <c r="M55" i="33"/>
  <c r="L55" i="33"/>
  <c r="K55" i="33"/>
  <c r="Q54" i="33"/>
  <c r="P54" i="33"/>
  <c r="O54" i="33"/>
  <c r="N54" i="33"/>
  <c r="M54" i="33"/>
  <c r="L54" i="33"/>
  <c r="K54" i="33"/>
  <c r="Q53" i="33"/>
  <c r="P53" i="33"/>
  <c r="O53" i="33"/>
  <c r="N53" i="33"/>
  <c r="M53" i="33"/>
  <c r="L53" i="33"/>
  <c r="K53" i="33"/>
  <c r="Q52" i="33"/>
  <c r="P52" i="33"/>
  <c r="O52" i="33"/>
  <c r="N52" i="33"/>
  <c r="M52" i="33"/>
  <c r="L52" i="33"/>
  <c r="K52" i="33"/>
  <c r="Q51" i="33"/>
  <c r="P51" i="33"/>
  <c r="O51" i="33"/>
  <c r="N51" i="33"/>
  <c r="M51" i="33"/>
  <c r="L51" i="33"/>
  <c r="K51" i="33"/>
  <c r="Q50" i="33"/>
  <c r="P50" i="33"/>
  <c r="O50" i="33"/>
  <c r="N50" i="33"/>
  <c r="M50" i="33"/>
  <c r="L50" i="33"/>
  <c r="K50" i="33"/>
  <c r="Q49" i="33"/>
  <c r="P49" i="33"/>
  <c r="O49" i="33"/>
  <c r="N49" i="33"/>
  <c r="M49" i="33"/>
  <c r="L49" i="33"/>
  <c r="K49" i="33"/>
  <c r="Q48" i="33"/>
  <c r="P48" i="33"/>
  <c r="O48" i="33"/>
  <c r="N48" i="33"/>
  <c r="M48" i="33"/>
  <c r="L48" i="33"/>
  <c r="K48" i="33"/>
  <c r="Q47" i="33"/>
  <c r="P47" i="33"/>
  <c r="O47" i="33"/>
  <c r="N47" i="33"/>
  <c r="M47" i="33"/>
  <c r="L47" i="33"/>
  <c r="K47" i="33"/>
  <c r="Q46" i="33"/>
  <c r="P46" i="33"/>
  <c r="O46" i="33"/>
  <c r="N46" i="33"/>
  <c r="M46" i="33"/>
  <c r="L46" i="33"/>
  <c r="K46" i="33"/>
  <c r="Q45" i="33"/>
  <c r="P45" i="33"/>
  <c r="O45" i="33"/>
  <c r="N45" i="33"/>
  <c r="M45" i="33"/>
  <c r="L45" i="33"/>
  <c r="K45" i="33"/>
  <c r="Q44" i="33"/>
  <c r="P44" i="33"/>
  <c r="O44" i="33"/>
  <c r="N44" i="33"/>
  <c r="M44" i="33"/>
  <c r="L44" i="33"/>
  <c r="K44" i="33"/>
  <c r="Q43" i="33"/>
  <c r="P43" i="33"/>
  <c r="O43" i="33"/>
  <c r="N43" i="33"/>
  <c r="M43" i="33"/>
  <c r="L43" i="33"/>
  <c r="K43" i="33"/>
  <c r="Q42" i="33"/>
  <c r="P42" i="33"/>
  <c r="O42" i="33"/>
  <c r="N42" i="33"/>
  <c r="M42" i="33"/>
  <c r="L42" i="33"/>
  <c r="K42" i="33"/>
  <c r="Q41" i="33"/>
  <c r="P41" i="33"/>
  <c r="O41" i="33"/>
  <c r="N41" i="33"/>
  <c r="M41" i="33"/>
  <c r="L41" i="33"/>
  <c r="K41" i="33"/>
  <c r="Q40" i="33"/>
  <c r="P40" i="33"/>
  <c r="O40" i="33"/>
  <c r="N40" i="33"/>
  <c r="M40" i="33"/>
  <c r="L40" i="33"/>
  <c r="K40" i="33"/>
  <c r="Q39" i="33"/>
  <c r="P39" i="33"/>
  <c r="O39" i="33"/>
  <c r="N39" i="33"/>
  <c r="M39" i="33"/>
  <c r="L39" i="33"/>
  <c r="K39" i="33"/>
  <c r="Q38" i="33"/>
  <c r="P38" i="33"/>
  <c r="O38" i="33"/>
  <c r="N38" i="33"/>
  <c r="M38" i="33"/>
  <c r="L38" i="33"/>
  <c r="K38" i="33"/>
  <c r="Q37" i="33"/>
  <c r="P37" i="33"/>
  <c r="O37" i="33"/>
  <c r="N37" i="33"/>
  <c r="M37" i="33"/>
  <c r="L37" i="33"/>
  <c r="K37" i="33"/>
  <c r="Q36" i="33"/>
  <c r="P36" i="33"/>
  <c r="O36" i="33"/>
  <c r="N36" i="33"/>
  <c r="M36" i="33"/>
  <c r="L36" i="33"/>
  <c r="K36" i="33"/>
  <c r="Q35" i="33"/>
  <c r="P35" i="33"/>
  <c r="O35" i="33"/>
  <c r="N35" i="33"/>
  <c r="M35" i="33"/>
  <c r="L35" i="33"/>
  <c r="K35" i="33"/>
  <c r="Q34" i="33"/>
  <c r="P34" i="33"/>
  <c r="O34" i="33"/>
  <c r="N34" i="33"/>
  <c r="M34" i="33"/>
  <c r="L34" i="33"/>
  <c r="K34" i="33"/>
  <c r="Q33" i="33"/>
  <c r="P33" i="33"/>
  <c r="O33" i="33"/>
  <c r="N33" i="33"/>
  <c r="M33" i="33"/>
  <c r="L33" i="33"/>
  <c r="K33" i="33"/>
  <c r="Q32" i="33"/>
  <c r="P32" i="33"/>
  <c r="O32" i="33"/>
  <c r="N32" i="33"/>
  <c r="M32" i="33"/>
  <c r="L32" i="33"/>
  <c r="K32" i="33"/>
  <c r="Q31" i="33"/>
  <c r="P31" i="33"/>
  <c r="O31" i="33"/>
  <c r="N31" i="33"/>
  <c r="M31" i="33"/>
  <c r="L31" i="33"/>
  <c r="K31" i="33"/>
  <c r="Q30" i="33"/>
  <c r="P30" i="33"/>
  <c r="O30" i="33"/>
  <c r="N30" i="33"/>
  <c r="M30" i="33"/>
  <c r="L30" i="33"/>
  <c r="K30" i="33"/>
  <c r="Q29" i="33"/>
  <c r="P29" i="33"/>
  <c r="O29" i="33"/>
  <c r="N29" i="33"/>
  <c r="M29" i="33"/>
  <c r="L29" i="33"/>
  <c r="K29" i="33"/>
  <c r="Q28" i="33"/>
  <c r="P28" i="33"/>
  <c r="O28" i="33"/>
  <c r="N28" i="33"/>
  <c r="M28" i="33"/>
  <c r="L28" i="33"/>
  <c r="K28" i="33"/>
  <c r="Q27" i="33"/>
  <c r="P27" i="33"/>
  <c r="O27" i="33"/>
  <c r="N27" i="33"/>
  <c r="M27" i="33"/>
  <c r="L27" i="33"/>
  <c r="K27" i="33"/>
  <c r="Q26" i="33"/>
  <c r="P26" i="33"/>
  <c r="O26" i="33"/>
  <c r="N26" i="33"/>
  <c r="M26" i="33"/>
  <c r="L26" i="33"/>
  <c r="K26" i="33"/>
  <c r="Q25" i="33"/>
  <c r="P25" i="33"/>
  <c r="O25" i="33"/>
  <c r="N25" i="33"/>
  <c r="M25" i="33"/>
  <c r="L25" i="33"/>
  <c r="K25" i="33"/>
  <c r="Q24" i="33"/>
  <c r="P24" i="33"/>
  <c r="O24" i="33"/>
  <c r="N24" i="33"/>
  <c r="M24" i="33"/>
  <c r="L24" i="33"/>
  <c r="K24" i="33"/>
  <c r="Q23" i="33"/>
  <c r="P23" i="33"/>
  <c r="O23" i="33"/>
  <c r="N23" i="33"/>
  <c r="M23" i="33"/>
  <c r="L23" i="33"/>
  <c r="K23" i="33"/>
  <c r="Q22" i="33"/>
  <c r="P22" i="33"/>
  <c r="O22" i="33"/>
  <c r="N22" i="33"/>
  <c r="M22" i="33"/>
  <c r="L22" i="33"/>
  <c r="K22" i="33"/>
  <c r="Q21" i="33"/>
  <c r="P21" i="33"/>
  <c r="O21" i="33"/>
  <c r="N21" i="33"/>
  <c r="M21" i="33"/>
  <c r="L21" i="33"/>
  <c r="K21" i="33"/>
  <c r="Q20" i="33"/>
  <c r="P20" i="33"/>
  <c r="O20" i="33"/>
  <c r="N20" i="33"/>
  <c r="M20" i="33"/>
  <c r="L20" i="33"/>
  <c r="K20" i="33"/>
  <c r="Q19" i="33"/>
  <c r="P19" i="33"/>
  <c r="O19" i="33"/>
  <c r="N19" i="33"/>
  <c r="M19" i="33"/>
  <c r="L19" i="33"/>
  <c r="K19" i="33"/>
  <c r="Q18" i="33"/>
  <c r="P18" i="33"/>
  <c r="O18" i="33"/>
  <c r="N18" i="33"/>
  <c r="M18" i="33"/>
  <c r="L18" i="33"/>
  <c r="K18" i="33"/>
  <c r="Q17" i="33"/>
  <c r="P17" i="33"/>
  <c r="O17" i="33"/>
  <c r="N17" i="33"/>
  <c r="M17" i="33"/>
  <c r="L17" i="33"/>
  <c r="K17" i="33"/>
  <c r="Q16" i="33"/>
  <c r="P16" i="33"/>
  <c r="O16" i="33"/>
  <c r="N16" i="33"/>
  <c r="M16" i="33"/>
  <c r="L16" i="33"/>
  <c r="K16" i="33"/>
  <c r="Q15" i="33"/>
  <c r="P15" i="33"/>
  <c r="O15" i="33"/>
  <c r="N15" i="33"/>
  <c r="M15" i="33"/>
  <c r="L15" i="33"/>
  <c r="K15" i="33"/>
  <c r="Q14" i="33"/>
  <c r="P14" i="33"/>
  <c r="O14" i="33"/>
  <c r="N14" i="33"/>
  <c r="M14" i="33"/>
  <c r="L14" i="33"/>
  <c r="K14" i="33"/>
  <c r="A2" i="32"/>
  <c r="Q203" i="32"/>
  <c r="P203" i="32"/>
  <c r="O203" i="32"/>
  <c r="N203" i="32"/>
  <c r="M203" i="32"/>
  <c r="L203" i="32"/>
  <c r="K203" i="32"/>
  <c r="Q202" i="32"/>
  <c r="P202" i="32"/>
  <c r="O202" i="32"/>
  <c r="N202" i="32"/>
  <c r="M202" i="32"/>
  <c r="L202" i="32"/>
  <c r="K202" i="32"/>
  <c r="Q201" i="32"/>
  <c r="P201" i="32"/>
  <c r="O201" i="32"/>
  <c r="N201" i="32"/>
  <c r="M201" i="32"/>
  <c r="L201" i="32"/>
  <c r="K201" i="32"/>
  <c r="Q200" i="32"/>
  <c r="P200" i="32"/>
  <c r="O200" i="32"/>
  <c r="N200" i="32"/>
  <c r="M200" i="32"/>
  <c r="L200" i="32"/>
  <c r="K200" i="32"/>
  <c r="Q199" i="32"/>
  <c r="P199" i="32"/>
  <c r="O199" i="32"/>
  <c r="N199" i="32"/>
  <c r="M199" i="32"/>
  <c r="L199" i="32"/>
  <c r="K199" i="32"/>
  <c r="Q198" i="32"/>
  <c r="P198" i="32"/>
  <c r="O198" i="32"/>
  <c r="N198" i="32"/>
  <c r="M198" i="32"/>
  <c r="L198" i="32"/>
  <c r="K198" i="32"/>
  <c r="Q197" i="32"/>
  <c r="P197" i="32"/>
  <c r="O197" i="32"/>
  <c r="N197" i="32"/>
  <c r="M197" i="32"/>
  <c r="L197" i="32"/>
  <c r="K197" i="32"/>
  <c r="Q196" i="32"/>
  <c r="P196" i="32"/>
  <c r="O196" i="32"/>
  <c r="N196" i="32"/>
  <c r="M196" i="32"/>
  <c r="L196" i="32"/>
  <c r="K196" i="32"/>
  <c r="Q195" i="32"/>
  <c r="P195" i="32"/>
  <c r="O195" i="32"/>
  <c r="N195" i="32"/>
  <c r="M195" i="32"/>
  <c r="L195" i="32"/>
  <c r="K195" i="32"/>
  <c r="Q194" i="32"/>
  <c r="P194" i="32"/>
  <c r="O194" i="32"/>
  <c r="N194" i="32"/>
  <c r="M194" i="32"/>
  <c r="L194" i="32"/>
  <c r="K194" i="32"/>
  <c r="Q193" i="32"/>
  <c r="P193" i="32"/>
  <c r="O193" i="32"/>
  <c r="N193" i="32"/>
  <c r="M193" i="32"/>
  <c r="L193" i="32"/>
  <c r="K193" i="32"/>
  <c r="Q192" i="32"/>
  <c r="P192" i="32"/>
  <c r="O192" i="32"/>
  <c r="N192" i="32"/>
  <c r="M192" i="32"/>
  <c r="L192" i="32"/>
  <c r="K192" i="32"/>
  <c r="Q191" i="32"/>
  <c r="P191" i="32"/>
  <c r="O191" i="32"/>
  <c r="N191" i="32"/>
  <c r="M191" i="32"/>
  <c r="L191" i="32"/>
  <c r="K191" i="32"/>
  <c r="Q190" i="32"/>
  <c r="P190" i="32"/>
  <c r="O190" i="32"/>
  <c r="N190" i="32"/>
  <c r="M190" i="32"/>
  <c r="L190" i="32"/>
  <c r="K190" i="32"/>
  <c r="Q189" i="32"/>
  <c r="P189" i="32"/>
  <c r="O189" i="32"/>
  <c r="N189" i="32"/>
  <c r="M189" i="32"/>
  <c r="L189" i="32"/>
  <c r="K189" i="32"/>
  <c r="Q188" i="32"/>
  <c r="P188" i="32"/>
  <c r="O188" i="32"/>
  <c r="N188" i="32"/>
  <c r="M188" i="32"/>
  <c r="L188" i="32"/>
  <c r="K188" i="32"/>
  <c r="Q187" i="32"/>
  <c r="P187" i="32"/>
  <c r="O187" i="32"/>
  <c r="N187" i="32"/>
  <c r="M187" i="32"/>
  <c r="L187" i="32"/>
  <c r="K187" i="32"/>
  <c r="Q186" i="32"/>
  <c r="P186" i="32"/>
  <c r="O186" i="32"/>
  <c r="N186" i="32"/>
  <c r="M186" i="32"/>
  <c r="L186" i="32"/>
  <c r="K186" i="32"/>
  <c r="Q185" i="32"/>
  <c r="P185" i="32"/>
  <c r="O185" i="32"/>
  <c r="N185" i="32"/>
  <c r="M185" i="32"/>
  <c r="L185" i="32"/>
  <c r="K185" i="32"/>
  <c r="Q184" i="32"/>
  <c r="P184" i="32"/>
  <c r="O184" i="32"/>
  <c r="N184" i="32"/>
  <c r="M184" i="32"/>
  <c r="L184" i="32"/>
  <c r="K184" i="32"/>
  <c r="Q183" i="32"/>
  <c r="P183" i="32"/>
  <c r="O183" i="32"/>
  <c r="N183" i="32"/>
  <c r="M183" i="32"/>
  <c r="L183" i="32"/>
  <c r="K183" i="32"/>
  <c r="Q182" i="32"/>
  <c r="P182" i="32"/>
  <c r="O182" i="32"/>
  <c r="N182" i="32"/>
  <c r="M182" i="32"/>
  <c r="L182" i="32"/>
  <c r="K182" i="32"/>
  <c r="Q181" i="32"/>
  <c r="P181" i="32"/>
  <c r="O181" i="32"/>
  <c r="N181" i="32"/>
  <c r="M181" i="32"/>
  <c r="L181" i="32"/>
  <c r="K181" i="32"/>
  <c r="Q180" i="32"/>
  <c r="P180" i="32"/>
  <c r="O180" i="32"/>
  <c r="N180" i="32"/>
  <c r="M180" i="32"/>
  <c r="L180" i="32"/>
  <c r="K180" i="32"/>
  <c r="Q179" i="32"/>
  <c r="P179" i="32"/>
  <c r="O179" i="32"/>
  <c r="N179" i="32"/>
  <c r="M179" i="32"/>
  <c r="L179" i="32"/>
  <c r="K179" i="32"/>
  <c r="Q178" i="32"/>
  <c r="P178" i="32"/>
  <c r="O178" i="32"/>
  <c r="N178" i="32"/>
  <c r="M178" i="32"/>
  <c r="L178" i="32"/>
  <c r="K178" i="32"/>
  <c r="Q177" i="32"/>
  <c r="P177" i="32"/>
  <c r="O177" i="32"/>
  <c r="N177" i="32"/>
  <c r="M177" i="32"/>
  <c r="L177" i="32"/>
  <c r="K177" i="32"/>
  <c r="Q176" i="32"/>
  <c r="P176" i="32"/>
  <c r="O176" i="32"/>
  <c r="N176" i="32"/>
  <c r="M176" i="32"/>
  <c r="L176" i="32"/>
  <c r="K176" i="32"/>
  <c r="Q175" i="32"/>
  <c r="P175" i="32"/>
  <c r="O175" i="32"/>
  <c r="N175" i="32"/>
  <c r="M175" i="32"/>
  <c r="L175" i="32"/>
  <c r="K175" i="32"/>
  <c r="Q174" i="32"/>
  <c r="P174" i="32"/>
  <c r="O174" i="32"/>
  <c r="N174" i="32"/>
  <c r="M174" i="32"/>
  <c r="L174" i="32"/>
  <c r="K174" i="32"/>
  <c r="Q173" i="32"/>
  <c r="P173" i="32"/>
  <c r="O173" i="32"/>
  <c r="N173" i="32"/>
  <c r="M173" i="32"/>
  <c r="L173" i="32"/>
  <c r="K173" i="32"/>
  <c r="Q172" i="32"/>
  <c r="P172" i="32"/>
  <c r="O172" i="32"/>
  <c r="N172" i="32"/>
  <c r="M172" i="32"/>
  <c r="L172" i="32"/>
  <c r="K172" i="32"/>
  <c r="Q171" i="32"/>
  <c r="P171" i="32"/>
  <c r="O171" i="32"/>
  <c r="N171" i="32"/>
  <c r="M171" i="32"/>
  <c r="L171" i="32"/>
  <c r="K171" i="32"/>
  <c r="Q170" i="32"/>
  <c r="P170" i="32"/>
  <c r="O170" i="32"/>
  <c r="N170" i="32"/>
  <c r="M170" i="32"/>
  <c r="L170" i="32"/>
  <c r="K170" i="32"/>
  <c r="Q169" i="32"/>
  <c r="P169" i="32"/>
  <c r="O169" i="32"/>
  <c r="N169" i="32"/>
  <c r="M169" i="32"/>
  <c r="L169" i="32"/>
  <c r="K169" i="32"/>
  <c r="Q168" i="32"/>
  <c r="P168" i="32"/>
  <c r="O168" i="32"/>
  <c r="N168" i="32"/>
  <c r="M168" i="32"/>
  <c r="L168" i="32"/>
  <c r="K168" i="32"/>
  <c r="Q167" i="32"/>
  <c r="P167" i="32"/>
  <c r="O167" i="32"/>
  <c r="N167" i="32"/>
  <c r="M167" i="32"/>
  <c r="L167" i="32"/>
  <c r="K167" i="32"/>
  <c r="Q166" i="32"/>
  <c r="P166" i="32"/>
  <c r="O166" i="32"/>
  <c r="N166" i="32"/>
  <c r="M166" i="32"/>
  <c r="L166" i="32"/>
  <c r="K166" i="32"/>
  <c r="Q165" i="32"/>
  <c r="P165" i="32"/>
  <c r="O165" i="32"/>
  <c r="N165" i="32"/>
  <c r="M165" i="32"/>
  <c r="L165" i="32"/>
  <c r="K165" i="32"/>
  <c r="Q164" i="32"/>
  <c r="P164" i="32"/>
  <c r="O164" i="32"/>
  <c r="N164" i="32"/>
  <c r="M164" i="32"/>
  <c r="L164" i="32"/>
  <c r="K164" i="32"/>
  <c r="Q163" i="32"/>
  <c r="P163" i="32"/>
  <c r="O163" i="32"/>
  <c r="N163" i="32"/>
  <c r="M163" i="32"/>
  <c r="L163" i="32"/>
  <c r="K163" i="32"/>
  <c r="Q162" i="32"/>
  <c r="P162" i="32"/>
  <c r="O162" i="32"/>
  <c r="N162" i="32"/>
  <c r="M162" i="32"/>
  <c r="L162" i="32"/>
  <c r="K162" i="32"/>
  <c r="Q161" i="32"/>
  <c r="P161" i="32"/>
  <c r="O161" i="32"/>
  <c r="N161" i="32"/>
  <c r="M161" i="32"/>
  <c r="L161" i="32"/>
  <c r="K161" i="32"/>
  <c r="Q160" i="32"/>
  <c r="P160" i="32"/>
  <c r="O160" i="32"/>
  <c r="N160" i="32"/>
  <c r="M160" i="32"/>
  <c r="L160" i="32"/>
  <c r="K160" i="32"/>
  <c r="Q159" i="32"/>
  <c r="P159" i="32"/>
  <c r="O159" i="32"/>
  <c r="N159" i="32"/>
  <c r="M159" i="32"/>
  <c r="L159" i="32"/>
  <c r="K159" i="32"/>
  <c r="Q158" i="32"/>
  <c r="P158" i="32"/>
  <c r="O158" i="32"/>
  <c r="N158" i="32"/>
  <c r="M158" i="32"/>
  <c r="L158" i="32"/>
  <c r="K158" i="32"/>
  <c r="Q157" i="32"/>
  <c r="P157" i="32"/>
  <c r="O157" i="32"/>
  <c r="N157" i="32"/>
  <c r="M157" i="32"/>
  <c r="L157" i="32"/>
  <c r="K157" i="32"/>
  <c r="Q156" i="32"/>
  <c r="P156" i="32"/>
  <c r="O156" i="32"/>
  <c r="N156" i="32"/>
  <c r="M156" i="32"/>
  <c r="L156" i="32"/>
  <c r="K156" i="32"/>
  <c r="Q155" i="32"/>
  <c r="P155" i="32"/>
  <c r="O155" i="32"/>
  <c r="N155" i="32"/>
  <c r="M155" i="32"/>
  <c r="L155" i="32"/>
  <c r="K155" i="32"/>
  <c r="Q154" i="32"/>
  <c r="P154" i="32"/>
  <c r="O154" i="32"/>
  <c r="N154" i="32"/>
  <c r="M154" i="32"/>
  <c r="L154" i="32"/>
  <c r="K154" i="32"/>
  <c r="Q153" i="32"/>
  <c r="P153" i="32"/>
  <c r="O153" i="32"/>
  <c r="N153" i="32"/>
  <c r="M153" i="32"/>
  <c r="L153" i="32"/>
  <c r="K153" i="32"/>
  <c r="Q152" i="32"/>
  <c r="P152" i="32"/>
  <c r="O152" i="32"/>
  <c r="N152" i="32"/>
  <c r="M152" i="32"/>
  <c r="L152" i="32"/>
  <c r="K152" i="32"/>
  <c r="Q151" i="32"/>
  <c r="P151" i="32"/>
  <c r="O151" i="32"/>
  <c r="N151" i="32"/>
  <c r="M151" i="32"/>
  <c r="L151" i="32"/>
  <c r="K151" i="32"/>
  <c r="Q150" i="32"/>
  <c r="P150" i="32"/>
  <c r="O150" i="32"/>
  <c r="N150" i="32"/>
  <c r="M150" i="32"/>
  <c r="L150" i="32"/>
  <c r="K150" i="32"/>
  <c r="Q149" i="32"/>
  <c r="P149" i="32"/>
  <c r="O149" i="32"/>
  <c r="N149" i="32"/>
  <c r="M149" i="32"/>
  <c r="L149" i="32"/>
  <c r="K149" i="32"/>
  <c r="Q148" i="32"/>
  <c r="P148" i="32"/>
  <c r="O148" i="32"/>
  <c r="N148" i="32"/>
  <c r="M148" i="32"/>
  <c r="L148" i="32"/>
  <c r="K148" i="32"/>
  <c r="Q147" i="32"/>
  <c r="P147" i="32"/>
  <c r="O147" i="32"/>
  <c r="N147" i="32"/>
  <c r="M147" i="32"/>
  <c r="L147" i="32"/>
  <c r="K147" i="32"/>
  <c r="Q146" i="32"/>
  <c r="P146" i="32"/>
  <c r="O146" i="32"/>
  <c r="N146" i="32"/>
  <c r="M146" i="32"/>
  <c r="L146" i="32"/>
  <c r="K146" i="32"/>
  <c r="Q145" i="32"/>
  <c r="P145" i="32"/>
  <c r="O145" i="32"/>
  <c r="N145" i="32"/>
  <c r="M145" i="32"/>
  <c r="L145" i="32"/>
  <c r="K145" i="32"/>
  <c r="Q144" i="32"/>
  <c r="P144" i="32"/>
  <c r="O144" i="32"/>
  <c r="N144" i="32"/>
  <c r="M144" i="32"/>
  <c r="L144" i="32"/>
  <c r="K144" i="32"/>
  <c r="Q143" i="32"/>
  <c r="P143" i="32"/>
  <c r="O143" i="32"/>
  <c r="N143" i="32"/>
  <c r="M143" i="32"/>
  <c r="L143" i="32"/>
  <c r="K143" i="32"/>
  <c r="Q142" i="32"/>
  <c r="P142" i="32"/>
  <c r="O142" i="32"/>
  <c r="N142" i="32"/>
  <c r="M142" i="32"/>
  <c r="L142" i="32"/>
  <c r="K142" i="32"/>
  <c r="Q141" i="32"/>
  <c r="P141" i="32"/>
  <c r="O141" i="32"/>
  <c r="N141" i="32"/>
  <c r="M141" i="32"/>
  <c r="L141" i="32"/>
  <c r="K141" i="32"/>
  <c r="Q140" i="32"/>
  <c r="P140" i="32"/>
  <c r="O140" i="32"/>
  <c r="N140" i="32"/>
  <c r="M140" i="32"/>
  <c r="L140" i="32"/>
  <c r="K140" i="32"/>
  <c r="Q139" i="32"/>
  <c r="P139" i="32"/>
  <c r="O139" i="32"/>
  <c r="N139" i="32"/>
  <c r="M139" i="32"/>
  <c r="L139" i="32"/>
  <c r="K139" i="32"/>
  <c r="Q138" i="32"/>
  <c r="P138" i="32"/>
  <c r="O138" i="32"/>
  <c r="N138" i="32"/>
  <c r="M138" i="32"/>
  <c r="L138" i="32"/>
  <c r="K138" i="32"/>
  <c r="Q137" i="32"/>
  <c r="P137" i="32"/>
  <c r="O137" i="32"/>
  <c r="N137" i="32"/>
  <c r="M137" i="32"/>
  <c r="L137" i="32"/>
  <c r="K137" i="32"/>
  <c r="Q136" i="32"/>
  <c r="P136" i="32"/>
  <c r="O136" i="32"/>
  <c r="N136" i="32"/>
  <c r="M136" i="32"/>
  <c r="L136" i="32"/>
  <c r="K136" i="32"/>
  <c r="Q135" i="32"/>
  <c r="P135" i="32"/>
  <c r="O135" i="32"/>
  <c r="N135" i="32"/>
  <c r="M135" i="32"/>
  <c r="L135" i="32"/>
  <c r="K135" i="32"/>
  <c r="Q134" i="32"/>
  <c r="P134" i="32"/>
  <c r="O134" i="32"/>
  <c r="N134" i="32"/>
  <c r="M134" i="32"/>
  <c r="L134" i="32"/>
  <c r="K134" i="32"/>
  <c r="Q133" i="32"/>
  <c r="P133" i="32"/>
  <c r="O133" i="32"/>
  <c r="N133" i="32"/>
  <c r="M133" i="32"/>
  <c r="L133" i="32"/>
  <c r="K133" i="32"/>
  <c r="Q132" i="32"/>
  <c r="P132" i="32"/>
  <c r="O132" i="32"/>
  <c r="N132" i="32"/>
  <c r="M132" i="32"/>
  <c r="L132" i="32"/>
  <c r="K132" i="32"/>
  <c r="Q131" i="32"/>
  <c r="P131" i="32"/>
  <c r="O131" i="32"/>
  <c r="N131" i="32"/>
  <c r="M131" i="32"/>
  <c r="L131" i="32"/>
  <c r="K131" i="32"/>
  <c r="Q130" i="32"/>
  <c r="P130" i="32"/>
  <c r="O130" i="32"/>
  <c r="N130" i="32"/>
  <c r="M130" i="32"/>
  <c r="L130" i="32"/>
  <c r="K130" i="32"/>
  <c r="Q129" i="32"/>
  <c r="P129" i="32"/>
  <c r="O129" i="32"/>
  <c r="N129" i="32"/>
  <c r="M129" i="32"/>
  <c r="L129" i="32"/>
  <c r="K129" i="32"/>
  <c r="Q128" i="32"/>
  <c r="P128" i="32"/>
  <c r="O128" i="32"/>
  <c r="N128" i="32"/>
  <c r="M128" i="32"/>
  <c r="L128" i="32"/>
  <c r="K128" i="32"/>
  <c r="Q127" i="32"/>
  <c r="P127" i="32"/>
  <c r="O127" i="32"/>
  <c r="N127" i="32"/>
  <c r="M127" i="32"/>
  <c r="L127" i="32"/>
  <c r="K127" i="32"/>
  <c r="Q126" i="32"/>
  <c r="P126" i="32"/>
  <c r="O126" i="32"/>
  <c r="N126" i="32"/>
  <c r="M126" i="32"/>
  <c r="L126" i="32"/>
  <c r="K126" i="32"/>
  <c r="Q125" i="32"/>
  <c r="P125" i="32"/>
  <c r="O125" i="32"/>
  <c r="N125" i="32"/>
  <c r="M125" i="32"/>
  <c r="L125" i="32"/>
  <c r="K125" i="32"/>
  <c r="Q124" i="32"/>
  <c r="P124" i="32"/>
  <c r="O124" i="32"/>
  <c r="N124" i="32"/>
  <c r="M124" i="32"/>
  <c r="L124" i="32"/>
  <c r="K124" i="32"/>
  <c r="Q123" i="32"/>
  <c r="P123" i="32"/>
  <c r="O123" i="32"/>
  <c r="N123" i="32"/>
  <c r="M123" i="32"/>
  <c r="L123" i="32"/>
  <c r="K123" i="32"/>
  <c r="Q122" i="32"/>
  <c r="P122" i="32"/>
  <c r="O122" i="32"/>
  <c r="N122" i="32"/>
  <c r="M122" i="32"/>
  <c r="L122" i="32"/>
  <c r="K122" i="32"/>
  <c r="Q121" i="32"/>
  <c r="P121" i="32"/>
  <c r="O121" i="32"/>
  <c r="N121" i="32"/>
  <c r="M121" i="32"/>
  <c r="L121" i="32"/>
  <c r="K121" i="32"/>
  <c r="Q120" i="32"/>
  <c r="P120" i="32"/>
  <c r="O120" i="32"/>
  <c r="N120" i="32"/>
  <c r="M120" i="32"/>
  <c r="L120" i="32"/>
  <c r="K120" i="32"/>
  <c r="Q119" i="32"/>
  <c r="P119" i="32"/>
  <c r="O119" i="32"/>
  <c r="N119" i="32"/>
  <c r="M119" i="32"/>
  <c r="L119" i="32"/>
  <c r="K119" i="32"/>
  <c r="Q118" i="32"/>
  <c r="P118" i="32"/>
  <c r="O118" i="32"/>
  <c r="N118" i="32"/>
  <c r="M118" i="32"/>
  <c r="L118" i="32"/>
  <c r="K118" i="32"/>
  <c r="Q117" i="32"/>
  <c r="P117" i="32"/>
  <c r="O117" i="32"/>
  <c r="N117" i="32"/>
  <c r="M117" i="32"/>
  <c r="L117" i="32"/>
  <c r="K117" i="32"/>
  <c r="Q116" i="32"/>
  <c r="P116" i="32"/>
  <c r="O116" i="32"/>
  <c r="N116" i="32"/>
  <c r="M116" i="32"/>
  <c r="L116" i="32"/>
  <c r="K116" i="32"/>
  <c r="Q115" i="32"/>
  <c r="P115" i="32"/>
  <c r="O115" i="32"/>
  <c r="N115" i="32"/>
  <c r="M115" i="32"/>
  <c r="L115" i="32"/>
  <c r="K115" i="32"/>
  <c r="Q114" i="32"/>
  <c r="P114" i="32"/>
  <c r="O114" i="32"/>
  <c r="N114" i="32"/>
  <c r="M114" i="32"/>
  <c r="L114" i="32"/>
  <c r="K114" i="32"/>
  <c r="Q113" i="32"/>
  <c r="P113" i="32"/>
  <c r="O113" i="32"/>
  <c r="N113" i="32"/>
  <c r="M113" i="32"/>
  <c r="L113" i="32"/>
  <c r="K113" i="32"/>
  <c r="Q112" i="32"/>
  <c r="P112" i="32"/>
  <c r="O112" i="32"/>
  <c r="N112" i="32"/>
  <c r="M112" i="32"/>
  <c r="L112" i="32"/>
  <c r="K112" i="32"/>
  <c r="Q111" i="32"/>
  <c r="P111" i="32"/>
  <c r="O111" i="32"/>
  <c r="N111" i="32"/>
  <c r="M111" i="32"/>
  <c r="L111" i="32"/>
  <c r="K111" i="32"/>
  <c r="Q110" i="32"/>
  <c r="P110" i="32"/>
  <c r="O110" i="32"/>
  <c r="N110" i="32"/>
  <c r="M110" i="32"/>
  <c r="L110" i="32"/>
  <c r="K110" i="32"/>
  <c r="Q109" i="32"/>
  <c r="P109" i="32"/>
  <c r="O109" i="32"/>
  <c r="N109" i="32"/>
  <c r="M109" i="32"/>
  <c r="L109" i="32"/>
  <c r="K109" i="32"/>
  <c r="Q108" i="32"/>
  <c r="P108" i="32"/>
  <c r="O108" i="32"/>
  <c r="N108" i="32"/>
  <c r="M108" i="32"/>
  <c r="L108" i="32"/>
  <c r="K108" i="32"/>
  <c r="Q107" i="32"/>
  <c r="P107" i="32"/>
  <c r="O107" i="32"/>
  <c r="N107" i="32"/>
  <c r="M107" i="32"/>
  <c r="L107" i="32"/>
  <c r="K107" i="32"/>
  <c r="Q106" i="32"/>
  <c r="P106" i="32"/>
  <c r="O106" i="32"/>
  <c r="N106" i="32"/>
  <c r="M106" i="32"/>
  <c r="L106" i="32"/>
  <c r="K106" i="32"/>
  <c r="Q105" i="32"/>
  <c r="P105" i="32"/>
  <c r="O105" i="32"/>
  <c r="N105" i="32"/>
  <c r="M105" i="32"/>
  <c r="L105" i="32"/>
  <c r="K105" i="32"/>
  <c r="Q104" i="32"/>
  <c r="P104" i="32"/>
  <c r="O104" i="32"/>
  <c r="N104" i="32"/>
  <c r="M104" i="32"/>
  <c r="L104" i="32"/>
  <c r="K104" i="32"/>
  <c r="Q103" i="32"/>
  <c r="P103" i="32"/>
  <c r="O103" i="32"/>
  <c r="N103" i="32"/>
  <c r="M103" i="32"/>
  <c r="L103" i="32"/>
  <c r="K103" i="32"/>
  <c r="Q102" i="32"/>
  <c r="P102" i="32"/>
  <c r="O102" i="32"/>
  <c r="N102" i="32"/>
  <c r="M102" i="32"/>
  <c r="L102" i="32"/>
  <c r="K102" i="32"/>
  <c r="Q101" i="32"/>
  <c r="P101" i="32"/>
  <c r="O101" i="32"/>
  <c r="N101" i="32"/>
  <c r="M101" i="32"/>
  <c r="L101" i="32"/>
  <c r="K101" i="32"/>
  <c r="Q100" i="32"/>
  <c r="P100" i="32"/>
  <c r="O100" i="32"/>
  <c r="N100" i="32"/>
  <c r="M100" i="32"/>
  <c r="L100" i="32"/>
  <c r="K100" i="32"/>
  <c r="Q99" i="32"/>
  <c r="P99" i="32"/>
  <c r="O99" i="32"/>
  <c r="N99" i="32"/>
  <c r="M99" i="32"/>
  <c r="L99" i="32"/>
  <c r="K99" i="32"/>
  <c r="Q98" i="32"/>
  <c r="P98" i="32"/>
  <c r="O98" i="32"/>
  <c r="N98" i="32"/>
  <c r="M98" i="32"/>
  <c r="L98" i="32"/>
  <c r="K98" i="32"/>
  <c r="Q97" i="32"/>
  <c r="P97" i="32"/>
  <c r="O97" i="32"/>
  <c r="N97" i="32"/>
  <c r="M97" i="32"/>
  <c r="L97" i="32"/>
  <c r="K97" i="32"/>
  <c r="Q96" i="32"/>
  <c r="P96" i="32"/>
  <c r="O96" i="32"/>
  <c r="N96" i="32"/>
  <c r="M96" i="32"/>
  <c r="L96" i="32"/>
  <c r="K96" i="32"/>
  <c r="Q95" i="32"/>
  <c r="P95" i="32"/>
  <c r="O95" i="32"/>
  <c r="N95" i="32"/>
  <c r="M95" i="32"/>
  <c r="L95" i="32"/>
  <c r="K95" i="32"/>
  <c r="Q94" i="32"/>
  <c r="P94" i="32"/>
  <c r="O94" i="32"/>
  <c r="N94" i="32"/>
  <c r="M94" i="32"/>
  <c r="L94" i="32"/>
  <c r="K94" i="32"/>
  <c r="Q93" i="32"/>
  <c r="P93" i="32"/>
  <c r="O93" i="32"/>
  <c r="N93" i="32"/>
  <c r="M93" i="32"/>
  <c r="L93" i="32"/>
  <c r="K93" i="32"/>
  <c r="Q92" i="32"/>
  <c r="P92" i="32"/>
  <c r="O92" i="32"/>
  <c r="N92" i="32"/>
  <c r="M92" i="32"/>
  <c r="L92" i="32"/>
  <c r="K92" i="32"/>
  <c r="Q91" i="32"/>
  <c r="P91" i="32"/>
  <c r="O91" i="32"/>
  <c r="N91" i="32"/>
  <c r="M91" i="32"/>
  <c r="L91" i="32"/>
  <c r="K91" i="32"/>
  <c r="Q90" i="32"/>
  <c r="P90" i="32"/>
  <c r="O90" i="32"/>
  <c r="N90" i="32"/>
  <c r="M90" i="32"/>
  <c r="L90" i="32"/>
  <c r="K90" i="32"/>
  <c r="Q89" i="32"/>
  <c r="P89" i="32"/>
  <c r="O89" i="32"/>
  <c r="N89" i="32"/>
  <c r="M89" i="32"/>
  <c r="L89" i="32"/>
  <c r="K89" i="32"/>
  <c r="Q88" i="32"/>
  <c r="P88" i="32"/>
  <c r="O88" i="32"/>
  <c r="N88" i="32"/>
  <c r="M88" i="32"/>
  <c r="L88" i="32"/>
  <c r="K88" i="32"/>
  <c r="Q87" i="32"/>
  <c r="P87" i="32"/>
  <c r="O87" i="32"/>
  <c r="N87" i="32"/>
  <c r="M87" i="32"/>
  <c r="L87" i="32"/>
  <c r="K87" i="32"/>
  <c r="Q86" i="32"/>
  <c r="P86" i="32"/>
  <c r="O86" i="32"/>
  <c r="N86" i="32"/>
  <c r="M86" i="32"/>
  <c r="L86" i="32"/>
  <c r="K86" i="32"/>
  <c r="Q85" i="32"/>
  <c r="P85" i="32"/>
  <c r="O85" i="32"/>
  <c r="N85" i="32"/>
  <c r="M85" i="32"/>
  <c r="L85" i="32"/>
  <c r="K85" i="32"/>
  <c r="Q84" i="32"/>
  <c r="P84" i="32"/>
  <c r="O84" i="32"/>
  <c r="N84" i="32"/>
  <c r="M84" i="32"/>
  <c r="L84" i="32"/>
  <c r="K84" i="32"/>
  <c r="Q83" i="32"/>
  <c r="P83" i="32"/>
  <c r="O83" i="32"/>
  <c r="N83" i="32"/>
  <c r="M83" i="32"/>
  <c r="L83" i="32"/>
  <c r="K83" i="32"/>
  <c r="Q82" i="32"/>
  <c r="P82" i="32"/>
  <c r="O82" i="32"/>
  <c r="N82" i="32"/>
  <c r="M82" i="32"/>
  <c r="L82" i="32"/>
  <c r="K82" i="32"/>
  <c r="Q81" i="32"/>
  <c r="P81" i="32"/>
  <c r="O81" i="32"/>
  <c r="N81" i="32"/>
  <c r="M81" i="32"/>
  <c r="L81" i="32"/>
  <c r="K81" i="32"/>
  <c r="Q80" i="32"/>
  <c r="P80" i="32"/>
  <c r="O80" i="32"/>
  <c r="N80" i="32"/>
  <c r="M80" i="32"/>
  <c r="L80" i="32"/>
  <c r="K80" i="32"/>
  <c r="Q79" i="32"/>
  <c r="P79" i="32"/>
  <c r="O79" i="32"/>
  <c r="N79" i="32"/>
  <c r="M79" i="32"/>
  <c r="L79" i="32"/>
  <c r="K79" i="32"/>
  <c r="Q78" i="32"/>
  <c r="P78" i="32"/>
  <c r="O78" i="32"/>
  <c r="N78" i="32"/>
  <c r="M78" i="32"/>
  <c r="L78" i="32"/>
  <c r="K78" i="32"/>
  <c r="Q77" i="32"/>
  <c r="P77" i="32"/>
  <c r="O77" i="32"/>
  <c r="N77" i="32"/>
  <c r="M77" i="32"/>
  <c r="L77" i="32"/>
  <c r="K77" i="32"/>
  <c r="Q76" i="32"/>
  <c r="P76" i="32"/>
  <c r="O76" i="32"/>
  <c r="N76" i="32"/>
  <c r="M76" i="32"/>
  <c r="L76" i="32"/>
  <c r="K76" i="32"/>
  <c r="Q75" i="32"/>
  <c r="P75" i="32"/>
  <c r="O75" i="32"/>
  <c r="N75" i="32"/>
  <c r="M75" i="32"/>
  <c r="L75" i="32"/>
  <c r="K75" i="32"/>
  <c r="Q74" i="32"/>
  <c r="P74" i="32"/>
  <c r="O74" i="32"/>
  <c r="N74" i="32"/>
  <c r="M74" i="32"/>
  <c r="L74" i="32"/>
  <c r="K74" i="32"/>
  <c r="Q73" i="32"/>
  <c r="P73" i="32"/>
  <c r="O73" i="32"/>
  <c r="N73" i="32"/>
  <c r="M73" i="32"/>
  <c r="L73" i="32"/>
  <c r="K73" i="32"/>
  <c r="Q72" i="32"/>
  <c r="P72" i="32"/>
  <c r="O72" i="32"/>
  <c r="N72" i="32"/>
  <c r="M72" i="32"/>
  <c r="L72" i="32"/>
  <c r="K72" i="32"/>
  <c r="Q71" i="32"/>
  <c r="P71" i="32"/>
  <c r="O71" i="32"/>
  <c r="N71" i="32"/>
  <c r="M71" i="32"/>
  <c r="L71" i="32"/>
  <c r="K71" i="32"/>
  <c r="Q70" i="32"/>
  <c r="P70" i="32"/>
  <c r="O70" i="32"/>
  <c r="N70" i="32"/>
  <c r="M70" i="32"/>
  <c r="L70" i="32"/>
  <c r="K70" i="32"/>
  <c r="Q69" i="32"/>
  <c r="P69" i="32"/>
  <c r="O69" i="32"/>
  <c r="N69" i="32"/>
  <c r="M69" i="32"/>
  <c r="L69" i="32"/>
  <c r="K69" i="32"/>
  <c r="Q68" i="32"/>
  <c r="P68" i="32"/>
  <c r="O68" i="32"/>
  <c r="N68" i="32"/>
  <c r="M68" i="32"/>
  <c r="L68" i="32"/>
  <c r="K68" i="32"/>
  <c r="Q67" i="32"/>
  <c r="P67" i="32"/>
  <c r="O67" i="32"/>
  <c r="N67" i="32"/>
  <c r="M67" i="32"/>
  <c r="L67" i="32"/>
  <c r="K67" i="32"/>
  <c r="Q66" i="32"/>
  <c r="P66" i="32"/>
  <c r="O66" i="32"/>
  <c r="N66" i="32"/>
  <c r="M66" i="32"/>
  <c r="L66" i="32"/>
  <c r="K66" i="32"/>
  <c r="Q65" i="32"/>
  <c r="P65" i="32"/>
  <c r="O65" i="32"/>
  <c r="N65" i="32"/>
  <c r="M65" i="32"/>
  <c r="L65" i="32"/>
  <c r="K65" i="32"/>
  <c r="Q64" i="32"/>
  <c r="P64" i="32"/>
  <c r="O64" i="32"/>
  <c r="N64" i="32"/>
  <c r="M64" i="32"/>
  <c r="L64" i="32"/>
  <c r="K64" i="32"/>
  <c r="Q63" i="32"/>
  <c r="P63" i="32"/>
  <c r="O63" i="32"/>
  <c r="N63" i="32"/>
  <c r="M63" i="32"/>
  <c r="L63" i="32"/>
  <c r="K63" i="32"/>
  <c r="Q62" i="32"/>
  <c r="P62" i="32"/>
  <c r="O62" i="32"/>
  <c r="N62" i="32"/>
  <c r="M62" i="32"/>
  <c r="L62" i="32"/>
  <c r="K62" i="32"/>
  <c r="Q61" i="32"/>
  <c r="P61" i="32"/>
  <c r="O61" i="32"/>
  <c r="N61" i="32"/>
  <c r="M61" i="32"/>
  <c r="L61" i="32"/>
  <c r="K61" i="32"/>
  <c r="Q60" i="32"/>
  <c r="P60" i="32"/>
  <c r="O60" i="32"/>
  <c r="N60" i="32"/>
  <c r="M60" i="32"/>
  <c r="L60" i="32"/>
  <c r="K60" i="32"/>
  <c r="Q59" i="32"/>
  <c r="P59" i="32"/>
  <c r="O59" i="32"/>
  <c r="N59" i="32"/>
  <c r="M59" i="32"/>
  <c r="L59" i="32"/>
  <c r="K59" i="32"/>
  <c r="Q58" i="32"/>
  <c r="P58" i="32"/>
  <c r="O58" i="32"/>
  <c r="N58" i="32"/>
  <c r="M58" i="32"/>
  <c r="L58" i="32"/>
  <c r="K58" i="32"/>
  <c r="Q57" i="32"/>
  <c r="P57" i="32"/>
  <c r="O57" i="32"/>
  <c r="N57" i="32"/>
  <c r="M57" i="32"/>
  <c r="L57" i="32"/>
  <c r="K57" i="32"/>
  <c r="Q56" i="32"/>
  <c r="P56" i="32"/>
  <c r="O56" i="32"/>
  <c r="N56" i="32"/>
  <c r="M56" i="32"/>
  <c r="L56" i="32"/>
  <c r="K56" i="32"/>
  <c r="Q55" i="32"/>
  <c r="P55" i="32"/>
  <c r="O55" i="32"/>
  <c r="N55" i="32"/>
  <c r="M55" i="32"/>
  <c r="L55" i="32"/>
  <c r="K55" i="32"/>
  <c r="Q54" i="32"/>
  <c r="P54" i="32"/>
  <c r="O54" i="32"/>
  <c r="N54" i="32"/>
  <c r="M54" i="32"/>
  <c r="L54" i="32"/>
  <c r="K54" i="32"/>
  <c r="Q53" i="32"/>
  <c r="P53" i="32"/>
  <c r="O53" i="32"/>
  <c r="N53" i="32"/>
  <c r="M53" i="32"/>
  <c r="L53" i="32"/>
  <c r="K53" i="32"/>
  <c r="Q52" i="32"/>
  <c r="P52" i="32"/>
  <c r="O52" i="32"/>
  <c r="N52" i="32"/>
  <c r="M52" i="32"/>
  <c r="L52" i="32"/>
  <c r="K52" i="32"/>
  <c r="Q51" i="32"/>
  <c r="P51" i="32"/>
  <c r="O51" i="32"/>
  <c r="N51" i="32"/>
  <c r="M51" i="32"/>
  <c r="L51" i="32"/>
  <c r="K51" i="32"/>
  <c r="Q50" i="32"/>
  <c r="P50" i="32"/>
  <c r="O50" i="32"/>
  <c r="N50" i="32"/>
  <c r="M50" i="32"/>
  <c r="L50" i="32"/>
  <c r="K50" i="32"/>
  <c r="Q49" i="32"/>
  <c r="P49" i="32"/>
  <c r="O49" i="32"/>
  <c r="N49" i="32"/>
  <c r="M49" i="32"/>
  <c r="L49" i="32"/>
  <c r="K49" i="32"/>
  <c r="Q48" i="32"/>
  <c r="P48" i="32"/>
  <c r="O48" i="32"/>
  <c r="N48" i="32"/>
  <c r="M48" i="32"/>
  <c r="L48" i="32"/>
  <c r="K48" i="32"/>
  <c r="Q47" i="32"/>
  <c r="P47" i="32"/>
  <c r="O47" i="32"/>
  <c r="N47" i="32"/>
  <c r="M47" i="32"/>
  <c r="L47" i="32"/>
  <c r="K47" i="32"/>
  <c r="Q46" i="32"/>
  <c r="P46" i="32"/>
  <c r="O46" i="32"/>
  <c r="N46" i="32"/>
  <c r="M46" i="32"/>
  <c r="L46" i="32"/>
  <c r="K46" i="32"/>
  <c r="Q45" i="32"/>
  <c r="P45" i="32"/>
  <c r="O45" i="32"/>
  <c r="N45" i="32"/>
  <c r="M45" i="32"/>
  <c r="L45" i="32"/>
  <c r="K45" i="32"/>
  <c r="Q44" i="32"/>
  <c r="P44" i="32"/>
  <c r="O44" i="32"/>
  <c r="N44" i="32"/>
  <c r="M44" i="32"/>
  <c r="L44" i="32"/>
  <c r="K44" i="32"/>
  <c r="Q43" i="32"/>
  <c r="P43" i="32"/>
  <c r="O43" i="32"/>
  <c r="N43" i="32"/>
  <c r="M43" i="32"/>
  <c r="L43" i="32"/>
  <c r="K43" i="32"/>
  <c r="Q42" i="32"/>
  <c r="P42" i="32"/>
  <c r="O42" i="32"/>
  <c r="N42" i="32"/>
  <c r="M42" i="32"/>
  <c r="L42" i="32"/>
  <c r="K42" i="32"/>
  <c r="Q41" i="32"/>
  <c r="P41" i="32"/>
  <c r="O41" i="32"/>
  <c r="N41" i="32"/>
  <c r="M41" i="32"/>
  <c r="L41" i="32"/>
  <c r="K41" i="32"/>
  <c r="Q40" i="32"/>
  <c r="P40" i="32"/>
  <c r="O40" i="32"/>
  <c r="N40" i="32"/>
  <c r="M40" i="32"/>
  <c r="L40" i="32"/>
  <c r="K40" i="32"/>
  <c r="Q39" i="32"/>
  <c r="P39" i="32"/>
  <c r="O39" i="32"/>
  <c r="N39" i="32"/>
  <c r="M39" i="32"/>
  <c r="L39" i="32"/>
  <c r="K39" i="32"/>
  <c r="Q38" i="32"/>
  <c r="P38" i="32"/>
  <c r="O38" i="32"/>
  <c r="N38" i="32"/>
  <c r="M38" i="32"/>
  <c r="L38" i="32"/>
  <c r="K38" i="32"/>
  <c r="Q37" i="32"/>
  <c r="P37" i="32"/>
  <c r="O37" i="32"/>
  <c r="N37" i="32"/>
  <c r="M37" i="32"/>
  <c r="L37" i="32"/>
  <c r="K37" i="32"/>
  <c r="Q36" i="32"/>
  <c r="P36" i="32"/>
  <c r="O36" i="32"/>
  <c r="N36" i="32"/>
  <c r="M36" i="32"/>
  <c r="L36" i="32"/>
  <c r="K36" i="32"/>
  <c r="Q35" i="32"/>
  <c r="P35" i="32"/>
  <c r="O35" i="32"/>
  <c r="N35" i="32"/>
  <c r="M35" i="32"/>
  <c r="L35" i="32"/>
  <c r="K35" i="32"/>
  <c r="Q34" i="32"/>
  <c r="P34" i="32"/>
  <c r="O34" i="32"/>
  <c r="N34" i="32"/>
  <c r="M34" i="32"/>
  <c r="L34" i="32"/>
  <c r="K34" i="32"/>
  <c r="Q33" i="32"/>
  <c r="P33" i="32"/>
  <c r="O33" i="32"/>
  <c r="N33" i="32"/>
  <c r="M33" i="32"/>
  <c r="L33" i="32"/>
  <c r="K33" i="32"/>
  <c r="Q32" i="32"/>
  <c r="P32" i="32"/>
  <c r="O32" i="32"/>
  <c r="N32" i="32"/>
  <c r="M32" i="32"/>
  <c r="L32" i="32"/>
  <c r="K32" i="32"/>
  <c r="Q31" i="32"/>
  <c r="P31" i="32"/>
  <c r="O31" i="32"/>
  <c r="N31" i="32"/>
  <c r="M31" i="32"/>
  <c r="L31" i="32"/>
  <c r="K31" i="32"/>
  <c r="Q30" i="32"/>
  <c r="P30" i="32"/>
  <c r="O30" i="32"/>
  <c r="N30" i="32"/>
  <c r="M30" i="32"/>
  <c r="L30" i="32"/>
  <c r="K30" i="32"/>
  <c r="Q29" i="32"/>
  <c r="P29" i="32"/>
  <c r="O29" i="32"/>
  <c r="N29" i="32"/>
  <c r="M29" i="32"/>
  <c r="L29" i="32"/>
  <c r="K29" i="32"/>
  <c r="Q28" i="32"/>
  <c r="P28" i="32"/>
  <c r="O28" i="32"/>
  <c r="N28" i="32"/>
  <c r="M28" i="32"/>
  <c r="L28" i="32"/>
  <c r="K28" i="32"/>
  <c r="Q27" i="32"/>
  <c r="P27" i="32"/>
  <c r="O27" i="32"/>
  <c r="N27" i="32"/>
  <c r="M27" i="32"/>
  <c r="L27" i="32"/>
  <c r="K27" i="32"/>
  <c r="Q26" i="32"/>
  <c r="P26" i="32"/>
  <c r="O26" i="32"/>
  <c r="N26" i="32"/>
  <c r="M26" i="32"/>
  <c r="L26" i="32"/>
  <c r="K26" i="32"/>
  <c r="Q25" i="32"/>
  <c r="P25" i="32"/>
  <c r="O25" i="32"/>
  <c r="N25" i="32"/>
  <c r="M25" i="32"/>
  <c r="L25" i="32"/>
  <c r="K25" i="32"/>
  <c r="Q24" i="32"/>
  <c r="P24" i="32"/>
  <c r="O24" i="32"/>
  <c r="N24" i="32"/>
  <c r="M24" i="32"/>
  <c r="L24" i="32"/>
  <c r="K24" i="32"/>
  <c r="Q23" i="32"/>
  <c r="P23" i="32"/>
  <c r="O23" i="32"/>
  <c r="N23" i="32"/>
  <c r="M23" i="32"/>
  <c r="L23" i="32"/>
  <c r="K23" i="32"/>
  <c r="Q22" i="32"/>
  <c r="P22" i="32"/>
  <c r="O22" i="32"/>
  <c r="N22" i="32"/>
  <c r="M22" i="32"/>
  <c r="L22" i="32"/>
  <c r="K22" i="32"/>
  <c r="Q21" i="32"/>
  <c r="P21" i="32"/>
  <c r="O21" i="32"/>
  <c r="N21" i="32"/>
  <c r="M21" i="32"/>
  <c r="L21" i="32"/>
  <c r="K21" i="32"/>
  <c r="Q20" i="32"/>
  <c r="P20" i="32"/>
  <c r="O20" i="32"/>
  <c r="N20" i="32"/>
  <c r="M20" i="32"/>
  <c r="L20" i="32"/>
  <c r="K20" i="32"/>
  <c r="Q19" i="32"/>
  <c r="P19" i="32"/>
  <c r="O19" i="32"/>
  <c r="N19" i="32"/>
  <c r="M19" i="32"/>
  <c r="L19" i="32"/>
  <c r="K19" i="32"/>
  <c r="Q18" i="32"/>
  <c r="P18" i="32"/>
  <c r="O18" i="32"/>
  <c r="N18" i="32"/>
  <c r="M18" i="32"/>
  <c r="L18" i="32"/>
  <c r="K18" i="32"/>
  <c r="Q17" i="32"/>
  <c r="P17" i="32"/>
  <c r="O17" i="32"/>
  <c r="N17" i="32"/>
  <c r="M17" i="32"/>
  <c r="L17" i="32"/>
  <c r="K17" i="32"/>
  <c r="Q16" i="32"/>
  <c r="P16" i="32"/>
  <c r="O16" i="32"/>
  <c r="N16" i="32"/>
  <c r="M16" i="32"/>
  <c r="L16" i="32"/>
  <c r="K16" i="32"/>
  <c r="Q15" i="32"/>
  <c r="P15" i="32"/>
  <c r="O15" i="32"/>
  <c r="N15" i="32"/>
  <c r="M15" i="32"/>
  <c r="L15" i="32"/>
  <c r="K15" i="32"/>
  <c r="Q14" i="32"/>
  <c r="P14" i="32"/>
  <c r="O14" i="32"/>
  <c r="N14" i="32"/>
  <c r="M14" i="32"/>
  <c r="L14" i="32"/>
  <c r="K14" i="32"/>
  <c r="A2" i="31"/>
  <c r="B27" i="1" s="1"/>
  <c r="Q203" i="31"/>
  <c r="P203" i="31"/>
  <c r="O203" i="31"/>
  <c r="N203" i="31"/>
  <c r="M203" i="31"/>
  <c r="L203" i="31"/>
  <c r="K203" i="31"/>
  <c r="Q202" i="31"/>
  <c r="P202" i="31"/>
  <c r="O202" i="31"/>
  <c r="N202" i="31"/>
  <c r="M202" i="31"/>
  <c r="L202" i="31"/>
  <c r="K202" i="31"/>
  <c r="Q201" i="31"/>
  <c r="P201" i="31"/>
  <c r="O201" i="31"/>
  <c r="N201" i="31"/>
  <c r="M201" i="31"/>
  <c r="L201" i="31"/>
  <c r="K201" i="31"/>
  <c r="Q200" i="31"/>
  <c r="P200" i="31"/>
  <c r="O200" i="31"/>
  <c r="N200" i="31"/>
  <c r="M200" i="31"/>
  <c r="L200" i="31"/>
  <c r="K200" i="31"/>
  <c r="Q199" i="31"/>
  <c r="P199" i="31"/>
  <c r="O199" i="31"/>
  <c r="N199" i="31"/>
  <c r="M199" i="31"/>
  <c r="L199" i="31"/>
  <c r="K199" i="31"/>
  <c r="Q198" i="31"/>
  <c r="P198" i="31"/>
  <c r="O198" i="31"/>
  <c r="N198" i="31"/>
  <c r="M198" i="31"/>
  <c r="L198" i="31"/>
  <c r="K198" i="31"/>
  <c r="Q197" i="31"/>
  <c r="P197" i="31"/>
  <c r="O197" i="31"/>
  <c r="N197" i="31"/>
  <c r="M197" i="31"/>
  <c r="L197" i="31"/>
  <c r="K197" i="31"/>
  <c r="Q196" i="31"/>
  <c r="P196" i="31"/>
  <c r="O196" i="31"/>
  <c r="N196" i="31"/>
  <c r="M196" i="31"/>
  <c r="L196" i="31"/>
  <c r="K196" i="31"/>
  <c r="Q195" i="31"/>
  <c r="P195" i="31"/>
  <c r="O195" i="31"/>
  <c r="N195" i="31"/>
  <c r="M195" i="31"/>
  <c r="L195" i="31"/>
  <c r="K195" i="31"/>
  <c r="Q194" i="31"/>
  <c r="P194" i="31"/>
  <c r="O194" i="31"/>
  <c r="N194" i="31"/>
  <c r="M194" i="31"/>
  <c r="L194" i="31"/>
  <c r="K194" i="31"/>
  <c r="Q193" i="31"/>
  <c r="P193" i="31"/>
  <c r="O193" i="31"/>
  <c r="N193" i="31"/>
  <c r="M193" i="31"/>
  <c r="L193" i="31"/>
  <c r="K193" i="31"/>
  <c r="Q192" i="31"/>
  <c r="P192" i="31"/>
  <c r="O192" i="31"/>
  <c r="N192" i="31"/>
  <c r="M192" i="31"/>
  <c r="L192" i="31"/>
  <c r="K192" i="31"/>
  <c r="Q191" i="31"/>
  <c r="P191" i="31"/>
  <c r="O191" i="31"/>
  <c r="N191" i="31"/>
  <c r="M191" i="31"/>
  <c r="L191" i="31"/>
  <c r="K191" i="31"/>
  <c r="Q190" i="31"/>
  <c r="P190" i="31"/>
  <c r="O190" i="31"/>
  <c r="N190" i="31"/>
  <c r="M190" i="31"/>
  <c r="L190" i="31"/>
  <c r="K190" i="31"/>
  <c r="Q189" i="31"/>
  <c r="P189" i="31"/>
  <c r="O189" i="31"/>
  <c r="N189" i="31"/>
  <c r="M189" i="31"/>
  <c r="L189" i="31"/>
  <c r="K189" i="31"/>
  <c r="Q188" i="31"/>
  <c r="P188" i="31"/>
  <c r="O188" i="31"/>
  <c r="N188" i="31"/>
  <c r="M188" i="31"/>
  <c r="L188" i="31"/>
  <c r="K188" i="31"/>
  <c r="Q187" i="31"/>
  <c r="P187" i="31"/>
  <c r="O187" i="31"/>
  <c r="N187" i="31"/>
  <c r="M187" i="31"/>
  <c r="L187" i="31"/>
  <c r="K187" i="31"/>
  <c r="Q186" i="31"/>
  <c r="P186" i="31"/>
  <c r="O186" i="31"/>
  <c r="N186" i="31"/>
  <c r="M186" i="31"/>
  <c r="L186" i="31"/>
  <c r="K186" i="31"/>
  <c r="Q185" i="31"/>
  <c r="P185" i="31"/>
  <c r="O185" i="31"/>
  <c r="N185" i="31"/>
  <c r="M185" i="31"/>
  <c r="L185" i="31"/>
  <c r="K185" i="31"/>
  <c r="Q184" i="31"/>
  <c r="P184" i="31"/>
  <c r="O184" i="31"/>
  <c r="N184" i="31"/>
  <c r="M184" i="31"/>
  <c r="L184" i="31"/>
  <c r="K184" i="31"/>
  <c r="Q183" i="31"/>
  <c r="P183" i="31"/>
  <c r="O183" i="31"/>
  <c r="N183" i="31"/>
  <c r="M183" i="31"/>
  <c r="L183" i="31"/>
  <c r="K183" i="31"/>
  <c r="Q182" i="31"/>
  <c r="P182" i="31"/>
  <c r="O182" i="31"/>
  <c r="N182" i="31"/>
  <c r="M182" i="31"/>
  <c r="L182" i="31"/>
  <c r="K182" i="31"/>
  <c r="Q181" i="31"/>
  <c r="P181" i="31"/>
  <c r="O181" i="31"/>
  <c r="N181" i="31"/>
  <c r="M181" i="31"/>
  <c r="L181" i="31"/>
  <c r="K181" i="31"/>
  <c r="Q180" i="31"/>
  <c r="P180" i="31"/>
  <c r="O180" i="31"/>
  <c r="N180" i="31"/>
  <c r="M180" i="31"/>
  <c r="L180" i="31"/>
  <c r="K180" i="31"/>
  <c r="Q179" i="31"/>
  <c r="P179" i="31"/>
  <c r="O179" i="31"/>
  <c r="N179" i="31"/>
  <c r="M179" i="31"/>
  <c r="L179" i="31"/>
  <c r="K179" i="31"/>
  <c r="Q178" i="31"/>
  <c r="P178" i="31"/>
  <c r="O178" i="31"/>
  <c r="N178" i="31"/>
  <c r="M178" i="31"/>
  <c r="L178" i="31"/>
  <c r="K178" i="31"/>
  <c r="Q177" i="31"/>
  <c r="P177" i="31"/>
  <c r="O177" i="31"/>
  <c r="N177" i="31"/>
  <c r="M177" i="31"/>
  <c r="L177" i="31"/>
  <c r="K177" i="31"/>
  <c r="Q176" i="31"/>
  <c r="P176" i="31"/>
  <c r="O176" i="31"/>
  <c r="N176" i="31"/>
  <c r="M176" i="31"/>
  <c r="L176" i="31"/>
  <c r="K176" i="31"/>
  <c r="Q175" i="31"/>
  <c r="P175" i="31"/>
  <c r="O175" i="31"/>
  <c r="N175" i="31"/>
  <c r="M175" i="31"/>
  <c r="L175" i="31"/>
  <c r="K175" i="31"/>
  <c r="Q174" i="31"/>
  <c r="P174" i="31"/>
  <c r="O174" i="31"/>
  <c r="N174" i="31"/>
  <c r="M174" i="31"/>
  <c r="L174" i="31"/>
  <c r="K174" i="31"/>
  <c r="Q173" i="31"/>
  <c r="P173" i="31"/>
  <c r="O173" i="31"/>
  <c r="N173" i="31"/>
  <c r="M173" i="31"/>
  <c r="L173" i="31"/>
  <c r="K173" i="31"/>
  <c r="Q172" i="31"/>
  <c r="P172" i="31"/>
  <c r="O172" i="31"/>
  <c r="N172" i="31"/>
  <c r="M172" i="31"/>
  <c r="L172" i="31"/>
  <c r="K172" i="31"/>
  <c r="Q171" i="31"/>
  <c r="P171" i="31"/>
  <c r="O171" i="31"/>
  <c r="N171" i="31"/>
  <c r="M171" i="31"/>
  <c r="L171" i="31"/>
  <c r="K171" i="31"/>
  <c r="Q170" i="31"/>
  <c r="P170" i="31"/>
  <c r="O170" i="31"/>
  <c r="N170" i="31"/>
  <c r="M170" i="31"/>
  <c r="L170" i="31"/>
  <c r="K170" i="31"/>
  <c r="Q169" i="31"/>
  <c r="P169" i="31"/>
  <c r="O169" i="31"/>
  <c r="N169" i="31"/>
  <c r="M169" i="31"/>
  <c r="L169" i="31"/>
  <c r="K169" i="31"/>
  <c r="Q168" i="31"/>
  <c r="P168" i="31"/>
  <c r="O168" i="31"/>
  <c r="N168" i="31"/>
  <c r="M168" i="31"/>
  <c r="L168" i="31"/>
  <c r="K168" i="31"/>
  <c r="Q167" i="31"/>
  <c r="P167" i="31"/>
  <c r="O167" i="31"/>
  <c r="N167" i="31"/>
  <c r="M167" i="31"/>
  <c r="L167" i="31"/>
  <c r="K167" i="31"/>
  <c r="Q166" i="31"/>
  <c r="P166" i="31"/>
  <c r="O166" i="31"/>
  <c r="N166" i="31"/>
  <c r="M166" i="31"/>
  <c r="L166" i="31"/>
  <c r="K166" i="31"/>
  <c r="Q165" i="31"/>
  <c r="P165" i="31"/>
  <c r="O165" i="31"/>
  <c r="N165" i="31"/>
  <c r="M165" i="31"/>
  <c r="L165" i="31"/>
  <c r="K165" i="31"/>
  <c r="Q164" i="31"/>
  <c r="P164" i="31"/>
  <c r="O164" i="31"/>
  <c r="N164" i="31"/>
  <c r="M164" i="31"/>
  <c r="L164" i="31"/>
  <c r="K164" i="31"/>
  <c r="Q163" i="31"/>
  <c r="P163" i="31"/>
  <c r="O163" i="31"/>
  <c r="N163" i="31"/>
  <c r="M163" i="31"/>
  <c r="L163" i="31"/>
  <c r="K163" i="31"/>
  <c r="Q162" i="31"/>
  <c r="P162" i="31"/>
  <c r="O162" i="31"/>
  <c r="N162" i="31"/>
  <c r="M162" i="31"/>
  <c r="L162" i="31"/>
  <c r="K162" i="31"/>
  <c r="Q161" i="31"/>
  <c r="P161" i="31"/>
  <c r="O161" i="31"/>
  <c r="N161" i="31"/>
  <c r="M161" i="31"/>
  <c r="L161" i="31"/>
  <c r="K161" i="31"/>
  <c r="Q160" i="31"/>
  <c r="P160" i="31"/>
  <c r="O160" i="31"/>
  <c r="N160" i="31"/>
  <c r="M160" i="31"/>
  <c r="L160" i="31"/>
  <c r="K160" i="31"/>
  <c r="Q159" i="31"/>
  <c r="P159" i="31"/>
  <c r="O159" i="31"/>
  <c r="N159" i="31"/>
  <c r="M159" i="31"/>
  <c r="L159" i="31"/>
  <c r="K159" i="31"/>
  <c r="Q158" i="31"/>
  <c r="P158" i="31"/>
  <c r="O158" i="31"/>
  <c r="N158" i="31"/>
  <c r="M158" i="31"/>
  <c r="L158" i="31"/>
  <c r="K158" i="31"/>
  <c r="Q157" i="31"/>
  <c r="P157" i="31"/>
  <c r="O157" i="31"/>
  <c r="N157" i="31"/>
  <c r="M157" i="31"/>
  <c r="L157" i="31"/>
  <c r="K157" i="31"/>
  <c r="Q156" i="31"/>
  <c r="P156" i="31"/>
  <c r="O156" i="31"/>
  <c r="N156" i="31"/>
  <c r="M156" i="31"/>
  <c r="L156" i="31"/>
  <c r="K156" i="31"/>
  <c r="Q155" i="31"/>
  <c r="P155" i="31"/>
  <c r="O155" i="31"/>
  <c r="N155" i="31"/>
  <c r="M155" i="31"/>
  <c r="L155" i="31"/>
  <c r="K155" i="31"/>
  <c r="Q154" i="31"/>
  <c r="P154" i="31"/>
  <c r="O154" i="31"/>
  <c r="N154" i="31"/>
  <c r="M154" i="31"/>
  <c r="L154" i="31"/>
  <c r="K154" i="31"/>
  <c r="Q153" i="31"/>
  <c r="P153" i="31"/>
  <c r="O153" i="31"/>
  <c r="N153" i="31"/>
  <c r="M153" i="31"/>
  <c r="L153" i="31"/>
  <c r="K153" i="31"/>
  <c r="Q152" i="31"/>
  <c r="P152" i="31"/>
  <c r="O152" i="31"/>
  <c r="N152" i="31"/>
  <c r="M152" i="31"/>
  <c r="L152" i="31"/>
  <c r="K152" i="31"/>
  <c r="Q151" i="31"/>
  <c r="P151" i="31"/>
  <c r="O151" i="31"/>
  <c r="N151" i="31"/>
  <c r="M151" i="31"/>
  <c r="L151" i="31"/>
  <c r="K151" i="31"/>
  <c r="Q150" i="31"/>
  <c r="P150" i="31"/>
  <c r="O150" i="31"/>
  <c r="N150" i="31"/>
  <c r="M150" i="31"/>
  <c r="L150" i="31"/>
  <c r="K150" i="31"/>
  <c r="Q149" i="31"/>
  <c r="P149" i="31"/>
  <c r="O149" i="31"/>
  <c r="N149" i="31"/>
  <c r="M149" i="31"/>
  <c r="L149" i="31"/>
  <c r="K149" i="31"/>
  <c r="Q148" i="31"/>
  <c r="P148" i="31"/>
  <c r="O148" i="31"/>
  <c r="N148" i="31"/>
  <c r="M148" i="31"/>
  <c r="L148" i="31"/>
  <c r="K148" i="31"/>
  <c r="Q147" i="31"/>
  <c r="P147" i="31"/>
  <c r="O147" i="31"/>
  <c r="N147" i="31"/>
  <c r="M147" i="31"/>
  <c r="L147" i="31"/>
  <c r="K147" i="31"/>
  <c r="Q146" i="31"/>
  <c r="P146" i="31"/>
  <c r="O146" i="31"/>
  <c r="N146" i="31"/>
  <c r="M146" i="31"/>
  <c r="L146" i="31"/>
  <c r="K146" i="31"/>
  <c r="Q145" i="31"/>
  <c r="P145" i="31"/>
  <c r="O145" i="31"/>
  <c r="N145" i="31"/>
  <c r="M145" i="31"/>
  <c r="L145" i="31"/>
  <c r="K145" i="31"/>
  <c r="Q144" i="31"/>
  <c r="P144" i="31"/>
  <c r="O144" i="31"/>
  <c r="N144" i="31"/>
  <c r="M144" i="31"/>
  <c r="L144" i="31"/>
  <c r="K144" i="31"/>
  <c r="Q143" i="31"/>
  <c r="P143" i="31"/>
  <c r="O143" i="31"/>
  <c r="N143" i="31"/>
  <c r="M143" i="31"/>
  <c r="L143" i="31"/>
  <c r="K143" i="31"/>
  <c r="Q142" i="31"/>
  <c r="P142" i="31"/>
  <c r="O142" i="31"/>
  <c r="N142" i="31"/>
  <c r="M142" i="31"/>
  <c r="L142" i="31"/>
  <c r="K142" i="31"/>
  <c r="Q141" i="31"/>
  <c r="P141" i="31"/>
  <c r="O141" i="31"/>
  <c r="N141" i="31"/>
  <c r="M141" i="31"/>
  <c r="L141" i="31"/>
  <c r="K141" i="31"/>
  <c r="Q140" i="31"/>
  <c r="P140" i="31"/>
  <c r="O140" i="31"/>
  <c r="N140" i="31"/>
  <c r="M140" i="31"/>
  <c r="L140" i="31"/>
  <c r="K140" i="31"/>
  <c r="Q139" i="31"/>
  <c r="P139" i="31"/>
  <c r="O139" i="31"/>
  <c r="N139" i="31"/>
  <c r="M139" i="31"/>
  <c r="L139" i="31"/>
  <c r="K139" i="31"/>
  <c r="Q138" i="31"/>
  <c r="P138" i="31"/>
  <c r="O138" i="31"/>
  <c r="N138" i="31"/>
  <c r="M138" i="31"/>
  <c r="L138" i="31"/>
  <c r="K138" i="31"/>
  <c r="Q137" i="31"/>
  <c r="P137" i="31"/>
  <c r="O137" i="31"/>
  <c r="N137" i="31"/>
  <c r="M137" i="31"/>
  <c r="L137" i="31"/>
  <c r="K137" i="31"/>
  <c r="Q136" i="31"/>
  <c r="P136" i="31"/>
  <c r="O136" i="31"/>
  <c r="N136" i="31"/>
  <c r="M136" i="31"/>
  <c r="L136" i="31"/>
  <c r="K136" i="31"/>
  <c r="Q135" i="31"/>
  <c r="P135" i="31"/>
  <c r="O135" i="31"/>
  <c r="N135" i="31"/>
  <c r="M135" i="31"/>
  <c r="L135" i="31"/>
  <c r="K135" i="31"/>
  <c r="Q134" i="31"/>
  <c r="P134" i="31"/>
  <c r="O134" i="31"/>
  <c r="N134" i="31"/>
  <c r="M134" i="31"/>
  <c r="L134" i="31"/>
  <c r="K134" i="31"/>
  <c r="Q133" i="31"/>
  <c r="P133" i="31"/>
  <c r="O133" i="31"/>
  <c r="N133" i="31"/>
  <c r="M133" i="31"/>
  <c r="L133" i="31"/>
  <c r="K133" i="31"/>
  <c r="Q132" i="31"/>
  <c r="P132" i="31"/>
  <c r="O132" i="31"/>
  <c r="N132" i="31"/>
  <c r="M132" i="31"/>
  <c r="L132" i="31"/>
  <c r="K132" i="31"/>
  <c r="Q131" i="31"/>
  <c r="P131" i="31"/>
  <c r="O131" i="31"/>
  <c r="N131" i="31"/>
  <c r="M131" i="31"/>
  <c r="L131" i="31"/>
  <c r="K131" i="31"/>
  <c r="Q130" i="31"/>
  <c r="P130" i="31"/>
  <c r="O130" i="31"/>
  <c r="N130" i="31"/>
  <c r="M130" i="31"/>
  <c r="L130" i="31"/>
  <c r="K130" i="31"/>
  <c r="Q129" i="31"/>
  <c r="P129" i="31"/>
  <c r="O129" i="31"/>
  <c r="N129" i="31"/>
  <c r="M129" i="31"/>
  <c r="L129" i="31"/>
  <c r="K129" i="31"/>
  <c r="Q128" i="31"/>
  <c r="P128" i="31"/>
  <c r="O128" i="31"/>
  <c r="N128" i="31"/>
  <c r="M128" i="31"/>
  <c r="L128" i="31"/>
  <c r="K128" i="31"/>
  <c r="Q127" i="31"/>
  <c r="P127" i="31"/>
  <c r="O127" i="31"/>
  <c r="N127" i="31"/>
  <c r="M127" i="31"/>
  <c r="L127" i="31"/>
  <c r="K127" i="31"/>
  <c r="Q126" i="31"/>
  <c r="P126" i="31"/>
  <c r="O126" i="31"/>
  <c r="N126" i="31"/>
  <c r="M126" i="31"/>
  <c r="L126" i="31"/>
  <c r="K126" i="31"/>
  <c r="Q125" i="31"/>
  <c r="P125" i="31"/>
  <c r="O125" i="31"/>
  <c r="N125" i="31"/>
  <c r="M125" i="31"/>
  <c r="L125" i="31"/>
  <c r="K125" i="31"/>
  <c r="Q124" i="31"/>
  <c r="P124" i="31"/>
  <c r="O124" i="31"/>
  <c r="N124" i="31"/>
  <c r="M124" i="31"/>
  <c r="L124" i="31"/>
  <c r="K124" i="31"/>
  <c r="Q123" i="31"/>
  <c r="P123" i="31"/>
  <c r="O123" i="31"/>
  <c r="N123" i="31"/>
  <c r="M123" i="31"/>
  <c r="L123" i="31"/>
  <c r="K123" i="31"/>
  <c r="Q122" i="31"/>
  <c r="P122" i="31"/>
  <c r="O122" i="31"/>
  <c r="N122" i="31"/>
  <c r="M122" i="31"/>
  <c r="L122" i="31"/>
  <c r="K122" i="31"/>
  <c r="Q121" i="31"/>
  <c r="P121" i="31"/>
  <c r="O121" i="31"/>
  <c r="N121" i="31"/>
  <c r="M121" i="31"/>
  <c r="L121" i="31"/>
  <c r="K121" i="31"/>
  <c r="Q120" i="31"/>
  <c r="P120" i="31"/>
  <c r="O120" i="31"/>
  <c r="N120" i="31"/>
  <c r="M120" i="31"/>
  <c r="L120" i="31"/>
  <c r="K120" i="31"/>
  <c r="Q119" i="31"/>
  <c r="P119" i="31"/>
  <c r="O119" i="31"/>
  <c r="N119" i="31"/>
  <c r="M119" i="31"/>
  <c r="L119" i="31"/>
  <c r="K119" i="31"/>
  <c r="Q118" i="31"/>
  <c r="P118" i="31"/>
  <c r="O118" i="31"/>
  <c r="N118" i="31"/>
  <c r="M118" i="31"/>
  <c r="L118" i="31"/>
  <c r="K118" i="31"/>
  <c r="Q117" i="31"/>
  <c r="P117" i="31"/>
  <c r="O117" i="31"/>
  <c r="N117" i="31"/>
  <c r="M117" i="31"/>
  <c r="L117" i="31"/>
  <c r="K117" i="31"/>
  <c r="Q116" i="31"/>
  <c r="P116" i="31"/>
  <c r="O116" i="31"/>
  <c r="N116" i="31"/>
  <c r="M116" i="31"/>
  <c r="L116" i="31"/>
  <c r="K116" i="31"/>
  <c r="Q115" i="31"/>
  <c r="P115" i="31"/>
  <c r="O115" i="31"/>
  <c r="N115" i="31"/>
  <c r="M115" i="31"/>
  <c r="L115" i="31"/>
  <c r="K115" i="31"/>
  <c r="Q114" i="31"/>
  <c r="P114" i="31"/>
  <c r="O114" i="31"/>
  <c r="N114" i="31"/>
  <c r="M114" i="31"/>
  <c r="L114" i="31"/>
  <c r="K114" i="31"/>
  <c r="Q113" i="31"/>
  <c r="P113" i="31"/>
  <c r="O113" i="31"/>
  <c r="N113" i="31"/>
  <c r="M113" i="31"/>
  <c r="L113" i="31"/>
  <c r="K113" i="31"/>
  <c r="Q112" i="31"/>
  <c r="P112" i="31"/>
  <c r="O112" i="31"/>
  <c r="N112" i="31"/>
  <c r="M112" i="31"/>
  <c r="L112" i="31"/>
  <c r="K112" i="31"/>
  <c r="Q111" i="31"/>
  <c r="P111" i="31"/>
  <c r="O111" i="31"/>
  <c r="N111" i="31"/>
  <c r="M111" i="31"/>
  <c r="L111" i="31"/>
  <c r="K111" i="31"/>
  <c r="Q110" i="31"/>
  <c r="P110" i="31"/>
  <c r="O110" i="31"/>
  <c r="N110" i="31"/>
  <c r="M110" i="31"/>
  <c r="L110" i="31"/>
  <c r="K110" i="31"/>
  <c r="Q109" i="31"/>
  <c r="P109" i="31"/>
  <c r="O109" i="31"/>
  <c r="N109" i="31"/>
  <c r="M109" i="31"/>
  <c r="L109" i="31"/>
  <c r="K109" i="31"/>
  <c r="Q108" i="31"/>
  <c r="P108" i="31"/>
  <c r="O108" i="31"/>
  <c r="N108" i="31"/>
  <c r="M108" i="31"/>
  <c r="L108" i="31"/>
  <c r="K108" i="31"/>
  <c r="Q107" i="31"/>
  <c r="P107" i="31"/>
  <c r="O107" i="31"/>
  <c r="N107" i="31"/>
  <c r="M107" i="31"/>
  <c r="L107" i="31"/>
  <c r="K107" i="31"/>
  <c r="Q106" i="31"/>
  <c r="P106" i="31"/>
  <c r="O106" i="31"/>
  <c r="N106" i="31"/>
  <c r="M106" i="31"/>
  <c r="L106" i="31"/>
  <c r="K106" i="31"/>
  <c r="Q105" i="31"/>
  <c r="P105" i="31"/>
  <c r="O105" i="31"/>
  <c r="N105" i="31"/>
  <c r="M105" i="31"/>
  <c r="L105" i="31"/>
  <c r="K105" i="31"/>
  <c r="Q104" i="31"/>
  <c r="P104" i="31"/>
  <c r="O104" i="31"/>
  <c r="N104" i="31"/>
  <c r="M104" i="31"/>
  <c r="L104" i="31"/>
  <c r="K104" i="31"/>
  <c r="Q103" i="31"/>
  <c r="P103" i="31"/>
  <c r="O103" i="31"/>
  <c r="N103" i="31"/>
  <c r="M103" i="31"/>
  <c r="L103" i="31"/>
  <c r="K103" i="31"/>
  <c r="Q102" i="31"/>
  <c r="P102" i="31"/>
  <c r="O102" i="31"/>
  <c r="N102" i="31"/>
  <c r="M102" i="31"/>
  <c r="L102" i="31"/>
  <c r="K102" i="31"/>
  <c r="Q101" i="31"/>
  <c r="P101" i="31"/>
  <c r="O101" i="31"/>
  <c r="N101" i="31"/>
  <c r="M101" i="31"/>
  <c r="L101" i="31"/>
  <c r="K101" i="31"/>
  <c r="Q100" i="31"/>
  <c r="P100" i="31"/>
  <c r="O100" i="31"/>
  <c r="N100" i="31"/>
  <c r="M100" i="31"/>
  <c r="L100" i="31"/>
  <c r="K100" i="31"/>
  <c r="Q99" i="31"/>
  <c r="P99" i="31"/>
  <c r="O99" i="31"/>
  <c r="N99" i="31"/>
  <c r="M99" i="31"/>
  <c r="L99" i="31"/>
  <c r="K99" i="31"/>
  <c r="Q98" i="31"/>
  <c r="P98" i="31"/>
  <c r="O98" i="31"/>
  <c r="N98" i="31"/>
  <c r="M98" i="31"/>
  <c r="L98" i="31"/>
  <c r="K98" i="31"/>
  <c r="Q97" i="31"/>
  <c r="P97" i="31"/>
  <c r="O97" i="31"/>
  <c r="N97" i="31"/>
  <c r="M97" i="31"/>
  <c r="L97" i="31"/>
  <c r="K97" i="31"/>
  <c r="Q96" i="31"/>
  <c r="P96" i="31"/>
  <c r="O96" i="31"/>
  <c r="N96" i="31"/>
  <c r="M96" i="31"/>
  <c r="L96" i="31"/>
  <c r="K96" i="31"/>
  <c r="Q95" i="31"/>
  <c r="P95" i="31"/>
  <c r="O95" i="31"/>
  <c r="N95" i="31"/>
  <c r="M95" i="31"/>
  <c r="L95" i="31"/>
  <c r="K95" i="31"/>
  <c r="Q94" i="31"/>
  <c r="P94" i="31"/>
  <c r="O94" i="31"/>
  <c r="N94" i="31"/>
  <c r="M94" i="31"/>
  <c r="L94" i="31"/>
  <c r="K94" i="31"/>
  <c r="Q93" i="31"/>
  <c r="P93" i="31"/>
  <c r="O93" i="31"/>
  <c r="N93" i="31"/>
  <c r="M93" i="31"/>
  <c r="L93" i="31"/>
  <c r="K93" i="31"/>
  <c r="Q92" i="31"/>
  <c r="P92" i="31"/>
  <c r="O92" i="31"/>
  <c r="N92" i="31"/>
  <c r="M92" i="31"/>
  <c r="L92" i="31"/>
  <c r="K92" i="31"/>
  <c r="Q91" i="31"/>
  <c r="P91" i="31"/>
  <c r="O91" i="31"/>
  <c r="N91" i="31"/>
  <c r="M91" i="31"/>
  <c r="L91" i="31"/>
  <c r="K91" i="31"/>
  <c r="Q90" i="31"/>
  <c r="P90" i="31"/>
  <c r="O90" i="31"/>
  <c r="N90" i="31"/>
  <c r="M90" i="31"/>
  <c r="L90" i="31"/>
  <c r="K90" i="31"/>
  <c r="Q89" i="31"/>
  <c r="P89" i="31"/>
  <c r="O89" i="31"/>
  <c r="N89" i="31"/>
  <c r="M89" i="31"/>
  <c r="L89" i="31"/>
  <c r="K89" i="31"/>
  <c r="Q88" i="31"/>
  <c r="P88" i="31"/>
  <c r="O88" i="31"/>
  <c r="N88" i="31"/>
  <c r="M88" i="31"/>
  <c r="L88" i="31"/>
  <c r="K88" i="31"/>
  <c r="Q87" i="31"/>
  <c r="P87" i="31"/>
  <c r="O87" i="31"/>
  <c r="N87" i="31"/>
  <c r="M87" i="31"/>
  <c r="L87" i="31"/>
  <c r="K87" i="31"/>
  <c r="Q86" i="31"/>
  <c r="P86" i="31"/>
  <c r="O86" i="31"/>
  <c r="N86" i="31"/>
  <c r="M86" i="31"/>
  <c r="L86" i="31"/>
  <c r="K86" i="31"/>
  <c r="Q85" i="31"/>
  <c r="P85" i="31"/>
  <c r="O85" i="31"/>
  <c r="N85" i="31"/>
  <c r="M85" i="31"/>
  <c r="L85" i="31"/>
  <c r="K85" i="31"/>
  <c r="Q84" i="31"/>
  <c r="P84" i="31"/>
  <c r="O84" i="31"/>
  <c r="N84" i="31"/>
  <c r="M84" i="31"/>
  <c r="L84" i="31"/>
  <c r="K84" i="31"/>
  <c r="Q83" i="31"/>
  <c r="P83" i="31"/>
  <c r="O83" i="31"/>
  <c r="N83" i="31"/>
  <c r="M83" i="31"/>
  <c r="L83" i="31"/>
  <c r="K83" i="31"/>
  <c r="Q82" i="31"/>
  <c r="P82" i="31"/>
  <c r="O82" i="31"/>
  <c r="N82" i="31"/>
  <c r="M82" i="31"/>
  <c r="L82" i="31"/>
  <c r="K82" i="31"/>
  <c r="Q81" i="31"/>
  <c r="P81" i="31"/>
  <c r="O81" i="31"/>
  <c r="N81" i="31"/>
  <c r="M81" i="31"/>
  <c r="L81" i="31"/>
  <c r="K81" i="31"/>
  <c r="Q80" i="31"/>
  <c r="P80" i="31"/>
  <c r="O80" i="31"/>
  <c r="N80" i="31"/>
  <c r="M80" i="31"/>
  <c r="L80" i="31"/>
  <c r="K80" i="31"/>
  <c r="Q79" i="31"/>
  <c r="P79" i="31"/>
  <c r="O79" i="31"/>
  <c r="N79" i="31"/>
  <c r="M79" i="31"/>
  <c r="L79" i="31"/>
  <c r="K79" i="31"/>
  <c r="Q78" i="31"/>
  <c r="P78" i="31"/>
  <c r="O78" i="31"/>
  <c r="N78" i="31"/>
  <c r="M78" i="31"/>
  <c r="L78" i="31"/>
  <c r="K78" i="31"/>
  <c r="Q77" i="31"/>
  <c r="P77" i="31"/>
  <c r="O77" i="31"/>
  <c r="N77" i="31"/>
  <c r="M77" i="31"/>
  <c r="L77" i="31"/>
  <c r="K77" i="31"/>
  <c r="Q76" i="31"/>
  <c r="P76" i="31"/>
  <c r="O76" i="31"/>
  <c r="N76" i="31"/>
  <c r="M76" i="31"/>
  <c r="L76" i="31"/>
  <c r="K76" i="31"/>
  <c r="Q75" i="31"/>
  <c r="P75" i="31"/>
  <c r="O75" i="31"/>
  <c r="N75" i="31"/>
  <c r="M75" i="31"/>
  <c r="L75" i="31"/>
  <c r="K75" i="31"/>
  <c r="Q74" i="31"/>
  <c r="P74" i="31"/>
  <c r="O74" i="31"/>
  <c r="N74" i="31"/>
  <c r="M74" i="31"/>
  <c r="L74" i="31"/>
  <c r="K74" i="31"/>
  <c r="Q73" i="31"/>
  <c r="P73" i="31"/>
  <c r="O73" i="31"/>
  <c r="N73" i="31"/>
  <c r="M73" i="31"/>
  <c r="L73" i="31"/>
  <c r="K73" i="31"/>
  <c r="Q72" i="31"/>
  <c r="P72" i="31"/>
  <c r="O72" i="31"/>
  <c r="N72" i="31"/>
  <c r="M72" i="31"/>
  <c r="L72" i="31"/>
  <c r="K72" i="31"/>
  <c r="Q71" i="31"/>
  <c r="P71" i="31"/>
  <c r="O71" i="31"/>
  <c r="N71" i="31"/>
  <c r="M71" i="31"/>
  <c r="L71" i="31"/>
  <c r="K71" i="31"/>
  <c r="Q70" i="31"/>
  <c r="P70" i="31"/>
  <c r="O70" i="31"/>
  <c r="N70" i="31"/>
  <c r="M70" i="31"/>
  <c r="L70" i="31"/>
  <c r="K70" i="31"/>
  <c r="Q69" i="31"/>
  <c r="P69" i="31"/>
  <c r="O69" i="31"/>
  <c r="N69" i="31"/>
  <c r="M69" i="31"/>
  <c r="L69" i="31"/>
  <c r="K69" i="31"/>
  <c r="Q68" i="31"/>
  <c r="P68" i="31"/>
  <c r="O68" i="31"/>
  <c r="N68" i="31"/>
  <c r="M68" i="31"/>
  <c r="L68" i="31"/>
  <c r="K68" i="31"/>
  <c r="Q67" i="31"/>
  <c r="P67" i="31"/>
  <c r="O67" i="31"/>
  <c r="N67" i="31"/>
  <c r="M67" i="31"/>
  <c r="L67" i="31"/>
  <c r="K67" i="31"/>
  <c r="Q66" i="31"/>
  <c r="P66" i="31"/>
  <c r="O66" i="31"/>
  <c r="N66" i="31"/>
  <c r="M66" i="31"/>
  <c r="L66" i="31"/>
  <c r="K66" i="31"/>
  <c r="Q65" i="31"/>
  <c r="P65" i="31"/>
  <c r="O65" i="31"/>
  <c r="N65" i="31"/>
  <c r="M65" i="31"/>
  <c r="L65" i="31"/>
  <c r="K65" i="31"/>
  <c r="Q64" i="31"/>
  <c r="P64" i="31"/>
  <c r="O64" i="31"/>
  <c r="N64" i="31"/>
  <c r="M64" i="31"/>
  <c r="L64" i="31"/>
  <c r="K64" i="31"/>
  <c r="Q63" i="31"/>
  <c r="P63" i="31"/>
  <c r="O63" i="31"/>
  <c r="N63" i="31"/>
  <c r="M63" i="31"/>
  <c r="L63" i="31"/>
  <c r="K63" i="31"/>
  <c r="Q62" i="31"/>
  <c r="P62" i="31"/>
  <c r="O62" i="31"/>
  <c r="N62" i="31"/>
  <c r="M62" i="31"/>
  <c r="L62" i="31"/>
  <c r="K62" i="31"/>
  <c r="Q61" i="31"/>
  <c r="P61" i="31"/>
  <c r="O61" i="31"/>
  <c r="N61" i="31"/>
  <c r="M61" i="31"/>
  <c r="L61" i="31"/>
  <c r="K61" i="31"/>
  <c r="Q60" i="31"/>
  <c r="P60" i="31"/>
  <c r="O60" i="31"/>
  <c r="N60" i="31"/>
  <c r="M60" i="31"/>
  <c r="L60" i="31"/>
  <c r="K60" i="31"/>
  <c r="Q59" i="31"/>
  <c r="P59" i="31"/>
  <c r="O59" i="31"/>
  <c r="N59" i="31"/>
  <c r="M59" i="31"/>
  <c r="L59" i="31"/>
  <c r="K59" i="31"/>
  <c r="Q58" i="31"/>
  <c r="P58" i="31"/>
  <c r="O58" i="31"/>
  <c r="N58" i="31"/>
  <c r="M58" i="31"/>
  <c r="L58" i="31"/>
  <c r="K58" i="31"/>
  <c r="Q57" i="31"/>
  <c r="P57" i="31"/>
  <c r="O57" i="31"/>
  <c r="N57" i="31"/>
  <c r="M57" i="31"/>
  <c r="L57" i="31"/>
  <c r="K57" i="31"/>
  <c r="Q56" i="31"/>
  <c r="P56" i="31"/>
  <c r="O56" i="31"/>
  <c r="N56" i="31"/>
  <c r="M56" i="31"/>
  <c r="L56" i="31"/>
  <c r="K56" i="31"/>
  <c r="Q55" i="31"/>
  <c r="P55" i="31"/>
  <c r="O55" i="31"/>
  <c r="N55" i="31"/>
  <c r="M55" i="31"/>
  <c r="L55" i="31"/>
  <c r="K55" i="31"/>
  <c r="Q54" i="31"/>
  <c r="P54" i="31"/>
  <c r="O54" i="31"/>
  <c r="N54" i="31"/>
  <c r="M54" i="31"/>
  <c r="L54" i="31"/>
  <c r="K54" i="31"/>
  <c r="Q53" i="31"/>
  <c r="P53" i="31"/>
  <c r="O53" i="31"/>
  <c r="N53" i="31"/>
  <c r="M53" i="31"/>
  <c r="L53" i="31"/>
  <c r="K53" i="31"/>
  <c r="Q52" i="31"/>
  <c r="P52" i="31"/>
  <c r="O52" i="31"/>
  <c r="N52" i="31"/>
  <c r="M52" i="31"/>
  <c r="L52" i="31"/>
  <c r="K52" i="31"/>
  <c r="Q51" i="31"/>
  <c r="P51" i="31"/>
  <c r="O51" i="31"/>
  <c r="N51" i="31"/>
  <c r="M51" i="31"/>
  <c r="L51" i="31"/>
  <c r="K51" i="31"/>
  <c r="Q50" i="31"/>
  <c r="P50" i="31"/>
  <c r="O50" i="31"/>
  <c r="N50" i="31"/>
  <c r="M50" i="31"/>
  <c r="L50" i="31"/>
  <c r="K50" i="31"/>
  <c r="Q49" i="31"/>
  <c r="P49" i="31"/>
  <c r="O49" i="31"/>
  <c r="N49" i="31"/>
  <c r="M49" i="31"/>
  <c r="L49" i="31"/>
  <c r="K49" i="31"/>
  <c r="Q48" i="31"/>
  <c r="P48" i="31"/>
  <c r="O48" i="31"/>
  <c r="N48" i="31"/>
  <c r="M48" i="31"/>
  <c r="L48" i="31"/>
  <c r="K48" i="31"/>
  <c r="Q47" i="31"/>
  <c r="P47" i="31"/>
  <c r="O47" i="31"/>
  <c r="N47" i="31"/>
  <c r="M47" i="31"/>
  <c r="L47" i="31"/>
  <c r="K47" i="31"/>
  <c r="Q46" i="31"/>
  <c r="P46" i="31"/>
  <c r="O46" i="31"/>
  <c r="N46" i="31"/>
  <c r="M46" i="31"/>
  <c r="L46" i="31"/>
  <c r="K46" i="31"/>
  <c r="Q45" i="31"/>
  <c r="P45" i="31"/>
  <c r="O45" i="31"/>
  <c r="N45" i="31"/>
  <c r="M45" i="31"/>
  <c r="L45" i="31"/>
  <c r="K45" i="31"/>
  <c r="Q44" i="31"/>
  <c r="P44" i="31"/>
  <c r="O44" i="31"/>
  <c r="N44" i="31"/>
  <c r="M44" i="31"/>
  <c r="L44" i="31"/>
  <c r="K44" i="31"/>
  <c r="Q43" i="31"/>
  <c r="P43" i="31"/>
  <c r="O43" i="31"/>
  <c r="N43" i="31"/>
  <c r="M43" i="31"/>
  <c r="L43" i="31"/>
  <c r="K43" i="31"/>
  <c r="Q42" i="31"/>
  <c r="P42" i="31"/>
  <c r="O42" i="31"/>
  <c r="N42" i="31"/>
  <c r="M42" i="31"/>
  <c r="L42" i="31"/>
  <c r="K42" i="31"/>
  <c r="Q41" i="31"/>
  <c r="P41" i="31"/>
  <c r="O41" i="31"/>
  <c r="N41" i="31"/>
  <c r="M41" i="31"/>
  <c r="L41" i="31"/>
  <c r="K41" i="31"/>
  <c r="Q40" i="31"/>
  <c r="P40" i="31"/>
  <c r="O40" i="31"/>
  <c r="N40" i="31"/>
  <c r="M40" i="31"/>
  <c r="L40" i="31"/>
  <c r="K40" i="31"/>
  <c r="Q39" i="31"/>
  <c r="P39" i="31"/>
  <c r="O39" i="31"/>
  <c r="N39" i="31"/>
  <c r="M39" i="31"/>
  <c r="L39" i="31"/>
  <c r="K39" i="31"/>
  <c r="Q38" i="31"/>
  <c r="P38" i="31"/>
  <c r="O38" i="31"/>
  <c r="N38" i="31"/>
  <c r="M38" i="31"/>
  <c r="L38" i="31"/>
  <c r="K38" i="31"/>
  <c r="Q37" i="31"/>
  <c r="P37" i="31"/>
  <c r="O37" i="31"/>
  <c r="N37" i="31"/>
  <c r="M37" i="31"/>
  <c r="L37" i="31"/>
  <c r="K37" i="31"/>
  <c r="Q36" i="31"/>
  <c r="P36" i="31"/>
  <c r="O36" i="31"/>
  <c r="N36" i="31"/>
  <c r="M36" i="31"/>
  <c r="L36" i="31"/>
  <c r="K36" i="31"/>
  <c r="Q35" i="31"/>
  <c r="P35" i="31"/>
  <c r="O35" i="31"/>
  <c r="N35" i="31"/>
  <c r="M35" i="31"/>
  <c r="L35" i="31"/>
  <c r="K35" i="31"/>
  <c r="Q34" i="31"/>
  <c r="P34" i="31"/>
  <c r="O34" i="31"/>
  <c r="N34" i="31"/>
  <c r="M34" i="31"/>
  <c r="L34" i="31"/>
  <c r="K34" i="31"/>
  <c r="Q33" i="31"/>
  <c r="P33" i="31"/>
  <c r="O33" i="31"/>
  <c r="N33" i="31"/>
  <c r="M33" i="31"/>
  <c r="L33" i="31"/>
  <c r="K33" i="31"/>
  <c r="Q32" i="31"/>
  <c r="P32" i="31"/>
  <c r="O32" i="31"/>
  <c r="N32" i="31"/>
  <c r="M32" i="31"/>
  <c r="L32" i="31"/>
  <c r="K32" i="31"/>
  <c r="Q31" i="31"/>
  <c r="P31" i="31"/>
  <c r="O31" i="31"/>
  <c r="N31" i="31"/>
  <c r="M31" i="31"/>
  <c r="L31" i="31"/>
  <c r="K31" i="31"/>
  <c r="Q30" i="31"/>
  <c r="P30" i="31"/>
  <c r="O30" i="31"/>
  <c r="N30" i="31"/>
  <c r="M30" i="31"/>
  <c r="L30" i="31"/>
  <c r="K30" i="31"/>
  <c r="Q29" i="31"/>
  <c r="P29" i="31"/>
  <c r="O29" i="31"/>
  <c r="N29" i="31"/>
  <c r="M29" i="31"/>
  <c r="L29" i="31"/>
  <c r="K29" i="31"/>
  <c r="Q28" i="31"/>
  <c r="P28" i="31"/>
  <c r="O28" i="31"/>
  <c r="N28" i="31"/>
  <c r="M28" i="31"/>
  <c r="L28" i="31"/>
  <c r="K28" i="31"/>
  <c r="Q27" i="31"/>
  <c r="P27" i="31"/>
  <c r="O27" i="31"/>
  <c r="N27" i="31"/>
  <c r="M27" i="31"/>
  <c r="L27" i="31"/>
  <c r="K27" i="31"/>
  <c r="Q26" i="31"/>
  <c r="P26" i="31"/>
  <c r="O26" i="31"/>
  <c r="N26" i="31"/>
  <c r="M26" i="31"/>
  <c r="L26" i="31"/>
  <c r="K26" i="31"/>
  <c r="Q25" i="31"/>
  <c r="P25" i="31"/>
  <c r="O25" i="31"/>
  <c r="N25" i="31"/>
  <c r="M25" i="31"/>
  <c r="L25" i="31"/>
  <c r="K25" i="31"/>
  <c r="Q24" i="31"/>
  <c r="P24" i="31"/>
  <c r="O24" i="31"/>
  <c r="N24" i="31"/>
  <c r="M24" i="31"/>
  <c r="L24" i="31"/>
  <c r="K24" i="31"/>
  <c r="Q23" i="31"/>
  <c r="P23" i="31"/>
  <c r="O23" i="31"/>
  <c r="N23" i="31"/>
  <c r="M23" i="31"/>
  <c r="L23" i="31"/>
  <c r="K23" i="31"/>
  <c r="Q22" i="31"/>
  <c r="P22" i="31"/>
  <c r="O22" i="31"/>
  <c r="N22" i="31"/>
  <c r="M22" i="31"/>
  <c r="L22" i="31"/>
  <c r="K22" i="31"/>
  <c r="Q21" i="31"/>
  <c r="P21" i="31"/>
  <c r="O21" i="31"/>
  <c r="N21" i="31"/>
  <c r="M21" i="31"/>
  <c r="L21" i="31"/>
  <c r="K21" i="31"/>
  <c r="Q20" i="31"/>
  <c r="P20" i="31"/>
  <c r="O20" i="31"/>
  <c r="N20" i="31"/>
  <c r="M20" i="31"/>
  <c r="L20" i="31"/>
  <c r="K20" i="31"/>
  <c r="Q19" i="31"/>
  <c r="P19" i="31"/>
  <c r="O19" i="31"/>
  <c r="N19" i="31"/>
  <c r="M19" i="31"/>
  <c r="L19" i="31"/>
  <c r="K19" i="31"/>
  <c r="Q18" i="31"/>
  <c r="P18" i="31"/>
  <c r="O18" i="31"/>
  <c r="N18" i="31"/>
  <c r="M18" i="31"/>
  <c r="L18" i="31"/>
  <c r="K18" i="31"/>
  <c r="Q17" i="31"/>
  <c r="P17" i="31"/>
  <c r="O17" i="31"/>
  <c r="N17" i="31"/>
  <c r="M17" i="31"/>
  <c r="L17" i="31"/>
  <c r="K17" i="31"/>
  <c r="Q16" i="31"/>
  <c r="P16" i="31"/>
  <c r="O16" i="31"/>
  <c r="N16" i="31"/>
  <c r="M16" i="31"/>
  <c r="L16" i="31"/>
  <c r="K16" i="31"/>
  <c r="Q15" i="31"/>
  <c r="P15" i="31"/>
  <c r="O15" i="31"/>
  <c r="N15" i="31"/>
  <c r="M15" i="31"/>
  <c r="L15" i="31"/>
  <c r="K15" i="31"/>
  <c r="Q14" i="31"/>
  <c r="P14" i="31"/>
  <c r="O14" i="31"/>
  <c r="N14" i="31"/>
  <c r="M14" i="31"/>
  <c r="L14" i="31"/>
  <c r="K14" i="31"/>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14" i="30"/>
  <c r="F8" i="63"/>
  <c r="B2" i="15"/>
  <c r="A35" i="54"/>
  <c r="A32" i="54"/>
  <c r="A29" i="54"/>
  <c r="A26" i="54"/>
  <c r="A23" i="54"/>
  <c r="A20" i="54"/>
  <c r="A17" i="54"/>
  <c r="A14" i="54"/>
  <c r="A11" i="54"/>
  <c r="A8" i="54"/>
  <c r="A5" i="54"/>
  <c r="A2" i="54"/>
  <c r="A107" i="53"/>
  <c r="A103" i="53"/>
  <c r="A98" i="53"/>
  <c r="A94" i="53"/>
  <c r="A89" i="53"/>
  <c r="A85" i="53"/>
  <c r="A80" i="53"/>
  <c r="A76" i="53"/>
  <c r="A71" i="53"/>
  <c r="A67" i="53"/>
  <c r="A62" i="53"/>
  <c r="A58" i="53"/>
  <c r="A53" i="53"/>
  <c r="A49" i="53"/>
  <c r="A44" i="53"/>
  <c r="A40" i="53"/>
  <c r="A35" i="53"/>
  <c r="A31" i="53"/>
  <c r="A26" i="53"/>
  <c r="A22" i="53"/>
  <c r="A17" i="53"/>
  <c r="A13" i="53"/>
  <c r="A8" i="53"/>
  <c r="A4" i="53"/>
  <c r="A2" i="29"/>
  <c r="A135" i="28"/>
  <c r="A124" i="28"/>
  <c r="A113" i="28"/>
  <c r="A102" i="28"/>
  <c r="A91" i="28"/>
  <c r="A70" i="28"/>
  <c r="A59" i="28"/>
  <c r="A48" i="28"/>
  <c r="A36" i="28"/>
  <c r="A24" i="28"/>
  <c r="A13" i="28"/>
  <c r="A2" i="28"/>
  <c r="H10" i="63"/>
  <c r="F10" i="63"/>
  <c r="J9" i="63"/>
  <c r="I9" i="63"/>
  <c r="H9" i="63"/>
  <c r="J8" i="63"/>
  <c r="I8" i="63"/>
  <c r="H8" i="63"/>
  <c r="J7" i="63"/>
  <c r="I7" i="63"/>
  <c r="H7" i="63"/>
  <c r="F7" i="63"/>
  <c r="I6" i="63"/>
  <c r="H6" i="63"/>
  <c r="F6" i="63"/>
  <c r="D8" i="63"/>
  <c r="D6" i="63"/>
  <c r="B10" i="63"/>
  <c r="A10" i="63"/>
  <c r="C9" i="63"/>
  <c r="B9" i="63"/>
  <c r="A9" i="63"/>
  <c r="C8" i="63"/>
  <c r="B8" i="63"/>
  <c r="A8" i="63"/>
  <c r="C7" i="63"/>
  <c r="B7" i="63"/>
  <c r="A7" i="63"/>
  <c r="C6" i="63"/>
  <c r="B6" i="63"/>
  <c r="A6" i="63"/>
  <c r="J10" i="62"/>
  <c r="I10" i="62"/>
  <c r="J9" i="62"/>
  <c r="I9" i="62"/>
  <c r="D7" i="62"/>
  <c r="A8" i="62"/>
  <c r="B7" i="62"/>
  <c r="A7" i="62"/>
  <c r="C6" i="62"/>
  <c r="B6" i="62"/>
  <c r="A6" i="62"/>
  <c r="H9" i="40"/>
  <c r="F9" i="40"/>
  <c r="J8" i="40"/>
  <c r="I8" i="40"/>
  <c r="H8" i="40"/>
  <c r="F8" i="40"/>
  <c r="J7" i="40"/>
  <c r="I7" i="40"/>
  <c r="H7" i="40"/>
  <c r="F7" i="40"/>
  <c r="J6" i="40"/>
  <c r="I6" i="40"/>
  <c r="H6" i="40"/>
  <c r="F6" i="40"/>
  <c r="D7" i="40"/>
  <c r="D6" i="40"/>
  <c r="B8" i="40"/>
  <c r="A8" i="40"/>
  <c r="C7" i="40"/>
  <c r="B7" i="40"/>
  <c r="A7" i="40"/>
  <c r="C6" i="40"/>
  <c r="B6" i="40"/>
  <c r="A6" i="40"/>
  <c r="H9" i="39"/>
  <c r="F9" i="39"/>
  <c r="J8" i="39"/>
  <c r="I8" i="39"/>
  <c r="H8" i="39"/>
  <c r="F8" i="39"/>
  <c r="J7" i="39"/>
  <c r="I7" i="39"/>
  <c r="H7" i="39"/>
  <c r="F7" i="39"/>
  <c r="J6" i="39"/>
  <c r="I6" i="39"/>
  <c r="H6" i="39"/>
  <c r="F6" i="39"/>
  <c r="D7" i="39"/>
  <c r="D6" i="39"/>
  <c r="B8" i="39"/>
  <c r="A8" i="39"/>
  <c r="C7" i="39"/>
  <c r="B7" i="39"/>
  <c r="A7" i="39"/>
  <c r="C6" i="39"/>
  <c r="B6" i="39"/>
  <c r="A6" i="39"/>
  <c r="H9" i="38"/>
  <c r="F9" i="38"/>
  <c r="J8" i="38"/>
  <c r="I8" i="38"/>
  <c r="H8" i="38"/>
  <c r="F8" i="38"/>
  <c r="J7" i="38"/>
  <c r="I7" i="38"/>
  <c r="H7" i="38"/>
  <c r="F7" i="38"/>
  <c r="J6" i="38"/>
  <c r="I6" i="38"/>
  <c r="H6" i="38"/>
  <c r="F6" i="38"/>
  <c r="D7" i="38"/>
  <c r="D6" i="38"/>
  <c r="B8" i="38"/>
  <c r="A8" i="38"/>
  <c r="C7" i="38"/>
  <c r="B7" i="38"/>
  <c r="A7" i="38"/>
  <c r="C6" i="38"/>
  <c r="B6" i="38"/>
  <c r="A6" i="38"/>
  <c r="F9" i="37"/>
  <c r="J8" i="37"/>
  <c r="I8" i="37"/>
  <c r="H8" i="37"/>
  <c r="F8" i="37"/>
  <c r="J7" i="37"/>
  <c r="I7" i="37"/>
  <c r="H7" i="37"/>
  <c r="F7" i="37"/>
  <c r="J6" i="37"/>
  <c r="I6" i="37"/>
  <c r="H6" i="37"/>
  <c r="F6" i="37"/>
  <c r="D7" i="37"/>
  <c r="D6" i="37"/>
  <c r="B8" i="37"/>
  <c r="A8" i="37"/>
  <c r="C7" i="37"/>
  <c r="B7" i="37"/>
  <c r="A7" i="37"/>
  <c r="C6" i="37"/>
  <c r="B6" i="37"/>
  <c r="A6" i="37"/>
  <c r="F10" i="58"/>
  <c r="J9" i="58"/>
  <c r="I9" i="58"/>
  <c r="H9" i="58"/>
  <c r="F9" i="58"/>
  <c r="I8" i="58"/>
  <c r="F8" i="58"/>
  <c r="J7" i="58"/>
  <c r="I7" i="58"/>
  <c r="H7" i="58"/>
  <c r="J6" i="58"/>
  <c r="I6" i="58"/>
  <c r="F6" i="58"/>
  <c r="D8" i="58"/>
  <c r="D6" i="58"/>
  <c r="B10" i="58"/>
  <c r="A10" i="58"/>
  <c r="C9" i="58"/>
  <c r="B9" i="58"/>
  <c r="A9" i="58"/>
  <c r="C8" i="58"/>
  <c r="B8" i="58"/>
  <c r="C7" i="58"/>
  <c r="B7" i="58"/>
  <c r="A7" i="58"/>
  <c r="B6" i="58"/>
  <c r="A6" i="58"/>
  <c r="J9" i="36"/>
  <c r="I9" i="36"/>
  <c r="H9" i="36"/>
  <c r="F9" i="36"/>
  <c r="J8" i="36"/>
  <c r="I8" i="36"/>
  <c r="H8" i="36"/>
  <c r="F8" i="36"/>
  <c r="J7" i="36"/>
  <c r="I7" i="36"/>
  <c r="H7" i="36"/>
  <c r="F7" i="36"/>
  <c r="J6" i="36"/>
  <c r="I6" i="36"/>
  <c r="H6" i="36"/>
  <c r="F6" i="36"/>
  <c r="D7" i="36"/>
  <c r="D6" i="36"/>
  <c r="B8" i="36"/>
  <c r="A8" i="36"/>
  <c r="C7" i="36"/>
  <c r="B7" i="36"/>
  <c r="A7" i="36"/>
  <c r="C6" i="36"/>
  <c r="B6" i="36"/>
  <c r="A6" i="36"/>
  <c r="F9" i="34"/>
  <c r="I8" i="34"/>
  <c r="H8" i="34"/>
  <c r="F8" i="34"/>
  <c r="J7" i="34"/>
  <c r="H7" i="34"/>
  <c r="F7" i="34"/>
  <c r="I6" i="34"/>
  <c r="H6" i="34"/>
  <c r="F6" i="34"/>
  <c r="D6" i="34"/>
  <c r="B8" i="34"/>
  <c r="A8" i="34"/>
  <c r="C7" i="34"/>
  <c r="B7" i="34"/>
  <c r="A7" i="34"/>
  <c r="C6" i="34"/>
  <c r="B6" i="34"/>
  <c r="H9" i="35"/>
  <c r="F9" i="35"/>
  <c r="J8" i="35"/>
  <c r="I8" i="35"/>
  <c r="H8" i="35"/>
  <c r="F8" i="35"/>
  <c r="J7" i="35"/>
  <c r="I7" i="35"/>
  <c r="H7" i="35"/>
  <c r="F7" i="35"/>
  <c r="J6" i="35"/>
  <c r="I6" i="35"/>
  <c r="H6" i="35"/>
  <c r="F6" i="35"/>
  <c r="D7" i="35"/>
  <c r="D6" i="35"/>
  <c r="B8" i="35"/>
  <c r="A8" i="35"/>
  <c r="C7" i="35"/>
  <c r="B7" i="35"/>
  <c r="A7" i="35"/>
  <c r="C6" i="35"/>
  <c r="B6" i="35"/>
  <c r="A6" i="35"/>
  <c r="H10" i="33"/>
  <c r="I9" i="33"/>
  <c r="H9" i="33"/>
  <c r="F9" i="33"/>
  <c r="J8" i="33"/>
  <c r="I8" i="33"/>
  <c r="H8" i="33"/>
  <c r="I7" i="33"/>
  <c r="H7" i="33"/>
  <c r="F7" i="33"/>
  <c r="J6" i="33"/>
  <c r="I6" i="33"/>
  <c r="H6" i="33"/>
  <c r="D7" i="33"/>
  <c r="D6" i="33"/>
  <c r="B8" i="33"/>
  <c r="A8" i="33"/>
  <c r="C7" i="33"/>
  <c r="B7" i="33"/>
  <c r="A7" i="33"/>
  <c r="C6" i="33"/>
  <c r="A6" i="33"/>
  <c r="H9" i="32"/>
  <c r="F9" i="32"/>
  <c r="J8" i="32"/>
  <c r="I8" i="32"/>
  <c r="I7" i="32"/>
  <c r="H7" i="32"/>
  <c r="F7" i="32"/>
  <c r="J6" i="32"/>
  <c r="I6" i="32"/>
  <c r="F6" i="32"/>
  <c r="D7" i="32"/>
  <c r="D6" i="32"/>
  <c r="B8" i="32"/>
  <c r="A8" i="32"/>
  <c r="C7" i="32"/>
  <c r="B7" i="32"/>
  <c r="C6" i="32"/>
  <c r="A6" i="32"/>
  <c r="H9" i="31"/>
  <c r="F9" i="31"/>
  <c r="J8" i="31"/>
  <c r="J7" i="31"/>
  <c r="H7" i="31"/>
  <c r="J6" i="31"/>
  <c r="H6" i="31"/>
  <c r="B8" i="31"/>
  <c r="A8" i="31"/>
  <c r="C7" i="31"/>
  <c r="B7" i="31"/>
  <c r="C6" i="31"/>
  <c r="A6" i="31"/>
  <c r="F10" i="62"/>
  <c r="G10" i="62"/>
  <c r="H10" i="62"/>
  <c r="H9" i="62"/>
  <c r="G9" i="62"/>
  <c r="J8" i="62"/>
  <c r="H8" i="62"/>
  <c r="F8" i="62"/>
  <c r="J7" i="62"/>
  <c r="I7" i="62"/>
  <c r="F7" i="62"/>
  <c r="J6" i="62"/>
  <c r="H6" i="62"/>
  <c r="F6" i="62"/>
  <c r="J10" i="63"/>
  <c r="I10" i="63"/>
  <c r="G10" i="63"/>
  <c r="D10" i="63"/>
  <c r="C10" i="63"/>
  <c r="G9" i="63"/>
  <c r="G8" i="63"/>
  <c r="G7" i="63"/>
  <c r="G6" i="63"/>
  <c r="G8" i="62"/>
  <c r="D8" i="62"/>
  <c r="C8" i="62"/>
  <c r="G7" i="62"/>
  <c r="G6" i="62"/>
  <c r="J9" i="40"/>
  <c r="I9" i="40"/>
  <c r="G9" i="40"/>
  <c r="G8" i="40"/>
  <c r="D8" i="40"/>
  <c r="C8" i="40"/>
  <c r="G7" i="40"/>
  <c r="G6" i="40"/>
  <c r="J9" i="39"/>
  <c r="I9" i="39"/>
  <c r="G9" i="39"/>
  <c r="G8" i="39"/>
  <c r="D8" i="39"/>
  <c r="C8" i="39"/>
  <c r="G7" i="39"/>
  <c r="G6" i="39"/>
  <c r="J9" i="38"/>
  <c r="I9" i="38"/>
  <c r="G9" i="38"/>
  <c r="G8" i="38"/>
  <c r="D8" i="38"/>
  <c r="C8" i="38"/>
  <c r="G7" i="38"/>
  <c r="G6" i="38"/>
  <c r="J9" i="37"/>
  <c r="I9" i="37"/>
  <c r="G9" i="37"/>
  <c r="G8" i="37"/>
  <c r="D8" i="37"/>
  <c r="C8" i="37"/>
  <c r="G7" i="37"/>
  <c r="G6" i="37"/>
  <c r="J10" i="58"/>
  <c r="I10" i="58"/>
  <c r="G10" i="58"/>
  <c r="D10" i="58"/>
  <c r="C10" i="58"/>
  <c r="G9" i="58"/>
  <c r="G8" i="58"/>
  <c r="G7" i="58"/>
  <c r="G6" i="58"/>
  <c r="G9" i="36"/>
  <c r="G8" i="36"/>
  <c r="D8" i="36"/>
  <c r="C8" i="36"/>
  <c r="G7" i="36"/>
  <c r="G6" i="36"/>
  <c r="J9" i="34"/>
  <c r="I9" i="34"/>
  <c r="G9" i="34"/>
  <c r="G8" i="34"/>
  <c r="D8" i="34"/>
  <c r="C8" i="34"/>
  <c r="G7" i="34"/>
  <c r="G6" i="34"/>
  <c r="J9" i="35"/>
  <c r="I9" i="35"/>
  <c r="G9" i="35"/>
  <c r="G8" i="35"/>
  <c r="D8" i="35"/>
  <c r="C8" i="35"/>
  <c r="G7" i="35"/>
  <c r="G6" i="35"/>
  <c r="J10" i="33"/>
  <c r="I10" i="33"/>
  <c r="G10" i="33"/>
  <c r="G9" i="33"/>
  <c r="G8" i="33"/>
  <c r="D8" i="33"/>
  <c r="C8" i="33"/>
  <c r="G7" i="33"/>
  <c r="G6" i="33"/>
  <c r="J10" i="32"/>
  <c r="I10" i="32"/>
  <c r="G10" i="32"/>
  <c r="G9" i="32"/>
  <c r="G8" i="32"/>
  <c r="D8" i="32"/>
  <c r="C8" i="32"/>
  <c r="G7" i="32"/>
  <c r="G6" i="32"/>
  <c r="J9" i="31"/>
  <c r="I9" i="31"/>
  <c r="G9" i="31"/>
  <c r="G8" i="31"/>
  <c r="G7" i="31"/>
  <c r="G6" i="31"/>
  <c r="D8" i="31"/>
  <c r="C8" i="31"/>
  <c r="J9" i="30"/>
  <c r="I9" i="30"/>
  <c r="G9" i="30"/>
  <c r="G8" i="30"/>
  <c r="G7" i="30"/>
  <c r="G6" i="30"/>
  <c r="D8" i="30"/>
  <c r="C8" i="30"/>
  <c r="A147" i="28"/>
  <c r="A80" i="28"/>
  <c r="B10" i="1"/>
  <c r="B14" i="1"/>
  <c r="A125" i="53"/>
  <c r="A121" i="53"/>
  <c r="A116" i="53"/>
  <c r="A112" i="53"/>
  <c r="B38" i="1"/>
  <c r="B46" i="1"/>
  <c r="B45" i="1"/>
  <c r="B41" i="1"/>
  <c r="B36" i="1"/>
  <c r="B34" i="1"/>
  <c r="B33" i="1"/>
  <c r="B29" i="1"/>
  <c r="B28" i="1"/>
  <c r="B26" i="1"/>
  <c r="B16" i="1"/>
  <c r="B15" i="1"/>
  <c r="B11" i="1"/>
  <c r="B55" i="1"/>
  <c r="B23" i="1"/>
  <c r="I14" i="15"/>
  <c r="H14" i="15"/>
  <c r="I10" i="15"/>
  <c r="H10" i="15"/>
  <c r="B25" i="1"/>
  <c r="H17" i="15"/>
  <c r="R9" i="15"/>
  <c r="S9" i="15"/>
  <c r="T9" i="15"/>
  <c r="Q9" i="15"/>
  <c r="N9" i="15"/>
  <c r="O9" i="15"/>
  <c r="P9" i="15"/>
  <c r="M9" i="15"/>
  <c r="D9" i="15"/>
  <c r="E9" i="15"/>
  <c r="F9" i="15"/>
  <c r="G9" i="15"/>
  <c r="I9" i="15"/>
  <c r="H9" i="15"/>
  <c r="C9" i="15"/>
  <c r="N10" i="15"/>
  <c r="C14" i="15"/>
  <c r="R13" i="15"/>
  <c r="R14" i="15"/>
  <c r="N14" i="15"/>
  <c r="O14" i="15"/>
  <c r="P14" i="15"/>
  <c r="Q14" i="15"/>
  <c r="S14" i="15"/>
  <c r="T14" i="15"/>
  <c r="M14" i="15"/>
  <c r="T10" i="15"/>
  <c r="S10" i="15"/>
  <c r="R10" i="15"/>
  <c r="Q10" i="15"/>
  <c r="Q17" i="15"/>
  <c r="P10" i="15"/>
  <c r="P17" i="15"/>
  <c r="O10" i="15"/>
  <c r="O17" i="15"/>
  <c r="N17" i="15"/>
  <c r="M10" i="15"/>
  <c r="M17" i="15"/>
  <c r="D14" i="15"/>
  <c r="E14" i="15"/>
  <c r="F14" i="15"/>
  <c r="H18" i="15"/>
  <c r="G14" i="15"/>
  <c r="S17" i="15"/>
  <c r="T18" i="15"/>
  <c r="R17" i="15"/>
  <c r="P18" i="15"/>
  <c r="M21" i="15"/>
  <c r="T17" i="15"/>
  <c r="M18" i="15"/>
  <c r="Q18" i="15"/>
  <c r="N18" i="15"/>
  <c r="S18" i="15"/>
  <c r="O18" i="15"/>
  <c r="R18" i="15"/>
  <c r="N21" i="15"/>
  <c r="M22" i="15"/>
  <c r="N22" i="15"/>
  <c r="E10" i="15"/>
  <c r="G10" i="15"/>
  <c r="C10" i="15"/>
  <c r="C17" i="15"/>
  <c r="F10" i="15"/>
  <c r="D10" i="15"/>
  <c r="C18" i="15"/>
  <c r="G17" i="15"/>
  <c r="G18" i="15"/>
  <c r="D17" i="15"/>
  <c r="D18" i="15"/>
  <c r="E18" i="15"/>
  <c r="E17" i="15"/>
  <c r="F17" i="15"/>
  <c r="F18" i="15"/>
  <c r="I17" i="15"/>
  <c r="I18" i="15"/>
  <c r="C21" i="15"/>
  <c r="C22" i="15"/>
  <c r="B60" i="1" l="1"/>
  <c r="B18" i="1"/>
  <c r="B57" i="1"/>
  <c r="A46" i="22"/>
  <c r="B19" i="1"/>
  <c r="B20" i="1"/>
  <c r="A46" i="25"/>
  <c r="B22" i="1"/>
  <c r="A41" i="54" s="1"/>
  <c r="B61" i="1"/>
  <c r="B62" i="1"/>
  <c r="B59" i="1"/>
  <c r="B70" i="1"/>
  <c r="B68" i="1"/>
  <c r="B67" i="1"/>
  <c r="B65" i="1"/>
  <c r="B64" i="1"/>
  <c r="B63" i="1"/>
  <c r="B58" i="1"/>
  <c r="A48" i="23"/>
  <c r="A46" i="19"/>
  <c r="A46" i="26"/>
  <c r="B17" i="1"/>
  <c r="B13" i="1"/>
  <c r="A46" i="18"/>
  <c r="A46" i="61"/>
  <c r="B21" i="1"/>
  <c r="B9" i="1"/>
  <c r="B69" i="1"/>
  <c r="A46" i="24"/>
  <c r="A46" i="21"/>
  <c r="A47" i="17"/>
  <c r="B66" i="1"/>
</calcChain>
</file>

<file path=xl/sharedStrings.xml><?xml version="1.0" encoding="utf-8"?>
<sst xmlns="http://schemas.openxmlformats.org/spreadsheetml/2006/main" count="22835" uniqueCount="2162">
  <si>
    <t>Closed LLFCs</t>
  </si>
  <si>
    <t>Geographical name</t>
  </si>
  <si>
    <t>Notes:</t>
  </si>
  <si>
    <t xml:space="preserve">Unit time periods are as specified in the SSC. </t>
  </si>
  <si>
    <t>Metered voltage, respective periods and associated LLFCs</t>
  </si>
  <si>
    <t>Period 1</t>
  </si>
  <si>
    <t>Period 2</t>
  </si>
  <si>
    <t>Period 3</t>
  </si>
  <si>
    <t>Period 4</t>
  </si>
  <si>
    <t>Associated LLFC</t>
  </si>
  <si>
    <t>Site</t>
  </si>
  <si>
    <t>Demand</t>
  </si>
  <si>
    <t>Generation</t>
  </si>
  <si>
    <t>Time periods</t>
  </si>
  <si>
    <t>Notes</t>
  </si>
  <si>
    <t>All the above times are in UK Clock time</t>
  </si>
  <si>
    <t>List of data tables in this workbook</t>
  </si>
  <si>
    <t>Worksheet</t>
  </si>
  <si>
    <t>Information</t>
  </si>
  <si>
    <t>Back to Overview</t>
  </si>
  <si>
    <t xml:space="preserve">Annex 3 contains details of any preserved and additional charges that are valid at this time. </t>
  </si>
  <si>
    <t>Status</t>
  </si>
  <si>
    <t>Effective From</t>
  </si>
  <si>
    <t>Open LLFCs</t>
  </si>
  <si>
    <t>PCs</t>
  </si>
  <si>
    <t>Fixed charge p/MPAN/day</t>
  </si>
  <si>
    <t>Capacity charge p/kVA/day</t>
  </si>
  <si>
    <t>Notes to users of this spreadsheet</t>
  </si>
  <si>
    <t>Annex 5 LLFs</t>
  </si>
  <si>
    <t>Name</t>
  </si>
  <si>
    <t>Note: The list of MPANs / MSIDs provided may be incomplete; the DNO reserves the right to apply the listed charges to any other MPANs / MSIDs associated with the site.</t>
  </si>
  <si>
    <t>Unique billing identifier</t>
  </si>
  <si>
    <t>Standard Settlement Configuration Id</t>
  </si>
  <si>
    <t>Standard Settlement Configuration Desc</t>
  </si>
  <si>
    <t>Common Decode</t>
  </si>
  <si>
    <t>10-hour OP</t>
  </si>
  <si>
    <t>O</t>
  </si>
  <si>
    <t>10-hour OP + w/e</t>
  </si>
  <si>
    <t>10.5-hour OP</t>
  </si>
  <si>
    <t>11 Hour OP</t>
  </si>
  <si>
    <t>11.5-hour OP</t>
  </si>
  <si>
    <t>11-hour OP</t>
  </si>
  <si>
    <t>8.5-hour OP</t>
  </si>
  <si>
    <t>9-hour OP</t>
  </si>
  <si>
    <t>11-hour OP + Summer</t>
  </si>
  <si>
    <t>11-hour OP + w/e</t>
  </si>
  <si>
    <t>11-hour OP + w/e &amp; Summer</t>
  </si>
  <si>
    <t>11-hour OP + weekends</t>
  </si>
  <si>
    <t>12-hour  OP + w/e &amp; Summer</t>
  </si>
  <si>
    <t>12-hour night</t>
  </si>
  <si>
    <t>12-hour OP</t>
  </si>
  <si>
    <t>8-hour OP (see also SSC 427)</t>
  </si>
  <si>
    <t>12-hour OP + Summer</t>
  </si>
  <si>
    <t>12.5-hour OP</t>
  </si>
  <si>
    <t>12.5-hour OP + Summer</t>
  </si>
  <si>
    <t>12.5-hour OP + w/e</t>
  </si>
  <si>
    <t>12.5-hour OP + w/e &amp; Summer</t>
  </si>
  <si>
    <t>14-hour E7</t>
  </si>
  <si>
    <t>14-hour Off Peak</t>
  </si>
  <si>
    <t>14-hour OP + Sun</t>
  </si>
  <si>
    <t>14.5-hour OP</t>
  </si>
  <si>
    <t>14.5-hour OP + Summer</t>
  </si>
  <si>
    <t>split 7-hour E7</t>
  </si>
  <si>
    <t>14.5-hour OP + w/e</t>
  </si>
  <si>
    <t>14.5-hour OP + w/e &amp; Summer</t>
  </si>
  <si>
    <t>15-hour OP</t>
  </si>
  <si>
    <t>15-hour OP + w/e &amp; Summer</t>
  </si>
  <si>
    <t>15.5-hour OP</t>
  </si>
  <si>
    <t>15.5-hour OP + Summer</t>
  </si>
  <si>
    <t>15.5-hour OP + w/e</t>
  </si>
  <si>
    <t>15.5-hour OP + w/e &amp; Summer</t>
  </si>
  <si>
    <t>2-rate terms</t>
  </si>
  <si>
    <t>2-rate SToD</t>
  </si>
  <si>
    <t>2-rate variable SToD</t>
  </si>
  <si>
    <t>7-hour E7</t>
  </si>
  <si>
    <t>3-rate SToD</t>
  </si>
  <si>
    <t>Dom/Non-dom Seasonal (link SSC 0342)</t>
  </si>
  <si>
    <t>3-rate variable</t>
  </si>
  <si>
    <t>4-rate SToD</t>
  </si>
  <si>
    <t>5-rate SToD</t>
  </si>
  <si>
    <t>6-rate SToD</t>
  </si>
  <si>
    <t>7-hour OP (see also SSC 0185)</t>
  </si>
  <si>
    <t>Smart 7, heating</t>
  </si>
  <si>
    <t>7-hour E7 (Cornwall &amp; def reinforcement)</t>
  </si>
  <si>
    <t>Supertariff heating</t>
  </si>
  <si>
    <t>7-hour E7 (differential switching)</t>
  </si>
  <si>
    <t>7-hour night</t>
  </si>
  <si>
    <t>Key Meter pseudo 2-rate</t>
  </si>
  <si>
    <t>Economy 7 Day &amp; Night</t>
  </si>
  <si>
    <t>7-hour OP</t>
  </si>
  <si>
    <t>7-hour variable E7 (Menter B)</t>
  </si>
  <si>
    <t>7-hour variable E7 (Menter A)</t>
  </si>
  <si>
    <t>8-hour E7</t>
  </si>
  <si>
    <t>8-hour night</t>
  </si>
  <si>
    <t>10-hour night</t>
  </si>
  <si>
    <t>8-hour OP</t>
  </si>
  <si>
    <t>8-hour OP + Summer</t>
  </si>
  <si>
    <t>8-hour OP + w/e</t>
  </si>
  <si>
    <t>8-hour OP + w/e &amp; Summer</t>
  </si>
  <si>
    <t>8-hour OP + weekends</t>
  </si>
  <si>
    <t>9-hour night</t>
  </si>
  <si>
    <t>9-hour night (differential switching)</t>
  </si>
  <si>
    <t>9-hour OP + w/e</t>
  </si>
  <si>
    <t>Boiler</t>
  </si>
  <si>
    <t>Budget Warmth</t>
  </si>
  <si>
    <t>Flexiheat Day/Evening/Weekend</t>
  </si>
  <si>
    <t>Flexiheat (weather) Day/Evening/Weekend</t>
  </si>
  <si>
    <t>Superdeal Day/Night</t>
  </si>
  <si>
    <t>Domestic heating tariff</t>
  </si>
  <si>
    <t>Superdeal (weather) Day/Night</t>
  </si>
  <si>
    <t>E10 type 1 (general purpose)</t>
  </si>
  <si>
    <t>7-hour OP (see also SSC 186)</t>
  </si>
  <si>
    <t>Domestic E9 A</t>
  </si>
  <si>
    <t>13-hour OP</t>
  </si>
  <si>
    <t>Evening/night</t>
  </si>
  <si>
    <t>Evening/Weekend</t>
  </si>
  <si>
    <t>12-hour Evening/Weekend</t>
  </si>
  <si>
    <t>Domestic E9 B</t>
  </si>
  <si>
    <t>Evening/Weekend E7</t>
  </si>
  <si>
    <t>3-rate heating, (link SSC 0343)</t>
  </si>
  <si>
    <t>Grain Drying</t>
  </si>
  <si>
    <t>Grain drying</t>
  </si>
  <si>
    <t>Heating</t>
  </si>
  <si>
    <t>Local Authority Heating</t>
  </si>
  <si>
    <t>Dom &amp; Non-dom Seasonal (link SSC 0128)</t>
  </si>
  <si>
    <t>3-rate heating, water heating</t>
  </si>
  <si>
    <t>7-hour E7, Day + Night (link SSC 0345)</t>
  </si>
  <si>
    <t>7-hour E7, Day + Night (link SSC 0344)</t>
  </si>
  <si>
    <t>Non-Standard OP (8+3 hour)</t>
  </si>
  <si>
    <t>Non-Standard OP</t>
  </si>
  <si>
    <t>Warmwise heating</t>
  </si>
  <si>
    <t>Flexiheat heating</t>
  </si>
  <si>
    <t>Flexiheat (weather) heating</t>
  </si>
  <si>
    <t>Superdeal heating</t>
  </si>
  <si>
    <t>Smart 7, Day/Night</t>
  </si>
  <si>
    <t>split 10-hour Heatwise</t>
  </si>
  <si>
    <t>Summer &amp; Winter w/e</t>
  </si>
  <si>
    <t>Summer Unrestricted</t>
  </si>
  <si>
    <t>Unrestricted</t>
  </si>
  <si>
    <t>Warmwise Day/Night</t>
  </si>
  <si>
    <t>9-hour heating</t>
  </si>
  <si>
    <t>12-hour OP + w/e</t>
  </si>
  <si>
    <t>15-hour OP + w/e</t>
  </si>
  <si>
    <t>E10 type 1(heating circuit)</t>
  </si>
  <si>
    <t>Redring Boiler (general purpose)</t>
  </si>
  <si>
    <t>Redring Boiler (heating circuit)</t>
  </si>
  <si>
    <t>Cyclocontrol 3</t>
  </si>
  <si>
    <t>Cyclocontrol 4</t>
  </si>
  <si>
    <t>Cyclocontrol 5</t>
  </si>
  <si>
    <t>Cyclocontrol 6</t>
  </si>
  <si>
    <t>Cyclocontrol 7</t>
  </si>
  <si>
    <t>Cyclocontrol 8</t>
  </si>
  <si>
    <t>Cyclocontrol 9</t>
  </si>
  <si>
    <t>Cyclocontrol 10</t>
  </si>
  <si>
    <t>Cyclocontrol 11</t>
  </si>
  <si>
    <t>Cyclocontrol 12</t>
  </si>
  <si>
    <t>Cyclocontrol 13</t>
  </si>
  <si>
    <t>Cyclocontrol 14</t>
  </si>
  <si>
    <t>Cyclocontrol 15</t>
  </si>
  <si>
    <t>Cyclocontrol 16</t>
  </si>
  <si>
    <t>Cyclocontrol 17</t>
  </si>
  <si>
    <t>Cyclocontrol 18</t>
  </si>
  <si>
    <t>Cyclocontrol 19</t>
  </si>
  <si>
    <t>Cyclocontrol 20</t>
  </si>
  <si>
    <t>Cyclocontrol 21</t>
  </si>
  <si>
    <t>Superdeal (weather) heating</t>
  </si>
  <si>
    <t>Day/Night (White meter)</t>
  </si>
  <si>
    <t>Unmetered Type A ("flat" profile)</t>
  </si>
  <si>
    <t>U</t>
  </si>
  <si>
    <t>Unmetered B ("dusk-to-dawn")</t>
  </si>
  <si>
    <t>Unmetered C ("half-night &amp; pre-dawn")</t>
  </si>
  <si>
    <t>Unmetered D ("dawn-to-dusk")</t>
  </si>
  <si>
    <t>12 Hour OP</t>
  </si>
  <si>
    <t>Domestic 3-rate heating</t>
  </si>
  <si>
    <t>3-Rate Seasonal</t>
  </si>
  <si>
    <t>Lifestyle Tariff</t>
  </si>
  <si>
    <t>Split 7-hour E7</t>
  </si>
  <si>
    <t>3-rate ToW</t>
  </si>
  <si>
    <t>7-hour variable E7</t>
  </si>
  <si>
    <t>12 Hours OP</t>
  </si>
  <si>
    <t>8 Hours OP</t>
  </si>
  <si>
    <t>10.5 Hours OP</t>
  </si>
  <si>
    <t>Weekender Tariff (V1)</t>
  </si>
  <si>
    <t>Weekender Tariff (V2)</t>
  </si>
  <si>
    <t>Maximum Demand Register</t>
  </si>
  <si>
    <t>Economy 7 - all purpose tariff G63</t>
  </si>
  <si>
    <t>split 7hr o/p</t>
  </si>
  <si>
    <t>Split 7hr E7</t>
  </si>
  <si>
    <t>14.5 hr o/p</t>
  </si>
  <si>
    <t>Micro-PV Export Import Profile Class 1</t>
  </si>
  <si>
    <t>G</t>
  </si>
  <si>
    <t>Micro-PV Export Import Profile Class 2</t>
  </si>
  <si>
    <t>Micro-PV Export Import Profile Class 3</t>
  </si>
  <si>
    <t>Micro-PV Export Import Profile Class 4</t>
  </si>
  <si>
    <t>Micro-PV Export Import Profile Class 5</t>
  </si>
  <si>
    <t>Micro-PV Export Import Profile Class 6</t>
  </si>
  <si>
    <t>Micro-PV Export Import Profile Class 7</t>
  </si>
  <si>
    <t>Micro-PV Export Import Profile Class 8</t>
  </si>
  <si>
    <t>Micro-CHP Export Import Profile Class 1</t>
  </si>
  <si>
    <t>Micro-CHP Export Import Profile Class 2</t>
  </si>
  <si>
    <t>Micro-CHP Export Import Profile Class 3</t>
  </si>
  <si>
    <t>Micro-CHP Export Import Profile Class 4</t>
  </si>
  <si>
    <t>Micro-CHP Export Import Profile Class 5</t>
  </si>
  <si>
    <t>Micro-CHP Export Import Profile Class 6</t>
  </si>
  <si>
    <t>Micro-CHP Export Import Profile Class 7</t>
  </si>
  <si>
    <t>Micro-CHP Export Import Profile Class 8</t>
  </si>
  <si>
    <t>Other Sml Export SSC any import Profile</t>
  </si>
  <si>
    <t>8.5-hour OP + w/e</t>
  </si>
  <si>
    <t>16-hour OP + w/e</t>
  </si>
  <si>
    <t>20-hour OP + w/e</t>
  </si>
  <si>
    <t>20-hour OP + w/e + summer</t>
  </si>
  <si>
    <t>8.5 hour WM</t>
  </si>
  <si>
    <t>8.5 hour WM Heating</t>
  </si>
  <si>
    <t>Weathercall heating</t>
  </si>
  <si>
    <t>18-hour dynamic</t>
  </si>
  <si>
    <t>Crop&amp;Air Conditioning</t>
  </si>
  <si>
    <t>E7 accompanying Birmingam W'call</t>
  </si>
  <si>
    <t>Birmingham Weathercall</t>
  </si>
  <si>
    <t>E7 accompanying Manchester W'call</t>
  </si>
  <si>
    <t>Manchester Weathercall</t>
  </si>
  <si>
    <t>E7 accompanying Anglesey W'call</t>
  </si>
  <si>
    <t>Anglesey Weathercall</t>
  </si>
  <si>
    <t>Two rate with 8 hours night</t>
  </si>
  <si>
    <t>Dynamic</t>
  </si>
  <si>
    <t>11 Hours OP</t>
  </si>
  <si>
    <t>8 Hours OP + Weekends</t>
  </si>
  <si>
    <t>15 Hours OP + Weekends</t>
  </si>
  <si>
    <t>15 Hours Nov - April/24 Hours May - Oct</t>
  </si>
  <si>
    <t>2 rate</t>
  </si>
  <si>
    <t>Unmetered Type A ("flat " profile)</t>
  </si>
  <si>
    <t>Seasonal ToD</t>
  </si>
  <si>
    <t>Split 10 hr E10</t>
  </si>
  <si>
    <t>NHH Export Hydro Profile Class</t>
  </si>
  <si>
    <t>NHH Export Wind Profile Class</t>
  </si>
  <si>
    <t>Smart Meter 3 Rate Time of Day</t>
  </si>
  <si>
    <t>10 hour Evening/Weekend</t>
  </si>
  <si>
    <t>Two rate with 20 hours night</t>
  </si>
  <si>
    <t>Three Rate Peak Day Other</t>
  </si>
  <si>
    <t>4 rate weekday/2 rate weekend</t>
  </si>
  <si>
    <t>4 Rate Weekday/2 rate Weekend (BST)</t>
  </si>
  <si>
    <t>Unrestricted with  Weekday Peak</t>
  </si>
  <si>
    <t>Unrestricted with Peak</t>
  </si>
  <si>
    <t>Economy 7 with Weekday Peak</t>
  </si>
  <si>
    <t>Economy 7 with Peak</t>
  </si>
  <si>
    <t>Evening Weekend and Weekday Peak (smart)</t>
  </si>
  <si>
    <t>Evening Weekend with Peak</t>
  </si>
  <si>
    <t>Evening Weekend Night and Peak</t>
  </si>
  <si>
    <t>Evening Weekend with Night (BST)</t>
  </si>
  <si>
    <t>3 Rate with Weekday Peak</t>
  </si>
  <si>
    <t>Smart meter trial - time of use 3 rate</t>
  </si>
  <si>
    <t>General Purpose 2 Rate (paired with 0980</t>
  </si>
  <si>
    <t>E10 Heating Single Rate (prd with 0981)</t>
  </si>
  <si>
    <t>Evening/Weekend - BST</t>
  </si>
  <si>
    <t>Change implemented</t>
  </si>
  <si>
    <t>Date</t>
  </si>
  <si>
    <t>Comments</t>
  </si>
  <si>
    <t>SSC TPR to unit rate lookup table</t>
  </si>
  <si>
    <t>The time periods for the non half hourly metered charge rates in Annex 1 are as specified by the SSC. To determine the appropriate charge rate for each SSC/TPR a lookup table is provided.</t>
  </si>
  <si>
    <t>Nodal prices</t>
  </si>
  <si>
    <t>Reactive power charge
p/kVArh</t>
  </si>
  <si>
    <t>NHH preserved charges/additional LLFCs</t>
  </si>
  <si>
    <t>HH preserved charges/additional LLFCs</t>
  </si>
  <si>
    <t>Local charge 1
£/kVA</t>
  </si>
  <si>
    <t>Remote charge 1
£/kVA</t>
  </si>
  <si>
    <t>O or Unsupported (SWEB)</t>
  </si>
  <si>
    <t>1 or Unsupported (SWAE and SWEB)</t>
  </si>
  <si>
    <t>2 or Unsupported (SWAE and SWEB)</t>
  </si>
  <si>
    <t>2 Rate Saturday Off Peak</t>
  </si>
  <si>
    <t>Import MPANs/MSIDs</t>
  </si>
  <si>
    <t>Export MPANs/MSIDs</t>
  </si>
  <si>
    <t>Annex 1 LV and HV charges</t>
  </si>
  <si>
    <t>Annex 2 EHV charges</t>
  </si>
  <si>
    <t>Annex 3 Preserved charges</t>
  </si>
  <si>
    <t>Annex 4 LDNO charges</t>
  </si>
  <si>
    <t xml:space="preserve">DNOs must endeavour to maintain consistency in the structure of this spreadsheet.
Any changes to the structure must be noted in the 'Notes to users of this spreadsheet'
</t>
  </si>
  <si>
    <t>Generic demand and generation LLFs</t>
  </si>
  <si>
    <t>Metered voltage</t>
  </si>
  <si>
    <t>EHV site specific LLFs</t>
  </si>
  <si>
    <t>Node/Zone ID</t>
  </si>
  <si>
    <t>Import
fixed charge
(p/day)</t>
  </si>
  <si>
    <t>Export
fixed charge
(p/day)</t>
  </si>
  <si>
    <t>Red Time Band</t>
  </si>
  <si>
    <t>Amber Time Band</t>
  </si>
  <si>
    <t>Green Time Band</t>
  </si>
  <si>
    <t>Monday to Friday 
(Including Bank Holidays)
June to August Inclusive</t>
  </si>
  <si>
    <t>Monday to Friday 
(Including Bank Holidays)
November to February Inclusive</t>
  </si>
  <si>
    <t>Super Red Time Band</t>
  </si>
  <si>
    <t>Black Time Band</t>
  </si>
  <si>
    <t>Yellow Time Band</t>
  </si>
  <si>
    <t>Time Bands for Half Hourly Unmetered Properties</t>
  </si>
  <si>
    <t>Time Bands for Half Hourly Metered Properties</t>
  </si>
  <si>
    <t>General Purpose 2 Rate (paired wth 0950)</t>
  </si>
  <si>
    <t>E10 Heating Single Rate (prd wth 0949)</t>
  </si>
  <si>
    <t>E9 Heating</t>
  </si>
  <si>
    <t>General Purpose 2 Rate (paired wth 0951)</t>
  </si>
  <si>
    <t>Saturday Off Peak (9-5)</t>
  </si>
  <si>
    <t>Sunday Off Peak (9-5)</t>
  </si>
  <si>
    <t>Evening Saver</t>
  </si>
  <si>
    <t>Comfort Booster</t>
  </si>
  <si>
    <t xml:space="preserve">Please use this spreadsheet with reference to the LC14 use of system charging statement. </t>
  </si>
  <si>
    <t>LV and HV tariff calculator</t>
  </si>
  <si>
    <t>Maximum import or export capacity
kVA</t>
  </si>
  <si>
    <t>Excess reactive units 
kVArh</t>
  </si>
  <si>
    <t>Tariff components</t>
  </si>
  <si>
    <t>Number of days in consumption period
i.e. 365 if one year</t>
  </si>
  <si>
    <t>Enter current consumption details</t>
  </si>
  <si>
    <t>Charge components</t>
  </si>
  <si>
    <t>Enter forecast consumption details 
(if different)</t>
  </si>
  <si>
    <t>Current consumption period charges</t>
  </si>
  <si>
    <t>Forecast consumption period charges</t>
  </si>
  <si>
    <t>Reactive power charge
£</t>
  </si>
  <si>
    <t>Capacity charge
£</t>
  </si>
  <si>
    <t>Fixed charge
£</t>
  </si>
  <si>
    <t>Total charge
£</t>
  </si>
  <si>
    <t>Charge calculator is a tool to help you estimate your distribution charges using current consumption data and forecast consumption data.</t>
  </si>
  <si>
    <t>Charge calculator</t>
  </si>
  <si>
    <t>EHV site calculator</t>
  </si>
  <si>
    <t>Unit 1
kWh
(red/black/day)</t>
  </si>
  <si>
    <t>Unit 2
kWh
(amber/yellow
/night)</t>
  </si>
  <si>
    <t>Unit 3
kWh
(green)</t>
  </si>
  <si>
    <t>Unit 1
£</t>
  </si>
  <si>
    <t>Unit 2
£</t>
  </si>
  <si>
    <t>Unit 3
£</t>
  </si>
  <si>
    <t>Maximum import capacity
kVA</t>
  </si>
  <si>
    <t>Maximum export capacity
kVA</t>
  </si>
  <si>
    <t>Export
Super Red
kWh</t>
  </si>
  <si>
    <t>Import
fixed charge
£</t>
  </si>
  <si>
    <t>Import
super red
kWh</t>
  </si>
  <si>
    <t>Import 
super red charge
£</t>
  </si>
  <si>
    <t>Export super red charge
£</t>
  </si>
  <si>
    <t>Export fixed charge
£</t>
  </si>
  <si>
    <t>Import
capacity charge
£</t>
  </si>
  <si>
    <t>Export capacity charge
£</t>
  </si>
  <si>
    <t>Import total charge
£</t>
  </si>
  <si>
    <t>Export total charge
£</t>
  </si>
  <si>
    <t>These charges are estimates based on tariff selected and consumption values entered.</t>
  </si>
  <si>
    <t>These charges are estimates based on site selected and consumption values entered.</t>
  </si>
  <si>
    <t>Step 1, Choose your tariff using the drop down list in cell B10</t>
  </si>
  <si>
    <t>Step 3, Enter a forecast of consumption if required in cells C14:I14</t>
  </si>
  <si>
    <t>Step 1, Choose your tariff using the drop down list in cell L10</t>
  </si>
  <si>
    <t>Step 3, Enter a forecast of consumption if required in cells M14:T14</t>
  </si>
  <si>
    <r>
      <rPr>
        <sz val="12"/>
        <rFont val="Arial"/>
        <family val="2"/>
      </rPr>
      <t>Tariff details</t>
    </r>
    <r>
      <rPr>
        <sz val="10"/>
        <rFont val="Arial"/>
        <family val="2"/>
      </rPr>
      <t xml:space="preserve">
Choose tariff name from drop down box below</t>
    </r>
  </si>
  <si>
    <r>
      <rPr>
        <sz val="12"/>
        <rFont val="Arial"/>
        <family val="2"/>
      </rPr>
      <t>Site details</t>
    </r>
    <r>
      <rPr>
        <sz val="10"/>
        <rFont val="Arial"/>
        <family val="2"/>
      </rPr>
      <t xml:space="preserve">
Choose the site name from the drop down box below</t>
    </r>
  </si>
  <si>
    <t xml:space="preserve">Step 2, After selecting a tariff in step 1, Cells C12-I12 will generate headings, please enter your consumption in cells C13:I13 underneath each heading generated (if no heading leave cell blank)
</t>
  </si>
  <si>
    <t xml:space="preserve">Step 2, After selecting a tariff in step 1, Cells M12-T12 will generate headings, please enter your consumption in cells M13:T13 underneath each heading generated (if no heading leave cell blank)
</t>
  </si>
  <si>
    <t>Saturday Off Peak (24 Hrs)</t>
  </si>
  <si>
    <t>Sunday Off Peak (24 Hrs)</t>
  </si>
  <si>
    <r>
      <t>Contains the underlying [</t>
    </r>
    <r>
      <rPr>
        <sz val="11"/>
        <color theme="3"/>
        <rFont val="Arial"/>
        <family val="2"/>
      </rPr>
      <t>nodal/network group</t>
    </r>
    <r>
      <rPr>
        <sz val="11"/>
        <rFont val="Arial"/>
        <family val="2"/>
      </rPr>
      <t xml:space="preserve">] costs used to calculate the current EDCM charges. </t>
    </r>
  </si>
  <si>
    <t>Import
capacity charge
(p/kVA/day)</t>
  </si>
  <si>
    <t>Export
capacity charge
(p/kVA/day)</t>
  </si>
  <si>
    <t>Import
Super Red
unit charge
(p/kWh)</t>
  </si>
  <si>
    <t>Export
Super Red
unit charge
(p/kWh)</t>
  </si>
  <si>
    <t>Red/black charge (HH)
p/kWh</t>
  </si>
  <si>
    <t>Amber/yellow charge (HH)
p/kWh</t>
  </si>
  <si>
    <t>Green charge (HH)
p/kWh</t>
  </si>
  <si>
    <t>Final</t>
  </si>
  <si>
    <t>Company and Licence name, charging year, effective from, status</t>
  </si>
  <si>
    <t>Company and Licence name</t>
  </si>
  <si>
    <t>Year</t>
  </si>
  <si>
    <t>Tariff name</t>
  </si>
  <si>
    <t>Exceeded capacity charge
p/kVA/day</t>
  </si>
  <si>
    <t>Import
exceeded capacity charge
(p/kVA/day)</t>
  </si>
  <si>
    <t>Export
exceeded capacity charge
(p/kVA/day)</t>
  </si>
  <si>
    <t>Average daily exceeded capacity
kVA</t>
  </si>
  <si>
    <t>Exceeded capacity charge
£</t>
  </si>
  <si>
    <t>Import exceeded capacity charge
£</t>
  </si>
  <si>
    <t>Export exceeded capacity charge
£</t>
  </si>
  <si>
    <t>Note: Where a tariff only has a p/kWh unit rate in Unit Charge 1 then this unit rate applies at all times.</t>
  </si>
  <si>
    <t>Annex 5 has been intentionally left blank as this charging statement is published a complete year before the LLFs have been audited.
The line loss factors that are approved by the BSC Panel for the applicable year and consequently published on the Elexon website will take precedence and be used in Settlement. This annex will be re-published with these values once they are available.</t>
  </si>
  <si>
    <t xml:space="preserve">Charge Calculator - This worksheet is not functional due to the multiple distribution service areas included in this workbook. </t>
  </si>
  <si>
    <t>16:00 - 19:00</t>
  </si>
  <si>
    <t>All times are in UK Clock time</t>
  </si>
  <si>
    <t>16:00 to 19:00</t>
  </si>
  <si>
    <t>Monday to Friday Nov to Feb</t>
  </si>
  <si>
    <t>11:00 - 14:00</t>
  </si>
  <si>
    <t>Time Periods for EHV Properties</t>
  </si>
  <si>
    <t>Import LLFC</t>
  </si>
  <si>
    <t>Export LLFC</t>
  </si>
  <si>
    <t>16:30 - 19:30</t>
  </si>
  <si>
    <t>Monday to Friday Nov to Feb 
(excluding 22nd Dec to 4th Jan inclusive)</t>
  </si>
  <si>
    <t>17:00 - 19:30</t>
  </si>
  <si>
    <t>17:00 - 19:00</t>
  </si>
  <si>
    <t>Period 5</t>
  </si>
  <si>
    <t>Generic Demand and Generation LLFs</t>
  </si>
  <si>
    <t>Metered Voltage</t>
  </si>
  <si>
    <t xml:space="preserve"> </t>
  </si>
  <si>
    <t>Import LLF period 1</t>
  </si>
  <si>
    <t>Import LLF period 2</t>
  </si>
  <si>
    <t>Import LLF period 3</t>
  </si>
  <si>
    <t>Import LLF period 4</t>
  </si>
  <si>
    <t>Import LLF period 5</t>
  </si>
  <si>
    <t>Export LLF period 1</t>
  </si>
  <si>
    <t>Export LLF period 2</t>
  </si>
  <si>
    <t>Export LLF period 3</t>
  </si>
  <si>
    <t>Export LLF period 4</t>
  </si>
  <si>
    <t>Export LLF period 5</t>
  </si>
  <si>
    <t>Annex 1 contains the charges to LV and HV Properties.</t>
  </si>
  <si>
    <t>Annex 6 - Charges for New or Amended EHV Properties</t>
  </si>
  <si>
    <t>16:00 - 19:30</t>
  </si>
  <si>
    <t>Annex 6  Charges for New or Amended EHV Properties</t>
  </si>
  <si>
    <t>Effective from date</t>
  </si>
  <si>
    <t>Notes to DNOs populating this spreadsheet</t>
  </si>
  <si>
    <t>Leep Electricity Networks Limited</t>
  </si>
  <si>
    <t>Annex 1 LV and HV charges_A</t>
  </si>
  <si>
    <t>Annex 1 LV and HV charges_B</t>
  </si>
  <si>
    <t>Annex 1 LV and HV charges_C</t>
  </si>
  <si>
    <t>Annex 1 LV and HV charges_D</t>
  </si>
  <si>
    <t>Annex 1 LV and HV charges_E</t>
  </si>
  <si>
    <t>Annex 1 LV and HV charges_F</t>
  </si>
  <si>
    <t>Annex 1 LV and HV charges_G</t>
  </si>
  <si>
    <t>Annex 1 LV and HV charges_H</t>
  </si>
  <si>
    <t>Annex 1 LV and HV charges_J</t>
  </si>
  <si>
    <t>Annex 1 LV and HV charges_K</t>
  </si>
  <si>
    <t>Annex 1 LV and HV charges_L</t>
  </si>
  <si>
    <t>Annex 1 LV and HV charges_M</t>
  </si>
  <si>
    <t>Annex 1 LV and HV charges_N</t>
  </si>
  <si>
    <t>Annex 1 LV and HV charges_P</t>
  </si>
  <si>
    <t>Annex 4 LDNO charges_A</t>
  </si>
  <si>
    <t>Annex 4 LDNO charges_B</t>
  </si>
  <si>
    <t>Annex 4 LDNO charges_C</t>
  </si>
  <si>
    <t>Annex 4 LDNO charges_D</t>
  </si>
  <si>
    <t>Annex 4 LDNO charges_E</t>
  </si>
  <si>
    <t>Annex 4 LDNO charges_F</t>
  </si>
  <si>
    <t>Annex 4 LDNO charges_G</t>
  </si>
  <si>
    <t>Annex 4 LDNO charges_H</t>
  </si>
  <si>
    <t>Annex 4 LDNO charges_J</t>
  </si>
  <si>
    <t>Annex 4 LDNO charges_K</t>
  </si>
  <si>
    <t>Annex 4 LDNO charges_L</t>
  </si>
  <si>
    <t>Annex 4 LDNO charges_M</t>
  </si>
  <si>
    <t>Annex 4 LDNO charges_N</t>
  </si>
  <si>
    <t>Annex 4 LDNO charges_P</t>
  </si>
  <si>
    <t>Annex 5 LLFs_A</t>
  </si>
  <si>
    <t>Annex 5 LLFs_B</t>
  </si>
  <si>
    <t>Annex 5 LLFs_C</t>
  </si>
  <si>
    <t>Annex 5 LLFs_D</t>
  </si>
  <si>
    <t>Annex 5 LLFs_E</t>
  </si>
  <si>
    <t>Annex 5 LLFs_F</t>
  </si>
  <si>
    <t>Annex 5 LLFs_G</t>
  </si>
  <si>
    <t>Annex 5 LLFs_H</t>
  </si>
  <si>
    <t>Annex 5 LLFs_J</t>
  </si>
  <si>
    <t>Annex 5 LLFs_K</t>
  </si>
  <si>
    <t>Annex 5 LLFs_L</t>
  </si>
  <si>
    <t>Annex 5 LLFs_M</t>
  </si>
  <si>
    <t>Annex 5 LLFs_N</t>
  </si>
  <si>
    <t>Annex 5 LLFs_P</t>
  </si>
  <si>
    <t>EHV 132kV Import</t>
  </si>
  <si>
    <t>EHV 132kV Export</t>
  </si>
  <si>
    <t>EHV 33kV Import</t>
  </si>
  <si>
    <t>EHV 33kV Export</t>
  </si>
  <si>
    <t>HV Sub</t>
  </si>
  <si>
    <t>HV Net</t>
  </si>
  <si>
    <t>LV Sub</t>
  </si>
  <si>
    <t>LV Net</t>
  </si>
  <si>
    <t>EHV 132 kV</t>
  </si>
  <si>
    <t>EHV 132 kV to 33 kV</t>
  </si>
  <si>
    <t>EHV 33 kV</t>
  </si>
  <si>
    <t>Low-voltage network</t>
  </si>
  <si>
    <t>Low-voltage substation</t>
  </si>
  <si>
    <t>High-voltage network</t>
  </si>
  <si>
    <t>High-voltage substation</t>
  </si>
  <si>
    <t>33kV generic</t>
  </si>
  <si>
    <t>132/33kV generic</t>
  </si>
  <si>
    <t>132kV generic</t>
  </si>
  <si>
    <t>Low Voltage Network</t>
  </si>
  <si>
    <t>Low Voltage Substation</t>
  </si>
  <si>
    <t>High Voltage Network</t>
  </si>
  <si>
    <t>High Voltage Substation</t>
  </si>
  <si>
    <t>Greater than 22kV connected - generation</t>
  </si>
  <si>
    <t>Greater than 22kV connected - demand</t>
  </si>
  <si>
    <t>132kV connected</t>
  </si>
  <si>
    <t>132/EHV connected</t>
  </si>
  <si>
    <t>132/HV connected</t>
  </si>
  <si>
    <t>EHV connected</t>
  </si>
  <si>
    <t>33kV Generic</t>
  </si>
  <si>
    <t>132kV Generic</t>
  </si>
  <si>
    <t>This table has intentionally been left blank. The line loss factors that are approved by the BSC Panel for the applicable year and consequently published on the Elexon website will take precedence and be used in Settlement. This annex will be re-published once these values are available.</t>
  </si>
  <si>
    <t>Non-Domestic Aggregated (related MPAN)</t>
  </si>
  <si>
    <t>Unmetered Supplies</t>
  </si>
  <si>
    <t>Red/black unit charge
p/kWh</t>
  </si>
  <si>
    <t>Amber/yellow unit charge
p/kWh</t>
  </si>
  <si>
    <t>Green unit charge
p/kWh</t>
  </si>
  <si>
    <t>LDNO LV: Non-Domestic Aggregated (related MPAN)</t>
  </si>
  <si>
    <t>LDNO LV: Unmetered Supplies</t>
  </si>
  <si>
    <t>LDNO HV: Non-Domestic Aggregated (related MPAN)</t>
  </si>
  <si>
    <t>LDNO HV: Unmetered Supplies</t>
  </si>
  <si>
    <t>LDNO HVplus: Non-Domestic Aggregated (related MPAN)</t>
  </si>
  <si>
    <t>LDNO HVplus: Unmetered Supplies</t>
  </si>
  <si>
    <t>LDNO EHV: Non-Domestic Aggregated (related MPAN)</t>
  </si>
  <si>
    <t>LDNO EHV: Unmetered Supplies</t>
  </si>
  <si>
    <t>LDNO 132kV/EHV: Non-Domestic Aggregated (related MPAN)</t>
  </si>
  <si>
    <t>LDNO 132kV/EHV: Unmetered Supplies</t>
  </si>
  <si>
    <t>LDNO 132kV: Non-Domestic Aggregated (related MPAN)</t>
  </si>
  <si>
    <t>LDNO 132kV: Unmetered Supplies</t>
  </si>
  <si>
    <t>LDNO 0000: Non-Domestic Aggregated (related MPAN)</t>
  </si>
  <si>
    <t>LDNO 0000: Unmetered Supplies</t>
  </si>
  <si>
    <t>Domestic Aggregated (Related MPAN)</t>
  </si>
  <si>
    <t>LV Site Specific No Residual</t>
  </si>
  <si>
    <t>LV Site Specific Band 1</t>
  </si>
  <si>
    <t>LV Site Specific Band 2</t>
  </si>
  <si>
    <t>LV Site Specific Band 3</t>
  </si>
  <si>
    <t>LV Site Specific Band 4</t>
  </si>
  <si>
    <t>LV Sub Site Specific No Residual</t>
  </si>
  <si>
    <t>LV Sub Site Specific Band 1</t>
  </si>
  <si>
    <t>LV Sub Site Specific Band 2</t>
  </si>
  <si>
    <t>LV Sub Site Specific Band 3</t>
  </si>
  <si>
    <t>LV Sub Site Specific Band 4</t>
  </si>
  <si>
    <t>HV Site Specific No Residual</t>
  </si>
  <si>
    <t>HV Site Specific Band 1</t>
  </si>
  <si>
    <t>HV Site Specific Band 2</t>
  </si>
  <si>
    <t>HV Site Specific Band 3</t>
  </si>
  <si>
    <t>HV Site Specific Band 4</t>
  </si>
  <si>
    <t>LDNO LV: LV Generation Aggregated</t>
  </si>
  <si>
    <t>LDNO LV: LV Generation Site Specific</t>
  </si>
  <si>
    <t>LDNO HV: LV Generation Aggregated</t>
  </si>
  <si>
    <t>LDNO HV: LV Sub Generation Aggregated</t>
  </si>
  <si>
    <t>LDNO HV: LV Generation Site Specific</t>
  </si>
  <si>
    <t>LDNO HV: LV Sub Generation Site Specific</t>
  </si>
  <si>
    <t>LDNO HV: HV Generation Site Specific</t>
  </si>
  <si>
    <t>LDNO HVplus: LV Generation Aggregated</t>
  </si>
  <si>
    <t>LDNO HVplus: LV Sub Generation Aggregated</t>
  </si>
  <si>
    <t>LDNO HVplus: LV Generation Site Specific</t>
  </si>
  <si>
    <t>LDNO HVplus: LV Sub Generation Site Specific</t>
  </si>
  <si>
    <t>LDNO HVplus: HV Generation Site Specific</t>
  </si>
  <si>
    <t>LDNO EHV: LV Generation Aggregated</t>
  </si>
  <si>
    <t>LDNO EHV: LV Sub Generation Aggregated</t>
  </si>
  <si>
    <t>LDNO EHV: LV Generation Site Specific</t>
  </si>
  <si>
    <t>LDNO EHV: LV Sub Generation Site Specific</t>
  </si>
  <si>
    <t>LDNO EHV: HV Generation Site Specific</t>
  </si>
  <si>
    <t>LDNO 132kV/EHV: LV Generation Aggregated</t>
  </si>
  <si>
    <t>LDNO 132kV/EHV: LV Sub Generation Aggregated</t>
  </si>
  <si>
    <t>LDNO 132kV/EHV: LV Generation Site Specific</t>
  </si>
  <si>
    <t>LDNO 132kV/EHV: LV Sub Generation Site Specific</t>
  </si>
  <si>
    <t>LDNO 132kV/EHV: HV Generation Site Specific</t>
  </si>
  <si>
    <t>LDNO 132kV: LV Generation Aggregated</t>
  </si>
  <si>
    <t>LDNO 132kV: LV Sub Generation Aggregated</t>
  </si>
  <si>
    <t>LDNO 132kV: LV Generation Site Specific</t>
  </si>
  <si>
    <t>LDNO 132kV: LV Sub Generation Site Specific</t>
  </si>
  <si>
    <t>LDNO 132kV: HV Generation Site Specific</t>
  </si>
  <si>
    <t>LDNO 0000: LV Generation Aggregated</t>
  </si>
  <si>
    <t>LDNO 0000: LV Sub Generation Aggregated</t>
  </si>
  <si>
    <t>LDNO 0000: LV Generation Site Specific</t>
  </si>
  <si>
    <t>LDNO 0000: LV Sub Generation Site Specific</t>
  </si>
  <si>
    <t>LDNO 0000: HV Generation Site Specific</t>
  </si>
  <si>
    <t>LDNO LV: Domestic Aggregated (Related MPAN)</t>
  </si>
  <si>
    <t>LDNO LV: LV Site Specific No Residual</t>
  </si>
  <si>
    <t>LDNO LV: LV Site Specific Band 1</t>
  </si>
  <si>
    <t>LDNO LV: LV Site Specific Band 2</t>
  </si>
  <si>
    <t>LDNO LV: LV Site Specific Band 3</t>
  </si>
  <si>
    <t>LDNO LV: LV Site Specific Band 4</t>
  </si>
  <si>
    <t>LDNO HV: Domestic Aggregated (Related MPAN)</t>
  </si>
  <si>
    <t>LDNO HV: LV Site Specific No Residual</t>
  </si>
  <si>
    <t>LDNO HV: LV Site Specific Band 1</t>
  </si>
  <si>
    <t>LDNO HV: LV Site Specific Band 2</t>
  </si>
  <si>
    <t>LDNO HV: LV Site Specific Band 3</t>
  </si>
  <si>
    <t>LDNO HV: LV Site Specific Band 4</t>
  </si>
  <si>
    <t>LDNO HV: LV Sub Site Specific No Residual</t>
  </si>
  <si>
    <t>LDNO HV: LV Sub Site Specific Band 1</t>
  </si>
  <si>
    <t>LDNO HV: LV Sub Site Specific Band 2</t>
  </si>
  <si>
    <t>LDNO HV: LV Sub Site Specific Band 3</t>
  </si>
  <si>
    <t>LDNO HV: LV Sub Site Specific Band 4</t>
  </si>
  <si>
    <t>LDNO HV: HV Site Specific No Residual</t>
  </si>
  <si>
    <t>LDNO HV: HV Site Specific Band 1</t>
  </si>
  <si>
    <t>LDNO HV: HV Site Specific Band 2</t>
  </si>
  <si>
    <t>LDNO HV: HV Site Specific Band 3</t>
  </si>
  <si>
    <t>LDNO HV: HV Site Specific Band 4</t>
  </si>
  <si>
    <t>LDNO HVplus: Domestic Aggregated (Related MPAN)</t>
  </si>
  <si>
    <t>LDNO HVplus: LV Site Specific No Residual</t>
  </si>
  <si>
    <t>LDNO HVplus: LV Site Specific Band 1</t>
  </si>
  <si>
    <t>LDNO HVplus: LV Site Specific Band 2</t>
  </si>
  <si>
    <t>LDNO HVplus: LV Site Specific Band 3</t>
  </si>
  <si>
    <t>LDNO HVplus: LV Site Specific Band 4</t>
  </si>
  <si>
    <t>LDNO HVplus: LV Sub Site Specific No Residual</t>
  </si>
  <si>
    <t>LDNO HVplus: LV Sub Site Specific Band 1</t>
  </si>
  <si>
    <t>LDNO HVplus: LV Sub Site Specific Band 2</t>
  </si>
  <si>
    <t>LDNO HVplus: LV Sub Site Specific Band 3</t>
  </si>
  <si>
    <t>LDNO HVplus: LV Sub Site Specific Band 4</t>
  </si>
  <si>
    <t>LDNO HVplus: HV Site Specific No Residual</t>
  </si>
  <si>
    <t>LDNO HVplus: HV Site Specific Band 1</t>
  </si>
  <si>
    <t>LDNO HVplus: HV Site Specific Band 2</t>
  </si>
  <si>
    <t>LDNO HVplus: HV Site Specific Band 3</t>
  </si>
  <si>
    <t>LDNO HVplus: HV Site Specific Band 4</t>
  </si>
  <si>
    <t>LDNO EHV: Domestic Aggregated (Related MPAN)</t>
  </si>
  <si>
    <t>LDNO EHV: LV Site Specific No Residual</t>
  </si>
  <si>
    <t>LDNO EHV: LV Site Specific Band 1</t>
  </si>
  <si>
    <t>LDNO EHV: LV Site Specific Band 2</t>
  </si>
  <si>
    <t>LDNO EHV: LV Site Specific Band 3</t>
  </si>
  <si>
    <t>LDNO EHV: LV Site Specific Band 4</t>
  </si>
  <si>
    <t>LDNO EHV: LV Sub Site Specific No Residual</t>
  </si>
  <si>
    <t>LDNO EHV: LV Sub Site Specific Band 1</t>
  </si>
  <si>
    <t>LDNO EHV: LV Sub Site Specific Band 2</t>
  </si>
  <si>
    <t>LDNO EHV: LV Sub Site Specific Band 3</t>
  </si>
  <si>
    <t>LDNO EHV: LV Sub Site Specific Band 4</t>
  </si>
  <si>
    <t>LDNO EHV: HV Site Specific No Residual</t>
  </si>
  <si>
    <t>LDNO EHV: HV Site Specific Band 1</t>
  </si>
  <si>
    <t>LDNO EHV: HV Site Specific Band 2</t>
  </si>
  <si>
    <t>LDNO EHV: HV Site Specific Band 3</t>
  </si>
  <si>
    <t>LDNO EHV: HV Site Specific Band 4</t>
  </si>
  <si>
    <t>LDNO 132kV/EHV: Domestic Aggregated (Related MPAN)</t>
  </si>
  <si>
    <t>LDNO 132kV/EHV: LV Site Specific No Residual</t>
  </si>
  <si>
    <t>LDNO 132kV/EHV: LV Site Specific Band 1</t>
  </si>
  <si>
    <t>LDNO 132kV/EHV: LV Site Specific Band 2</t>
  </si>
  <si>
    <t>LDNO 132kV/EHV: LV Site Specific Band 3</t>
  </si>
  <si>
    <t>LDNO 132kV/EHV: LV Site Specific Band 4</t>
  </si>
  <si>
    <t>LDNO 132kV/EHV: LV Sub Site Specific No Residual</t>
  </si>
  <si>
    <t>LDNO 132kV/EHV: LV Sub Site Specific Band 1</t>
  </si>
  <si>
    <t>LDNO 132kV/EHV: LV Sub Site Specific Band 2</t>
  </si>
  <si>
    <t>LDNO 132kV/EHV: LV Sub Site Specific Band 3</t>
  </si>
  <si>
    <t>LDNO 132kV/EHV: LV Sub Site Specific Band 4</t>
  </si>
  <si>
    <t>LDNO 132kV/EHV: HV Site Specific No Residual</t>
  </si>
  <si>
    <t>LDNO 132kV/EHV: HV Site Specific Band 1</t>
  </si>
  <si>
    <t>LDNO 132kV/EHV: HV Site Specific Band 2</t>
  </si>
  <si>
    <t>LDNO 132kV/EHV: HV Site Specific Band 3</t>
  </si>
  <si>
    <t>LDNO 132kV/EHV: HV Site Specific Band 4</t>
  </si>
  <si>
    <t>LDNO 132kV: Domestic Aggregated (Related MPAN)</t>
  </si>
  <si>
    <t>LDNO 132kV: LV Site Specific No Residual</t>
  </si>
  <si>
    <t>LDNO 132kV: LV Site Specific Band 1</t>
  </si>
  <si>
    <t>LDNO 132kV: LV Site Specific Band 2</t>
  </si>
  <si>
    <t>LDNO 132kV: LV Site Specific Band 3</t>
  </si>
  <si>
    <t>LDNO 132kV: LV Site Specific Band 4</t>
  </si>
  <si>
    <t>LDNO 132kV: LV Sub Site Specific No Residual</t>
  </si>
  <si>
    <t>LDNO 132kV: LV Sub Site Specific Band 1</t>
  </si>
  <si>
    <t>LDNO 132kV: LV Sub Site Specific Band 2</t>
  </si>
  <si>
    <t>LDNO 132kV: LV Sub Site Specific Band 3</t>
  </si>
  <si>
    <t>LDNO 132kV: LV Sub Site Specific Band 4</t>
  </si>
  <si>
    <t>LDNO 132kV: HV Site Specific No Residual</t>
  </si>
  <si>
    <t>LDNO 132kV: HV Site Specific Band 1</t>
  </si>
  <si>
    <t>LDNO 132kV: HV Site Specific Band 2</t>
  </si>
  <si>
    <t>LDNO 132kV: HV Site Specific Band 3</t>
  </si>
  <si>
    <t>LDNO 132kV: HV Site Specific Band 4</t>
  </si>
  <si>
    <t>LDNO 0000: Domestic Aggregated (Related MPAN)</t>
  </si>
  <si>
    <t>LDNO 0000: LV Site Specific No Residual</t>
  </si>
  <si>
    <t>LDNO 0000: LV Site Specific Band 1</t>
  </si>
  <si>
    <t>LDNO 0000: LV Site Specific Band 2</t>
  </si>
  <si>
    <t>LDNO 0000: LV Site Specific Band 3</t>
  </si>
  <si>
    <t>LDNO 0000: LV Site Specific Band 4</t>
  </si>
  <si>
    <t>LDNO 0000: LV Sub Site Specific No Residual</t>
  </si>
  <si>
    <t>LDNO 0000: LV Sub Site Specific Band 1</t>
  </si>
  <si>
    <t>LDNO 0000: LV Sub Site Specific Band 2</t>
  </si>
  <si>
    <t>LDNO 0000: LV Sub Site Specific Band 3</t>
  </si>
  <si>
    <t>LDNO 0000: LV Sub Site Specific Band 4</t>
  </si>
  <si>
    <t>LDNO 0000: HV Site Specific No Residual</t>
  </si>
  <si>
    <t>LDNO 0000: HV Site Specific Band 1</t>
  </si>
  <si>
    <t>LDNO 0000: HV Site Specific Band 2</t>
  </si>
  <si>
    <t>LDNO 0000: HV Site Specific Band 3</t>
  </si>
  <si>
    <t>LDNO 0000: HV Site Specific Band 4</t>
  </si>
  <si>
    <t>Open LLFCs / LDNO unique billing identifier</t>
  </si>
  <si>
    <t>Supplier of Last Resort 
Fixed charge adder*
p/MPAN/day</t>
  </si>
  <si>
    <t>Eligible Bad Debt
Fixed charge adder***
p/MPAN/day</t>
  </si>
  <si>
    <t>Annex 7 Pass-Through Costs</t>
  </si>
  <si>
    <t>Annex 7 contains the fixed adders to recover Supplier of Last Resort and Eligible Bad Debt pass-through costs.
The Excess Supplier of Last Resort fixed adder relates to an increase to previously published charges only.</t>
  </si>
  <si>
    <t>Annex 7 Pass-Through Costs_A</t>
  </si>
  <si>
    <t>Annex 7 Pass-Through Costs_B</t>
  </si>
  <si>
    <t>Annex 7 Pass-Through Costs_C</t>
  </si>
  <si>
    <t>Annex 7 Pass-Through Costs_D</t>
  </si>
  <si>
    <t>Annex 7 Pass-Through Costs_E</t>
  </si>
  <si>
    <t>Annex 7 Pass-Through Costs_F</t>
  </si>
  <si>
    <t>Annex 7 Pass-Through Costs_G</t>
  </si>
  <si>
    <t>Annex 7 Pass-Through Costs_H</t>
  </si>
  <si>
    <t>Annex 7 Pass-Through Costs_J</t>
  </si>
  <si>
    <t>Annex 7 Pass-Through Costs_K</t>
  </si>
  <si>
    <t>Annex 7 Pass-Through Costs_L</t>
  </si>
  <si>
    <t>Annex 7 Pass-Through Costs_M</t>
  </si>
  <si>
    <t>Annex 7 Pass-Through Costs_N</t>
  </si>
  <si>
    <t>Annex 7 Pass-Through Costs_P</t>
  </si>
  <si>
    <t>HV Sub Site Specific Band 1</t>
  </si>
  <si>
    <t>HV Sub Site Specific Band 2</t>
  </si>
  <si>
    <t>LV Generation Aggregated *</t>
  </si>
  <si>
    <t>LV Sub Generation Aggregated *</t>
  </si>
  <si>
    <t>LV Generation Site Specific *</t>
  </si>
  <si>
    <t>LV Generation Site Specific no RP charge *</t>
  </si>
  <si>
    <t>LV Sub Generation Site Specific *</t>
  </si>
  <si>
    <t>LV Sub Generation Site Specific no RP charge *</t>
  </si>
  <si>
    <t>HV Generation Site Specific *</t>
  </si>
  <si>
    <t>HV Generation Site Specific no RP charge *</t>
  </si>
  <si>
    <t>Domestic Aggregated or CT with Residual</t>
  </si>
  <si>
    <t>Non-Domestic Aggregated or CT No Residual</t>
  </si>
  <si>
    <t>Non-Domestic Aggregated or CT Band 1</t>
  </si>
  <si>
    <t>Non-Domestic Aggregated or CT Band 2</t>
  </si>
  <si>
    <t>Non-Domestic Aggregated or CT Band 3</t>
  </si>
  <si>
    <t>Non-Domestic Aggregated or CT Band 4</t>
  </si>
  <si>
    <t>LDNO LV: Domestic Aggregated or CT with Residual</t>
  </si>
  <si>
    <t>LDNO HV: Domestic Aggregated or CT with Residual</t>
  </si>
  <si>
    <t>LDNO HVplus: Domestic Aggregated or CT with Residual</t>
  </si>
  <si>
    <t>LDNO EHV: Domestic Aggregated or CT with Residual</t>
  </si>
  <si>
    <t>LDNO 132kV/EHV: Domestic Aggregated or CT with Residual</t>
  </si>
  <si>
    <t>LDNO 132kV: Domestic Aggregated or CT with Residual</t>
  </si>
  <si>
    <t>LDNO 0000: Domestic Aggregated or CT with Residual</t>
  </si>
  <si>
    <t>LDNO LV: Non-Domestic Aggregated or CT No Residual</t>
  </si>
  <si>
    <t>LDNO HV: Non-Domestic Aggregated or CT No Residual</t>
  </si>
  <si>
    <t>LDNO HVplus: Non-Domestic Aggregated or CT No Residual</t>
  </si>
  <si>
    <t>LDNO EHV: Non-Domestic Aggregated or CT No Residual</t>
  </si>
  <si>
    <t>LDNO 132kV/EHV: Non-Domestic Aggregated or CT No Residual</t>
  </si>
  <si>
    <t>LDNO 132kV: Non-Domestic Aggregated or CT No Residual</t>
  </si>
  <si>
    <t>LDNO 0000: Non-Domestic Aggregated or CT No Residual</t>
  </si>
  <si>
    <t>LDNO LV: Non-Domestic Aggregated or CT Band 1</t>
  </si>
  <si>
    <t>LDNO HV: Non-Domestic Aggregated or CT Band 1</t>
  </si>
  <si>
    <t>LDNO HVplus: Non-Domestic Aggregated or CT Band 1</t>
  </si>
  <si>
    <t>LDNO EHV: Non-Domestic Aggregated or CT Band 1</t>
  </si>
  <si>
    <t>LDNO 132kV/EHV: Non-Domestic Aggregated or CT Band 1</t>
  </si>
  <si>
    <t>LDNO 132kV: Non-Domestic Aggregated or CT Band 1</t>
  </si>
  <si>
    <t>LDNO 0000: Non-Domestic Aggregated or CT Band 1</t>
  </si>
  <si>
    <t>LDNO LV: Non-Domestic Aggregated or CT Band 2</t>
  </si>
  <si>
    <t>LDNO HV: Non-Domestic Aggregated or CT Band 2</t>
  </si>
  <si>
    <t>LDNO HVplus: Non-Domestic Aggregated or CT Band 2</t>
  </si>
  <si>
    <t>LDNO EHV: Non-Domestic Aggregated or CT Band 2</t>
  </si>
  <si>
    <t>LDNO 132kV/EHV: Non-Domestic Aggregated or CT Band 2</t>
  </si>
  <si>
    <t>LDNO 132kV: Non-Domestic Aggregated or CT Band 2</t>
  </si>
  <si>
    <t>LDNO 0000: Non-Domestic Aggregated or CT Band 2</t>
  </si>
  <si>
    <t>LDNO LV: Non-Domestic Aggregated or CT Band 3</t>
  </si>
  <si>
    <t>LDNO HV: Non-Domestic Aggregated or CT Band 3</t>
  </si>
  <si>
    <t>LDNO HVplus: Non-Domestic Aggregated or CT Band 3</t>
  </si>
  <si>
    <t>LDNO EHV: Non-Domestic Aggregated or CT Band 3</t>
  </si>
  <si>
    <t>LDNO 132kV/EHV: Non-Domestic Aggregated or CT Band 3</t>
  </si>
  <si>
    <t>LDNO 132kV: Non-Domestic Aggregated or CT Band 3</t>
  </si>
  <si>
    <t>LDNO 0000: Non-Domestic Aggregated or CT Band 3</t>
  </si>
  <si>
    <t>LDNO LV: Non-Domestic Aggregated or CT Band 4</t>
  </si>
  <si>
    <t>LDNO HV: Non-Domestic Aggregated or CT Band 4</t>
  </si>
  <si>
    <t>LDNO HVplus: Non-Domestic Aggregated or CT Band 4</t>
  </si>
  <si>
    <t>LDNO EHV: Non-Domestic Aggregated or CT Band 4</t>
  </si>
  <si>
    <t>LDNO 132kV/EHV: Non-Domestic Aggregated or CT Band 4</t>
  </si>
  <si>
    <t>LDNO 132kV: Non-Domestic Aggregated or CT Band 4</t>
  </si>
  <si>
    <t>LDNO 0000: Non-Domestic Aggregated or CT Band 4</t>
  </si>
  <si>
    <t>*Supplier of Last Resort pass-through costs allocated to all domestic tariffs with a fixed charge (including LDNO)</t>
  </si>
  <si>
    <t>**Eligible Bad Debt pass-through costs allocated to all metered demand tariffs (including LDNO)</t>
  </si>
  <si>
    <t>Domestic Aggregated or CT</t>
  </si>
  <si>
    <t>LDNO LV: Domestic Aggregated or CT</t>
  </si>
  <si>
    <t>LDNO HV: Domestic Aggregated or CT</t>
  </si>
  <si>
    <t>LDNO HVplus: Domestic Aggregated or CT</t>
  </si>
  <si>
    <t>LDNO EHV: Domestic Aggregated or CT</t>
  </si>
  <si>
    <t>LDNO 132kV/EHV: Domestic Aggregated or CT</t>
  </si>
  <si>
    <t>LDNO 132kV: Domestic Aggregated or CT</t>
  </si>
  <si>
    <t>LDNO 0000: Domestic Aggregated or CT</t>
  </si>
  <si>
    <t>EHV Site Specific Band 2</t>
  </si>
  <si>
    <t>DZ1</t>
  </si>
  <si>
    <t>DZ2</t>
  </si>
  <si>
    <t>EHV Site Specific Band 4</t>
  </si>
  <si>
    <t>* All boundaries are inclusive of the upper threshold and exclusive of the lower threshold i.e. Lower &lt; x ≤ Upper.</t>
  </si>
  <si>
    <t>∞</t>
  </si>
  <si>
    <t>kVA</t>
  </si>
  <si>
    <t>Designated EHV Properties</t>
  </si>
  <si>
    <t>Designated Properties connected at HV</t>
  </si>
  <si>
    <t>Designated Properties connected at LV, billing with MIC</t>
  </si>
  <si>
    <t>kWh</t>
  </si>
  <si>
    <t>Designated Properties connected at LV, billing with no MIC</t>
  </si>
  <si>
    <t>-</t>
  </si>
  <si>
    <t>Single band</t>
  </si>
  <si>
    <t>Domestic Aggregated</t>
  </si>
  <si>
    <t>Upper Threshold*</t>
  </si>
  <si>
    <t>Lower Threshold*</t>
  </si>
  <si>
    <t>Units</t>
  </si>
  <si>
    <t>Band</t>
  </si>
  <si>
    <t>Voltage of Connection</t>
  </si>
  <si>
    <t>EHV4</t>
  </si>
  <si>
    <t>Designated EHV Site Specific Band 4</t>
  </si>
  <si>
    <t>EHV3</t>
  </si>
  <si>
    <t>Designated EHV Site Specific Band 3</t>
  </si>
  <si>
    <t>EHV2</t>
  </si>
  <si>
    <t>Designated EHV Site Specific Band 2</t>
  </si>
  <si>
    <t>EHV1</t>
  </si>
  <si>
    <t>Designated EHV Site Specific Band 1</t>
  </si>
  <si>
    <t>Designated EHV Site Specific No Residual</t>
  </si>
  <si>
    <t>HV Generation Site Specific no RP charge</t>
  </si>
  <si>
    <t>HV Generation Site Specific</t>
  </si>
  <si>
    <t>LV Sub Generation Site Specific no RP charge</t>
  </si>
  <si>
    <t>LV Sub Generation Site Specific</t>
  </si>
  <si>
    <t>LV Generation Site Specific no RP charge</t>
  </si>
  <si>
    <t>LV Generation Site Specific</t>
  </si>
  <si>
    <t>LV Sub Generation Aggregated</t>
  </si>
  <si>
    <t>LV Generation Aggregated</t>
  </si>
  <si>
    <t>n/a (p/kWh charge)</t>
  </si>
  <si>
    <t>HV4</t>
  </si>
  <si>
    <t>HV3</t>
  </si>
  <si>
    <t>HV2</t>
  </si>
  <si>
    <t>HV1</t>
  </si>
  <si>
    <t>LV4</t>
  </si>
  <si>
    <t>LV3</t>
  </si>
  <si>
    <t>LV2</t>
  </si>
  <si>
    <t>LV1</t>
  </si>
  <si>
    <t>LV_NoMIC_4</t>
  </si>
  <si>
    <t>LV_NoMIC_3</t>
  </si>
  <si>
    <t>LV_NoMIC_2</t>
  </si>
  <si>
    <t>LV_NoMIC_1</t>
  </si>
  <si>
    <t>n/a (Non-Final Demand Site)</t>
  </si>
  <si>
    <t>Domestic</t>
  </si>
  <si>
    <t>TNUoS Site Charging Band</t>
  </si>
  <si>
    <t>DUoS Tariff name</t>
  </si>
  <si>
    <t>A/R</t>
  </si>
  <si>
    <t>Notes updated</t>
  </si>
  <si>
    <t>Updated to reflect DCP 268 which delinks all tariffs from the TPR bands</t>
  </si>
  <si>
    <t>Code 1 &amp; 2 changed to A</t>
  </si>
  <si>
    <t>Code O changed to A/R</t>
  </si>
  <si>
    <t>Removed TPR</t>
  </si>
  <si>
    <t>Removed TPR lookup element as this no longer effects which rate to apply</t>
  </si>
  <si>
    <t>A</t>
  </si>
  <si>
    <t>Monday to Friday 
(Including Bank Holidays)
All Year</t>
  </si>
  <si>
    <t>07:00 - 16:00
19:00 - 23:00</t>
  </si>
  <si>
    <t>00:00 - 07:00
23:00 - 24:00</t>
  </si>
  <si>
    <t/>
  </si>
  <si>
    <t>Saturday and Sunday
All Year</t>
  </si>
  <si>
    <t>00:00 - 24:00</t>
  </si>
  <si>
    <t>Monday to Friday 
(Including Bank Holidays)
March to October Inclusive</t>
  </si>
  <si>
    <t>07:00 - 23:00</t>
  </si>
  <si>
    <t>0, 1, 2</t>
  </si>
  <si>
    <t>0, 3, 4, 5-8</t>
  </si>
  <si>
    <t>0, 1 or 8</t>
  </si>
  <si>
    <t>0, 8</t>
  </si>
  <si>
    <t>Winter Peak</t>
  </si>
  <si>
    <t>Summer Peak</t>
  </si>
  <si>
    <t>Winter Shoulder</t>
  </si>
  <si>
    <t>Night</t>
  </si>
  <si>
    <t>Other</t>
  </si>
  <si>
    <t>Monday to Friday 
November to February</t>
  </si>
  <si>
    <t>16:00 - 20:00</t>
  </si>
  <si>
    <t>07:00 - 16:00</t>
  </si>
  <si>
    <t>Monday to Friday
June to August</t>
  </si>
  <si>
    <t>07:00 - 20:00</t>
  </si>
  <si>
    <t>Monday to Friday
March</t>
  </si>
  <si>
    <t>A00, A21, A50, A79, AA1, AB1, AB2, AB3, AB4, AG1, AH1.</t>
  </si>
  <si>
    <t>A01, A22, A51, A80.</t>
  </si>
  <si>
    <t>A02, A23, A52, A81, AK1, AL3, AL7, AM1, AM5, AR1, AS3.</t>
  </si>
  <si>
    <t>A03, A24, A53, A82, AK2, AL4, AL8, AM2, AM6, AR2, AS4.</t>
  </si>
  <si>
    <t>A04, A25, A54, A83, AK3, AL5, AL9, AM3, AM7, AR3, AS5.</t>
  </si>
  <si>
    <t>A05, A26, A55, A84, AK4, AL6, AL0, AM4, AM8, AR4, AS6.</t>
  </si>
  <si>
    <t>A06, A27, A56, A85.</t>
  </si>
  <si>
    <t>A07, A28, A57, A86.</t>
  </si>
  <si>
    <t>A08, A29, A58, A87.</t>
  </si>
  <si>
    <t>A09, A30, A59, A88.</t>
  </si>
  <si>
    <t>A10, A31, A60, A89.</t>
  </si>
  <si>
    <t>A11, A32, A61, A90.</t>
  </si>
  <si>
    <t>A12, A33, A62, A91.</t>
  </si>
  <si>
    <t>A13, A34, A63, A92.</t>
  </si>
  <si>
    <t>A14, A35, A64, A93.</t>
  </si>
  <si>
    <t>A15, A36, A65, A94.</t>
  </si>
  <si>
    <t>A37, A66, A95.</t>
  </si>
  <si>
    <t>A38, A67, A96.</t>
  </si>
  <si>
    <t>A39, A68, A97.</t>
  </si>
  <si>
    <t>A40, A69, A98.</t>
  </si>
  <si>
    <t>A41, A70, A99.</t>
  </si>
  <si>
    <t>A16, A42, A71, A0.</t>
  </si>
  <si>
    <t>A17, A43, A72, A1.</t>
  </si>
  <si>
    <t>A45, A74, A3.</t>
  </si>
  <si>
    <t>A18, A44, A73, A2.</t>
  </si>
  <si>
    <t>A46, A75, A4.</t>
  </si>
  <si>
    <t>B00, B21, B50, B79, BA1, BB1, BB2, BB3, BB4, BG1, BH1.</t>
  </si>
  <si>
    <t>B01, B22, B51, B80.</t>
  </si>
  <si>
    <t>B02, B23, B52, B81, BK1, BL3, BL7, BM1, BR1, BS3.</t>
  </si>
  <si>
    <t>B03, B24, B53, B82, BK2, BL4, BL8, BM2, BR2, BS4.</t>
  </si>
  <si>
    <t>B04, B25, B54, B83, BK3, BL5, BL9, BM3, BR3, BS5.</t>
  </si>
  <si>
    <t>B05, B26, B55, B84, BK4, BL6, BL0, BM4, BR4, BS6.</t>
  </si>
  <si>
    <t>B06, B27, B56, B85.</t>
  </si>
  <si>
    <t>B07, B28, B57, B86.</t>
  </si>
  <si>
    <t>B08, B29, B58, B87.</t>
  </si>
  <si>
    <t>B09, B30, B59, B88.</t>
  </si>
  <si>
    <t>B10, B31, B60, B89.</t>
  </si>
  <si>
    <t>B11, B32, B61, B90.</t>
  </si>
  <si>
    <t>B12, B33, B62, B91.</t>
  </si>
  <si>
    <t>B13, B34, B63, B92.</t>
  </si>
  <si>
    <t>B14, B35, B64, B93.</t>
  </si>
  <si>
    <t>B15, B36, B65, B94.</t>
  </si>
  <si>
    <t>B37, B66, B95.</t>
  </si>
  <si>
    <t>B38, B67, B96.</t>
  </si>
  <si>
    <t>B39, B68, B97.</t>
  </si>
  <si>
    <t>B40, B69, B98.</t>
  </si>
  <si>
    <t>B41, B70, B99.</t>
  </si>
  <si>
    <t>B16, B42, B71, B0.</t>
  </si>
  <si>
    <t>B17, B43, B72, B1.</t>
  </si>
  <si>
    <t>B45, B74, B3.</t>
  </si>
  <si>
    <t>B18, B44, B73, B2.</t>
  </si>
  <si>
    <t>B46, B75, B4.</t>
  </si>
  <si>
    <t>C00, C21, C50, C79, CA1, CB1, CB2, CB3, CB4, CB5, CB6, CB7, CB8, CG1, CH1.</t>
  </si>
  <si>
    <t>C01, C22, C51, C80.</t>
  </si>
  <si>
    <t>C02, C23, C52, C81, CK1, CL3, CL7, CM1, CM5, CM9, CN3, CN7, CR1, CS3.</t>
  </si>
  <si>
    <t>C03, C24, C53, C82, CK2, CL4, CL8, CM2, CM6, CM0, CN4, CN8, CR2, CS4.</t>
  </si>
  <si>
    <t>C04, C25, C54, C83, CK3, CL5, CL9, CM3, CM7, CN1, CN5, CN9, CR3, CS5.</t>
  </si>
  <si>
    <t>C05, C26, C55, C84, CK4, CL6, CL0, CM4, CM8, CN2, CN6, CN0, CR4, CS6.</t>
  </si>
  <si>
    <t>C06, C27, C56, C85.</t>
  </si>
  <si>
    <t>C07, C28, C57, C86.</t>
  </si>
  <si>
    <t>C08, C29, C58, C87.</t>
  </si>
  <si>
    <t>C09, C30, C59, C88.</t>
  </si>
  <si>
    <t>C10, C31, C60, C89.</t>
  </si>
  <si>
    <t>C11, C32, C61, C90.</t>
  </si>
  <si>
    <t>C12, C33, C62, C91.</t>
  </si>
  <si>
    <t>C13, C34, C63, C92.</t>
  </si>
  <si>
    <t>C14, C35, C64, C93.</t>
  </si>
  <si>
    <t>C15, C36, C65, C94.</t>
  </si>
  <si>
    <t>C37, C66, C95.</t>
  </si>
  <si>
    <t>C38, C67, C96.</t>
  </si>
  <si>
    <t>C39, C68, C97.</t>
  </si>
  <si>
    <t>C40, C69, C98.</t>
  </si>
  <si>
    <t>C41, C70, C99.</t>
  </si>
  <si>
    <t>C16, C42, C71, C0.</t>
  </si>
  <si>
    <t>C17, C43, C72, C1.</t>
  </si>
  <si>
    <t>C45, C74, C3.</t>
  </si>
  <si>
    <t>C18, C44, C73, C2.</t>
  </si>
  <si>
    <t>C46, C75, C4.</t>
  </si>
  <si>
    <t>D00, D21, D50, D79, DA1, DB1, DB2, DB3, DB4, DB5, DB6, DB7, DB8, DG1, DH1.</t>
  </si>
  <si>
    <t>D01, D22, D51, D80.</t>
  </si>
  <si>
    <t>D02, D23, D52, D81, DK1, DL3, DL7, DM1, DM5, DM9, DN3, DN7, DP1, DR1, DS3.</t>
  </si>
  <si>
    <t>D03, D24, D53, D82, DK2, DL4, DL8, DM2, DM6, DM0, DN4, DN8, DP2, DR2, DS4.</t>
  </si>
  <si>
    <t>D04, D25, D54, D83, DK3, DL5, DL9, DM3, DM7, DN1, DN5, DN9, DP3, DR3, DS5.</t>
  </si>
  <si>
    <t>D05, D26, D55, D84, DK4, DL6, DL0, DM4, DM8, DN2, DN6, DN0, DP4, DR4, DS6.</t>
  </si>
  <si>
    <t>D06, D27, D56, D85.</t>
  </si>
  <si>
    <t>D07, D28, D57, D86.</t>
  </si>
  <si>
    <t>D08, D29, D58, D87.</t>
  </si>
  <si>
    <t>D09, D30, D59, D88.</t>
  </si>
  <si>
    <t>D10, D31, D60, D89.</t>
  </si>
  <si>
    <t>D11, D32, D61, D90.</t>
  </si>
  <si>
    <t>D12, D33, D62, D91.</t>
  </si>
  <si>
    <t>D13, D34, D63, D92.</t>
  </si>
  <si>
    <t>D14, D35, D64, D93.</t>
  </si>
  <si>
    <t>D15, D36, D65, D94.</t>
  </si>
  <si>
    <t>D37, D66, D95.</t>
  </si>
  <si>
    <t>D38, D67, D96.</t>
  </si>
  <si>
    <t>D39, D68, D97.</t>
  </si>
  <si>
    <t>D40, D69, D98.</t>
  </si>
  <si>
    <t>D41, D70, D99.</t>
  </si>
  <si>
    <t>D16, D42, D71, D0.</t>
  </si>
  <si>
    <t>D17, D43, D72, D1.</t>
  </si>
  <si>
    <t>D45, D74, D3.</t>
  </si>
  <si>
    <t>D18, D44, D73, D2.</t>
  </si>
  <si>
    <t>D46, D75, D4.</t>
  </si>
  <si>
    <t>E00, E21, E50, E79, EA1, EB1, EB2, EB3, EB4, EB5, EG1, EH1.</t>
  </si>
  <si>
    <t>E01, E22, E51, E80.</t>
  </si>
  <si>
    <t>E02, E23, E52, E81, EK1, EL3, EL7, EM1, EM5, EM9, EN3, ER1, ES3.</t>
  </si>
  <si>
    <t>E03, E24, E53, E82, EK2, EL4, EL8, EM2, EM6, EM0, EN4, ER2, ES4.</t>
  </si>
  <si>
    <t>E04, E25, E54, E83, EK3, EL5, EL9, EM3, EM7, EN1, EN5, ER3, ES5.</t>
  </si>
  <si>
    <t>E05, E26, E55, E84, EK4, EL6, EL0, EM4, EM8, EN2, EN6, ER4, ES6.</t>
  </si>
  <si>
    <t>E06, E27, E56, E85.</t>
  </si>
  <si>
    <t>E07, E28, E57, E86.</t>
  </si>
  <si>
    <t>E08, E29, E58, E87.</t>
  </si>
  <si>
    <t>E09, E30, E59, E88.</t>
  </si>
  <si>
    <t>E10, E31, E60, E89.</t>
  </si>
  <si>
    <t>E11, E32, E61, E90.</t>
  </si>
  <si>
    <t>E12, E33, E62, E91.</t>
  </si>
  <si>
    <t>E13, E34, E63, E92.</t>
  </si>
  <si>
    <t>E14, E35, E64, E93.</t>
  </si>
  <si>
    <t>E15, E36, E65, E94.</t>
  </si>
  <si>
    <t>E37, E66, E95.</t>
  </si>
  <si>
    <t>E38, E67, E96.</t>
  </si>
  <si>
    <t>E39, E68, E97.</t>
  </si>
  <si>
    <t>E40, E69, E98.</t>
  </si>
  <si>
    <t>E41, E70, E99.</t>
  </si>
  <si>
    <t>E16, E42, E71, E0.</t>
  </si>
  <si>
    <t>E17, E43, E72, E1.</t>
  </si>
  <si>
    <t>E45, E74, E3.</t>
  </si>
  <si>
    <t>E18, E44, E73, E2.</t>
  </si>
  <si>
    <t>E46, E75, E4.</t>
  </si>
  <si>
    <t>F21, F50, F79, FB1, FB2, FB3, FB4, FB5, FH1.</t>
  </si>
  <si>
    <t>F22, F51, F80.</t>
  </si>
  <si>
    <t>F23, F52, F81, FL3, FL7, FM1, FS3.</t>
  </si>
  <si>
    <t>F24, F53, F82, FL4, FL8, FM2, FS4.</t>
  </si>
  <si>
    <t>F25, F54, F83, FL5, FL9, FM3, FS5.</t>
  </si>
  <si>
    <t>F26, F55, F84, FL6, FL0, FM4, FS6.</t>
  </si>
  <si>
    <t>F27, F56, F85.</t>
  </si>
  <si>
    <t>F28, F57, F86.</t>
  </si>
  <si>
    <t>F29, F58, F87.</t>
  </si>
  <si>
    <t>F30, F59, F88.</t>
  </si>
  <si>
    <t>F31, F60, F89.</t>
  </si>
  <si>
    <t>F32, F61, F90.</t>
  </si>
  <si>
    <t>F33, F62, F91.</t>
  </si>
  <si>
    <t>F34, F63, F92.</t>
  </si>
  <si>
    <t>F35, F64, F93.</t>
  </si>
  <si>
    <t>F36, F65, F94.</t>
  </si>
  <si>
    <t>F37, F66, F95.</t>
  </si>
  <si>
    <t>F38, F67, F96.</t>
  </si>
  <si>
    <t>F39, F68, F97.</t>
  </si>
  <si>
    <t>F40, F69, F98.</t>
  </si>
  <si>
    <t>F41, F70, F99.</t>
  </si>
  <si>
    <t>F42, F71, F0.</t>
  </si>
  <si>
    <t>F43, F72, F1.</t>
  </si>
  <si>
    <t>F45, F74, F3.</t>
  </si>
  <si>
    <t>F44, F73, F2.</t>
  </si>
  <si>
    <t>F46, F75, F4.</t>
  </si>
  <si>
    <t>G00, G21, G50, G79, GA1, GB1, GB2, GB3, GB4, GB5, GB6, GB7, GB8, GB9, GG1, GH1.</t>
  </si>
  <si>
    <t>G01, G22, G51, G80.</t>
  </si>
  <si>
    <t>G02, G23, G52, G81, GK1, GL3, GL7, GM1, GM5, GM9, GN3, GN7, GP1, GR1, GS3.</t>
  </si>
  <si>
    <t>G03, G24, G53, G82, GK2, GL4, GL8, GM2, GM6, GM0, GN4, GN8, GP2, GR2, GS4.</t>
  </si>
  <si>
    <t>G04, G25, G54, G83, GK3, GL5, GL9, GM3, GM7, GN1, GN5, GN9, GP3, GR3, GS5.</t>
  </si>
  <si>
    <t>G05, G26, G55, G84, GK4, GL6, GL0, GM4, GM8, GN2, GN6, GN0, GP4, GR4, GS6.</t>
  </si>
  <si>
    <t>G06, G27, G56, G85.</t>
  </si>
  <si>
    <t>G07, G28, G57, G86.</t>
  </si>
  <si>
    <t>G08, G29, G58, G87.</t>
  </si>
  <si>
    <t>G09, G30, G59, G88.</t>
  </si>
  <si>
    <t>G10, G31, G60, G89.</t>
  </si>
  <si>
    <t>G11, G32, G61, G90.</t>
  </si>
  <si>
    <t>G12, G33, G62, G91.</t>
  </si>
  <si>
    <t>G13, G34, G63, G92.</t>
  </si>
  <si>
    <t>G14, G35, G64, G93.</t>
  </si>
  <si>
    <t>G15, G36, G65, G94.</t>
  </si>
  <si>
    <t>G37, G66, G95.</t>
  </si>
  <si>
    <t>G38, G67, G96.</t>
  </si>
  <si>
    <t>G39, G68, G97.</t>
  </si>
  <si>
    <t>G40, G69, G98.</t>
  </si>
  <si>
    <t>G41, G70, G99.</t>
  </si>
  <si>
    <t>G16, G42, G71, G0.</t>
  </si>
  <si>
    <t>G17, G43, G72, G1.</t>
  </si>
  <si>
    <t>G45, G74, G3.</t>
  </si>
  <si>
    <t>G18, G44, G73, G2.</t>
  </si>
  <si>
    <t>G46, G75, G4.</t>
  </si>
  <si>
    <t>GX1.</t>
  </si>
  <si>
    <t>GX2.</t>
  </si>
  <si>
    <t xml:space="preserve">H00, H21, H50, H79, HA1, HB1, HB2, HB3, HB4, HB5, HG1, </t>
  </si>
  <si>
    <t>H01, H22, H51, H80.</t>
  </si>
  <si>
    <t>H02, H23, H52, H81, HK1, HL3, HL7, HM1, HR1, HS3.</t>
  </si>
  <si>
    <t>H03, H24, H53, H82, HK2, HL4, HL8, HM2, HR2, HS4.</t>
  </si>
  <si>
    <t>H04, H25, H54, H83, HK3, HL5, HL9, HM3, HR3, HS5.</t>
  </si>
  <si>
    <t>H05, H26, H55, H84, HK4, HL6, HL0, HM4, HR4, HS6.</t>
  </si>
  <si>
    <t>H06, H27, H56, H85.</t>
  </si>
  <si>
    <t>H07, H28, H57, H86.</t>
  </si>
  <si>
    <t>H08, H29, H58, H87.</t>
  </si>
  <si>
    <t>H09, H30, H59, H88.</t>
  </si>
  <si>
    <t>H10, H31, H60, H89.</t>
  </si>
  <si>
    <t>H11, H32, H61, H90.</t>
  </si>
  <si>
    <t>H12, H33, H62, H91.</t>
  </si>
  <si>
    <t>H13, H34, H63, H92.</t>
  </si>
  <si>
    <t>H14, H35, H64, H93.</t>
  </si>
  <si>
    <t>H15, H36, H65, H94.</t>
  </si>
  <si>
    <t>H37, H66, H95.</t>
  </si>
  <si>
    <t>H38, H67, H96.</t>
  </si>
  <si>
    <t>H39, H68, H97.</t>
  </si>
  <si>
    <t>H40, H69, H98.</t>
  </si>
  <si>
    <t>H41, H70, H99.</t>
  </si>
  <si>
    <t>H16, H42, H71, H0.</t>
  </si>
  <si>
    <t>H17, H43, H72, H1.</t>
  </si>
  <si>
    <t>H45, H74, H3.</t>
  </si>
  <si>
    <t>H18, H44, H73, H2.</t>
  </si>
  <si>
    <t>H46, H75, H4.</t>
  </si>
  <si>
    <t>J00, J21, J50, J79, JA1, JB1, JB2, JB3, JB4, JB5, JG1, JH1.</t>
  </si>
  <si>
    <t>J01, J22, J51, J80.</t>
  </si>
  <si>
    <t>J02, J23, J52, J81, JK1, JL3, JL7, JM1, JR1, JS3.</t>
  </si>
  <si>
    <t>J03, J24, J53, J82, JK2, JL4, JL8, JM2, JR2, JS4.</t>
  </si>
  <si>
    <t>J04, J25, J54, J83, JK3, JL5, JL9, JM3, JR3, JS5.</t>
  </si>
  <si>
    <t>J05, J26, J55, J84, JK4, JL6, JL0, JM4, JR4, JS6.</t>
  </si>
  <si>
    <t>J06, J27, J56, J85.</t>
  </si>
  <si>
    <t>J07, J28, J57, J86.</t>
  </si>
  <si>
    <t>J08, J29, J58, J87.</t>
  </si>
  <si>
    <t>J09, J30, J59, J88.</t>
  </si>
  <si>
    <t>J10, J31, J60, J89.</t>
  </si>
  <si>
    <t>J11, J32, J61, J90.</t>
  </si>
  <si>
    <t>J12, J33, J62, J91.</t>
  </si>
  <si>
    <t>J13, J34, J63, J92.</t>
  </si>
  <si>
    <t>J14, J35, J64, J93.</t>
  </si>
  <si>
    <t>J15, J36, J65, J94.</t>
  </si>
  <si>
    <t>J37, J66, J95.</t>
  </si>
  <si>
    <t>J38, J67, J96.</t>
  </si>
  <si>
    <t>J39, J68, J97.</t>
  </si>
  <si>
    <t>J40, J69, J98.</t>
  </si>
  <si>
    <t>J41, J70, J99.</t>
  </si>
  <si>
    <t>J16, J42, J71, J0.</t>
  </si>
  <si>
    <t>J17, J43, J72, J1.</t>
  </si>
  <si>
    <t>J45, J74, J3.</t>
  </si>
  <si>
    <t>J18, J44, J73, J2.</t>
  </si>
  <si>
    <t>J46, J75, J4.</t>
  </si>
  <si>
    <t>K21, K79, KB1, KB2, KB3, KB4, KH1.</t>
  </si>
  <si>
    <t>K22, K80.</t>
  </si>
  <si>
    <t>K23, K81, KL3, KL7, KM1, KS3.</t>
  </si>
  <si>
    <t>K24, K82, KL4, KL8, KM2, KS4.</t>
  </si>
  <si>
    <t>K25, K83, KL5, KL9, KM3, KS5.</t>
  </si>
  <si>
    <t>K26, K84, KL6, KL0, KM4, KS6.</t>
  </si>
  <si>
    <t>K27, K85.</t>
  </si>
  <si>
    <t>K28, K86.</t>
  </si>
  <si>
    <t>K29, K87.</t>
  </si>
  <si>
    <t>K30, K88.</t>
  </si>
  <si>
    <t>K31, K89.</t>
  </si>
  <si>
    <t>K32, K90.</t>
  </si>
  <si>
    <t>K33, K91.</t>
  </si>
  <si>
    <t>K34, K92.</t>
  </si>
  <si>
    <t>K35, K93.</t>
  </si>
  <si>
    <t>K36, K94.</t>
  </si>
  <si>
    <t>K37, K95.</t>
  </si>
  <si>
    <t>K38, K96.</t>
  </si>
  <si>
    <t>K39, K97.</t>
  </si>
  <si>
    <t>K40, K98.</t>
  </si>
  <si>
    <t>K41, K99.</t>
  </si>
  <si>
    <t>K42, K0.</t>
  </si>
  <si>
    <t>K43, K1.</t>
  </si>
  <si>
    <t>K45, K3.</t>
  </si>
  <si>
    <t>K44, K2.</t>
  </si>
  <si>
    <t>K46, K4.</t>
  </si>
  <si>
    <t>L00, L21, L79, LB1, LB2, LB3, LB4, LB5, LH1.</t>
  </si>
  <si>
    <t>L01, L22, L80.</t>
  </si>
  <si>
    <t>L02, L23, L81, LL3, LL7, LM1, LS3.</t>
  </si>
  <si>
    <t>L03, L24, L82, LL4, LL8, LM2, LS4.</t>
  </si>
  <si>
    <t>L04, L25, L83, LL5, LL9, LM3, LS5.</t>
  </si>
  <si>
    <t>L05, L26, L84, LL6, LL0, LM4, LS6.</t>
  </si>
  <si>
    <t>L06, L27, L85.</t>
  </si>
  <si>
    <t>L07, L28, L86.</t>
  </si>
  <si>
    <t>L08, L29, L87.</t>
  </si>
  <si>
    <t>L09, L30, L88.</t>
  </si>
  <si>
    <t>L10, L31, L89.</t>
  </si>
  <si>
    <t>L11, L32, L90.</t>
  </si>
  <si>
    <t>L12, L33, L91.</t>
  </si>
  <si>
    <t>L13, L34, L92.</t>
  </si>
  <si>
    <t>L14, L35, L93.</t>
  </si>
  <si>
    <t>L15, L36, L94.</t>
  </si>
  <si>
    <t>L37, L95.</t>
  </si>
  <si>
    <t>L38, L96.</t>
  </si>
  <si>
    <t>L39, L97.</t>
  </si>
  <si>
    <t>L40, L98.</t>
  </si>
  <si>
    <t>L41, L99.</t>
  </si>
  <si>
    <t>L17, L43, L1.</t>
  </si>
  <si>
    <t>L45, L3.</t>
  </si>
  <si>
    <t>L18, L44, L2.</t>
  </si>
  <si>
    <t>L46, L4.</t>
  </si>
  <si>
    <t>M00, M21, M79, MA1, MB1, MB2, MB3, MB4, MB5, MH1.</t>
  </si>
  <si>
    <t>M01, M22, M80.</t>
  </si>
  <si>
    <t>M02, M23, M81, MK1, ML3, ML7, MM1, MM5, MS3.</t>
  </si>
  <si>
    <t>M03, M24, M82, MK2, ML4, ML8, MM2, MM6, MS4.</t>
  </si>
  <si>
    <t>M04, M25, M83, MK3, ML5, ML9, MM3, MM7, MS5.</t>
  </si>
  <si>
    <t>M05, M26, M84, MK4, ML6, ML0, MM4, MM8, MS6.</t>
  </si>
  <si>
    <t>M06, M27, M85.</t>
  </si>
  <si>
    <t>M07, M28, M86.</t>
  </si>
  <si>
    <t>M08, M29, M87.</t>
  </si>
  <si>
    <t>M09, M30, M88.</t>
  </si>
  <si>
    <t>M10, M31, M89.</t>
  </si>
  <si>
    <t>M11, M32, M90.</t>
  </si>
  <si>
    <t>M12, M33, M91.</t>
  </si>
  <si>
    <t>M13, M34, M92.</t>
  </si>
  <si>
    <t>M14, M35, M93.</t>
  </si>
  <si>
    <t>M15, M36, M94.</t>
  </si>
  <si>
    <t>M37, M95.</t>
  </si>
  <si>
    <t>M38, M96.</t>
  </si>
  <si>
    <t>M39, M97.</t>
  </si>
  <si>
    <t>M40, M98.</t>
  </si>
  <si>
    <t>M41, M99.</t>
  </si>
  <si>
    <t>M16, M42, M0.</t>
  </si>
  <si>
    <t>M17, M43, M1.</t>
  </si>
  <si>
    <t>M45, M3.</t>
  </si>
  <si>
    <t>M18, M44, M2.</t>
  </si>
  <si>
    <t>M46, M4.</t>
  </si>
  <si>
    <t xml:space="preserve">N21, N50, NB1, NB2, NB3, NB4, NB5, </t>
  </si>
  <si>
    <t xml:space="preserve">N22, N51, </t>
  </si>
  <si>
    <t xml:space="preserve">N23, N52, NL3, NL7, NM1, </t>
  </si>
  <si>
    <t xml:space="preserve">N24, N53, NL4, NL8, NM2, </t>
  </si>
  <si>
    <t xml:space="preserve">N25, N54, NL5, NL9, NM3, </t>
  </si>
  <si>
    <t xml:space="preserve">N26, N55, NL6, NL0, NM4, </t>
  </si>
  <si>
    <t xml:space="preserve">N27, N56, </t>
  </si>
  <si>
    <t xml:space="preserve">N28, N57, </t>
  </si>
  <si>
    <t xml:space="preserve">N29, N58, </t>
  </si>
  <si>
    <t xml:space="preserve">N30, N59, </t>
  </si>
  <si>
    <t xml:space="preserve">N31, N60, </t>
  </si>
  <si>
    <t xml:space="preserve">N32, </t>
  </si>
  <si>
    <t xml:space="preserve">N33, </t>
  </si>
  <si>
    <t xml:space="preserve">N34, </t>
  </si>
  <si>
    <t xml:space="preserve">N35, </t>
  </si>
  <si>
    <t xml:space="preserve">N36, </t>
  </si>
  <si>
    <t xml:space="preserve">N37, N66, </t>
  </si>
  <si>
    <t xml:space="preserve">N38, N67, </t>
  </si>
  <si>
    <t xml:space="preserve">N39, N68, </t>
  </si>
  <si>
    <t xml:space="preserve">N40, N69, </t>
  </si>
  <si>
    <t xml:space="preserve">N41, N70, </t>
  </si>
  <si>
    <t xml:space="preserve">N42, N71, </t>
  </si>
  <si>
    <t xml:space="preserve">N43, </t>
  </si>
  <si>
    <t xml:space="preserve">N45, </t>
  </si>
  <si>
    <t xml:space="preserve">N44, </t>
  </si>
  <si>
    <t xml:space="preserve">N46, </t>
  </si>
  <si>
    <t xml:space="preserve">P21, PB1, PB2, PB3, PB4, </t>
  </si>
  <si>
    <t xml:space="preserve">P22, </t>
  </si>
  <si>
    <t xml:space="preserve">P23, PL3, PL7, PM1, </t>
  </si>
  <si>
    <t xml:space="preserve">P24, PL4, PL8, PM2, </t>
  </si>
  <si>
    <t xml:space="preserve">P25, PL5, PL9, PM3, </t>
  </si>
  <si>
    <t xml:space="preserve">P26, PL6, PL0, PM4, </t>
  </si>
  <si>
    <t xml:space="preserve">P27, </t>
  </si>
  <si>
    <t xml:space="preserve">P28, </t>
  </si>
  <si>
    <t xml:space="preserve">P29, </t>
  </si>
  <si>
    <t xml:space="preserve">P30, </t>
  </si>
  <si>
    <t xml:space="preserve">P31, </t>
  </si>
  <si>
    <t xml:space="preserve">P32, </t>
  </si>
  <si>
    <t xml:space="preserve">P33, </t>
  </si>
  <si>
    <t xml:space="preserve">P34, </t>
  </si>
  <si>
    <t xml:space="preserve">P35, </t>
  </si>
  <si>
    <t xml:space="preserve">P36, </t>
  </si>
  <si>
    <t xml:space="preserve">P37, </t>
  </si>
  <si>
    <t xml:space="preserve">P38, </t>
  </si>
  <si>
    <t xml:space="preserve">P39, </t>
  </si>
  <si>
    <t xml:space="preserve">P40, </t>
  </si>
  <si>
    <t xml:space="preserve">P41, </t>
  </si>
  <si>
    <t xml:space="preserve">P42, </t>
  </si>
  <si>
    <t xml:space="preserve">P43, </t>
  </si>
  <si>
    <t xml:space="preserve">P45, </t>
  </si>
  <si>
    <t xml:space="preserve">P44, </t>
  </si>
  <si>
    <t xml:space="preserve">P46, </t>
  </si>
  <si>
    <t>AX4.</t>
  </si>
  <si>
    <t>DZ1.</t>
  </si>
  <si>
    <t>A00</t>
  </si>
  <si>
    <t>A01</t>
  </si>
  <si>
    <t>A02</t>
  </si>
  <si>
    <t>A03</t>
  </si>
  <si>
    <t>A04</t>
  </si>
  <si>
    <t>A05</t>
  </si>
  <si>
    <t>A07</t>
  </si>
  <si>
    <t>A08</t>
  </si>
  <si>
    <t>A09</t>
  </si>
  <si>
    <t>A10</t>
  </si>
  <si>
    <t>A22</t>
  </si>
  <si>
    <t>A23</t>
  </si>
  <si>
    <t>A24</t>
  </si>
  <si>
    <t>A25</t>
  </si>
  <si>
    <t>A26</t>
  </si>
  <si>
    <t>A28</t>
  </si>
  <si>
    <t>A29</t>
  </si>
  <si>
    <t>A30</t>
  </si>
  <si>
    <t>A31</t>
  </si>
  <si>
    <t>A33</t>
  </si>
  <si>
    <t>A34</t>
  </si>
  <si>
    <t>A35</t>
  </si>
  <si>
    <t>A36</t>
  </si>
  <si>
    <t>A38</t>
  </si>
  <si>
    <t>A39</t>
  </si>
  <si>
    <t>A40</t>
  </si>
  <si>
    <t>A41</t>
  </si>
  <si>
    <t>A51</t>
  </si>
  <si>
    <t>A52</t>
  </si>
  <si>
    <t>A53</t>
  </si>
  <si>
    <t>A54</t>
  </si>
  <si>
    <t>A55</t>
  </si>
  <si>
    <t>A57</t>
  </si>
  <si>
    <t>A58</t>
  </si>
  <si>
    <t>A59</t>
  </si>
  <si>
    <t>A60</t>
  </si>
  <si>
    <t>A62</t>
  </si>
  <si>
    <t>A63</t>
  </si>
  <si>
    <t>A64</t>
  </si>
  <si>
    <t>A65</t>
  </si>
  <si>
    <t>A67</t>
  </si>
  <si>
    <t>A68</t>
  </si>
  <si>
    <t>A69</t>
  </si>
  <si>
    <t>A70</t>
  </si>
  <si>
    <t>A80</t>
  </si>
  <si>
    <t>A81</t>
  </si>
  <si>
    <t>A82</t>
  </si>
  <si>
    <t>A83</t>
  </si>
  <si>
    <t>A84</t>
  </si>
  <si>
    <t>A86</t>
  </si>
  <si>
    <t>A87</t>
  </si>
  <si>
    <t>A88</t>
  </si>
  <si>
    <t>A89</t>
  </si>
  <si>
    <t>A91</t>
  </si>
  <si>
    <t>A92</t>
  </si>
  <si>
    <t>A93</t>
  </si>
  <si>
    <t>A94</t>
  </si>
  <si>
    <t>A96</t>
  </si>
  <si>
    <t>A97</t>
  </si>
  <si>
    <t>A98</t>
  </si>
  <si>
    <t>B00</t>
  </si>
  <si>
    <t>B01</t>
  </si>
  <si>
    <t>B02</t>
  </si>
  <si>
    <t>B03</t>
  </si>
  <si>
    <t>B04</t>
  </si>
  <si>
    <t>B05</t>
  </si>
  <si>
    <t>B07</t>
  </si>
  <si>
    <t>B08</t>
  </si>
  <si>
    <t>B09</t>
  </si>
  <si>
    <t>B10</t>
  </si>
  <si>
    <t>B22</t>
  </si>
  <si>
    <t>B23</t>
  </si>
  <si>
    <t>B24</t>
  </si>
  <si>
    <t>B25</t>
  </si>
  <si>
    <t>B26</t>
  </si>
  <si>
    <t>B28</t>
  </si>
  <si>
    <t>B29</t>
  </si>
  <si>
    <t>B30</t>
  </si>
  <si>
    <t>B31</t>
  </si>
  <si>
    <t>B33</t>
  </si>
  <si>
    <t>B34</t>
  </si>
  <si>
    <t>B35</t>
  </si>
  <si>
    <t>B36</t>
  </si>
  <si>
    <t>B38</t>
  </si>
  <si>
    <t>B39</t>
  </si>
  <si>
    <t>B40</t>
  </si>
  <si>
    <t>B41</t>
  </si>
  <si>
    <t>B51</t>
  </si>
  <si>
    <t>B52</t>
  </si>
  <si>
    <t>B53</t>
  </si>
  <si>
    <t>B54</t>
  </si>
  <si>
    <t>B55</t>
  </si>
  <si>
    <t>B57</t>
  </si>
  <si>
    <t>B58</t>
  </si>
  <si>
    <t>B59</t>
  </si>
  <si>
    <t>B60</t>
  </si>
  <si>
    <t>B62</t>
  </si>
  <si>
    <t>B63</t>
  </si>
  <si>
    <t>B64</t>
  </si>
  <si>
    <t>B65</t>
  </si>
  <si>
    <t>B67</t>
  </si>
  <si>
    <t>B68</t>
  </si>
  <si>
    <t>B69</t>
  </si>
  <si>
    <t>B70</t>
  </si>
  <si>
    <t>B80</t>
  </si>
  <si>
    <t>B81</t>
  </si>
  <si>
    <t>B82</t>
  </si>
  <si>
    <t>B83</t>
  </si>
  <si>
    <t>B84</t>
  </si>
  <si>
    <t>B86</t>
  </si>
  <si>
    <t>B87</t>
  </si>
  <si>
    <t>B88</t>
  </si>
  <si>
    <t>B89</t>
  </si>
  <si>
    <t>B91</t>
  </si>
  <si>
    <t>B92</t>
  </si>
  <si>
    <t>B93</t>
  </si>
  <si>
    <t>B94</t>
  </si>
  <si>
    <t>B96</t>
  </si>
  <si>
    <t>B97</t>
  </si>
  <si>
    <t>B98</t>
  </si>
  <si>
    <t>C00</t>
  </si>
  <si>
    <t>C01</t>
  </si>
  <si>
    <t>C02</t>
  </si>
  <si>
    <t>C03</t>
  </si>
  <si>
    <t>C04</t>
  </si>
  <si>
    <t>C05</t>
  </si>
  <si>
    <t>C07</t>
  </si>
  <si>
    <t>C08</t>
  </si>
  <si>
    <t>C09</t>
  </si>
  <si>
    <t>C10</t>
  </si>
  <si>
    <t>C22</t>
  </si>
  <si>
    <t>C23</t>
  </si>
  <si>
    <t>C24</t>
  </si>
  <si>
    <t>C25</t>
  </si>
  <si>
    <t>C26</t>
  </si>
  <si>
    <t>C28</t>
  </si>
  <si>
    <t>C29</t>
  </si>
  <si>
    <t>C30</t>
  </si>
  <si>
    <t>C31</t>
  </si>
  <si>
    <t>C33</t>
  </si>
  <si>
    <t>C34</t>
  </si>
  <si>
    <t>C35</t>
  </si>
  <si>
    <t>C36</t>
  </si>
  <si>
    <t>C38</t>
  </si>
  <si>
    <t>C39</t>
  </si>
  <si>
    <t>C40</t>
  </si>
  <si>
    <t>C41</t>
  </si>
  <si>
    <t>C51</t>
  </si>
  <si>
    <t>C52</t>
  </si>
  <si>
    <t>C53</t>
  </si>
  <si>
    <t>C54</t>
  </si>
  <si>
    <t>C55</t>
  </si>
  <si>
    <t>C57</t>
  </si>
  <si>
    <t>C58</t>
  </si>
  <si>
    <t>C59</t>
  </si>
  <si>
    <t>C60</t>
  </si>
  <si>
    <t>C62</t>
  </si>
  <si>
    <t>C63</t>
  </si>
  <si>
    <t>C64</t>
  </si>
  <si>
    <t>C65</t>
  </si>
  <si>
    <t>C67</t>
  </si>
  <si>
    <t>C68</t>
  </si>
  <si>
    <t>C69</t>
  </si>
  <si>
    <t>C70</t>
  </si>
  <si>
    <t>C80</t>
  </si>
  <si>
    <t>C81</t>
  </si>
  <si>
    <t>C82</t>
  </si>
  <si>
    <t>C83</t>
  </si>
  <si>
    <t>C84</t>
  </si>
  <si>
    <t>C86</t>
  </si>
  <si>
    <t>C87</t>
  </si>
  <si>
    <t>C88</t>
  </si>
  <si>
    <t>C89</t>
  </si>
  <si>
    <t>C91</t>
  </si>
  <si>
    <t>C92</t>
  </si>
  <si>
    <t>C93</t>
  </si>
  <si>
    <t>C94</t>
  </si>
  <si>
    <t>C96</t>
  </si>
  <si>
    <t>C97</t>
  </si>
  <si>
    <t>C98</t>
  </si>
  <si>
    <t>D00</t>
  </si>
  <si>
    <t>D01</t>
  </si>
  <si>
    <t>D02</t>
  </si>
  <si>
    <t>D03</t>
  </si>
  <si>
    <t>D04</t>
  </si>
  <si>
    <t>D05</t>
  </si>
  <si>
    <t>D07</t>
  </si>
  <si>
    <t>D08</t>
  </si>
  <si>
    <t>D09</t>
  </si>
  <si>
    <t>D10</t>
  </si>
  <si>
    <t>D22</t>
  </si>
  <si>
    <t>D23</t>
  </si>
  <si>
    <t>D24</t>
  </si>
  <si>
    <t>D25</t>
  </si>
  <si>
    <t>D26</t>
  </si>
  <si>
    <t>D28</t>
  </si>
  <si>
    <t>D29</t>
  </si>
  <si>
    <t>D30</t>
  </si>
  <si>
    <t>D31</t>
  </si>
  <si>
    <t>D33</t>
  </si>
  <si>
    <t>D34</t>
  </si>
  <si>
    <t>D35</t>
  </si>
  <si>
    <t>D36</t>
  </si>
  <si>
    <t>D38</t>
  </si>
  <si>
    <t>D39</t>
  </si>
  <si>
    <t>D40</t>
  </si>
  <si>
    <t>D41</t>
  </si>
  <si>
    <t>D51</t>
  </si>
  <si>
    <t>D52</t>
  </si>
  <si>
    <t>D53</t>
  </si>
  <si>
    <t>D54</t>
  </si>
  <si>
    <t>D55</t>
  </si>
  <si>
    <t>D57</t>
  </si>
  <si>
    <t>D58</t>
  </si>
  <si>
    <t>D59</t>
  </si>
  <si>
    <t>D60</t>
  </si>
  <si>
    <t>D62</t>
  </si>
  <si>
    <t>D63</t>
  </si>
  <si>
    <t>D64</t>
  </si>
  <si>
    <t>D65</t>
  </si>
  <si>
    <t>D67</t>
  </si>
  <si>
    <t>D68</t>
  </si>
  <si>
    <t>D69</t>
  </si>
  <si>
    <t>D70</t>
  </si>
  <si>
    <t>D80</t>
  </si>
  <si>
    <t>D81</t>
  </si>
  <si>
    <t>D82</t>
  </si>
  <si>
    <t>D83</t>
  </si>
  <si>
    <t>D84</t>
  </si>
  <si>
    <t>D86</t>
  </si>
  <si>
    <t>D87</t>
  </si>
  <si>
    <t>D88</t>
  </si>
  <si>
    <t>D89</t>
  </si>
  <si>
    <t>D91</t>
  </si>
  <si>
    <t>D92</t>
  </si>
  <si>
    <t>D93</t>
  </si>
  <si>
    <t>D94</t>
  </si>
  <si>
    <t>D96</t>
  </si>
  <si>
    <t>D97</t>
  </si>
  <si>
    <t>D98</t>
  </si>
  <si>
    <t>E00</t>
  </si>
  <si>
    <t>E01</t>
  </si>
  <si>
    <t>E02</t>
  </si>
  <si>
    <t>E03</t>
  </si>
  <si>
    <t>E04</t>
  </si>
  <si>
    <t>E05</t>
  </si>
  <si>
    <t>E07</t>
  </si>
  <si>
    <t>E08</t>
  </si>
  <si>
    <t>E09</t>
  </si>
  <si>
    <t>E10</t>
  </si>
  <si>
    <t>E22</t>
  </si>
  <si>
    <t>E23</t>
  </si>
  <si>
    <t>E24</t>
  </si>
  <si>
    <t>E25</t>
  </si>
  <si>
    <t>E26</t>
  </si>
  <si>
    <t>E28</t>
  </si>
  <si>
    <t>E29</t>
  </si>
  <si>
    <t>E30</t>
  </si>
  <si>
    <t>E31</t>
  </si>
  <si>
    <t>E33</t>
  </si>
  <si>
    <t>E34</t>
  </si>
  <si>
    <t>E35</t>
  </si>
  <si>
    <t>E36</t>
  </si>
  <si>
    <t>E38</t>
  </si>
  <si>
    <t>E39</t>
  </si>
  <si>
    <t>E40</t>
  </si>
  <si>
    <t>E41</t>
  </si>
  <si>
    <t>E51</t>
  </si>
  <si>
    <t>E52</t>
  </si>
  <si>
    <t>E53</t>
  </si>
  <si>
    <t>E54</t>
  </si>
  <si>
    <t>E55</t>
  </si>
  <si>
    <t>E57</t>
  </si>
  <si>
    <t>E58</t>
  </si>
  <si>
    <t>E59</t>
  </si>
  <si>
    <t>E60</t>
  </si>
  <si>
    <t>E62</t>
  </si>
  <si>
    <t>E63</t>
  </si>
  <si>
    <t>E64</t>
  </si>
  <si>
    <t>E65</t>
  </si>
  <si>
    <t>E67</t>
  </si>
  <si>
    <t>E68</t>
  </si>
  <si>
    <t>E69</t>
  </si>
  <si>
    <t>E70</t>
  </si>
  <si>
    <t>E80</t>
  </si>
  <si>
    <t>E81</t>
  </si>
  <si>
    <t>E82</t>
  </si>
  <si>
    <t>E83</t>
  </si>
  <si>
    <t>E84</t>
  </si>
  <si>
    <t>E86</t>
  </si>
  <si>
    <t>E87</t>
  </si>
  <si>
    <t>E88</t>
  </si>
  <si>
    <t>E89</t>
  </si>
  <si>
    <t>E91</t>
  </si>
  <si>
    <t>E92</t>
  </si>
  <si>
    <t>E93</t>
  </si>
  <si>
    <t>E94</t>
  </si>
  <si>
    <t>E96</t>
  </si>
  <si>
    <t>E97</t>
  </si>
  <si>
    <t>E98</t>
  </si>
  <si>
    <t>F00</t>
  </si>
  <si>
    <t>F01</t>
  </si>
  <si>
    <t>F02</t>
  </si>
  <si>
    <t>F03</t>
  </si>
  <si>
    <t>F04</t>
  </si>
  <si>
    <t>F05</t>
  </si>
  <si>
    <t>F07</t>
  </si>
  <si>
    <t>F08</t>
  </si>
  <si>
    <t>F09</t>
  </si>
  <si>
    <t>F10</t>
  </si>
  <si>
    <t>F22</t>
  </si>
  <si>
    <t>F23</t>
  </si>
  <si>
    <t>F24</t>
  </si>
  <si>
    <t>F25</t>
  </si>
  <si>
    <t>F26</t>
  </si>
  <si>
    <t>F28</t>
  </si>
  <si>
    <t>F29</t>
  </si>
  <si>
    <t>F30</t>
  </si>
  <si>
    <t>F31</t>
  </si>
  <si>
    <t>F33</t>
  </si>
  <si>
    <t>F34</t>
  </si>
  <si>
    <t>F35</t>
  </si>
  <si>
    <t>F36</t>
  </si>
  <si>
    <t>F38</t>
  </si>
  <si>
    <t>F39</t>
  </si>
  <si>
    <t>F40</t>
  </si>
  <si>
    <t>F41</t>
  </si>
  <si>
    <t>F51</t>
  </si>
  <si>
    <t>F52</t>
  </si>
  <si>
    <t>F53</t>
  </si>
  <si>
    <t>F54</t>
  </si>
  <si>
    <t>F55</t>
  </si>
  <si>
    <t>F57</t>
  </si>
  <si>
    <t>F58</t>
  </si>
  <si>
    <t>F59</t>
  </si>
  <si>
    <t>F60</t>
  </si>
  <si>
    <t>F62</t>
  </si>
  <si>
    <t>F63</t>
  </si>
  <si>
    <t>F64</t>
  </si>
  <si>
    <t>F65</t>
  </si>
  <si>
    <t>F67</t>
  </si>
  <si>
    <t>F68</t>
  </si>
  <si>
    <t>F69</t>
  </si>
  <si>
    <t>F70</t>
  </si>
  <si>
    <t>F80</t>
  </si>
  <si>
    <t>F81</t>
  </si>
  <si>
    <t>F82</t>
  </si>
  <si>
    <t>F83</t>
  </si>
  <si>
    <t>F84</t>
  </si>
  <si>
    <t>F86</t>
  </si>
  <si>
    <t>F87</t>
  </si>
  <si>
    <t>F88</t>
  </si>
  <si>
    <t>F89</t>
  </si>
  <si>
    <t>F91</t>
  </si>
  <si>
    <t>F92</t>
  </si>
  <si>
    <t>F93</t>
  </si>
  <si>
    <t>F94</t>
  </si>
  <si>
    <t>F96</t>
  </si>
  <si>
    <t>F97</t>
  </si>
  <si>
    <t>F98</t>
  </si>
  <si>
    <t>G00</t>
  </si>
  <si>
    <t>G01</t>
  </si>
  <si>
    <t>G02</t>
  </si>
  <si>
    <t>G03</t>
  </si>
  <si>
    <t>G04</t>
  </si>
  <si>
    <t>G05</t>
  </si>
  <si>
    <t>G07</t>
  </si>
  <si>
    <t>G08</t>
  </si>
  <si>
    <t>G09</t>
  </si>
  <si>
    <t>G10</t>
  </si>
  <si>
    <t>G22</t>
  </si>
  <si>
    <t>G23</t>
  </si>
  <si>
    <t>G24</t>
  </si>
  <si>
    <t>G25</t>
  </si>
  <si>
    <t>G26</t>
  </si>
  <si>
    <t>G28</t>
  </si>
  <si>
    <t>G29</t>
  </si>
  <si>
    <t>G30</t>
  </si>
  <si>
    <t>G31</t>
  </si>
  <si>
    <t>G33</t>
  </si>
  <si>
    <t>G34</t>
  </si>
  <si>
    <t>G35</t>
  </si>
  <si>
    <t>G36</t>
  </si>
  <si>
    <t>G38</t>
  </si>
  <si>
    <t>G39</t>
  </si>
  <si>
    <t>G40</t>
  </si>
  <si>
    <t>G41</t>
  </si>
  <si>
    <t>G51</t>
  </si>
  <si>
    <t>G52</t>
  </si>
  <si>
    <t>G53</t>
  </si>
  <si>
    <t>G54</t>
  </si>
  <si>
    <t>G55</t>
  </si>
  <si>
    <t>G57</t>
  </si>
  <si>
    <t>G58</t>
  </si>
  <si>
    <t>G59</t>
  </si>
  <si>
    <t>G60</t>
  </si>
  <si>
    <t>G62</t>
  </si>
  <si>
    <t>G63</t>
  </si>
  <si>
    <t>G64</t>
  </si>
  <si>
    <t>G65</t>
  </si>
  <si>
    <t>G67</t>
  </si>
  <si>
    <t>G68</t>
  </si>
  <si>
    <t>G69</t>
  </si>
  <si>
    <t>G70</t>
  </si>
  <si>
    <t>G80</t>
  </si>
  <si>
    <t>G81</t>
  </si>
  <si>
    <t>G82</t>
  </si>
  <si>
    <t>G83</t>
  </si>
  <si>
    <t>G84</t>
  </si>
  <si>
    <t>G86</t>
  </si>
  <si>
    <t>G87</t>
  </si>
  <si>
    <t>G88</t>
  </si>
  <si>
    <t>G89</t>
  </si>
  <si>
    <t>G91</t>
  </si>
  <si>
    <t>G92</t>
  </si>
  <si>
    <t>G93</t>
  </si>
  <si>
    <t>G94</t>
  </si>
  <si>
    <t>G96</t>
  </si>
  <si>
    <t>G97</t>
  </si>
  <si>
    <t>G98</t>
  </si>
  <si>
    <t>H00</t>
  </si>
  <si>
    <t>H01</t>
  </si>
  <si>
    <t>H02</t>
  </si>
  <si>
    <t>H03</t>
  </si>
  <si>
    <t>H04</t>
  </si>
  <si>
    <t>H05</t>
  </si>
  <si>
    <t>H07</t>
  </si>
  <si>
    <t>H08</t>
  </si>
  <si>
    <t>H09</t>
  </si>
  <si>
    <t>H10</t>
  </si>
  <si>
    <t>H22</t>
  </si>
  <si>
    <t>H23</t>
  </si>
  <si>
    <t>H24</t>
  </si>
  <si>
    <t>H25</t>
  </si>
  <si>
    <t>H26</t>
  </si>
  <si>
    <t>H28</t>
  </si>
  <si>
    <t>H29</t>
  </si>
  <si>
    <t>H30</t>
  </si>
  <si>
    <t>H31</t>
  </si>
  <si>
    <t>H33</t>
  </si>
  <si>
    <t>H34</t>
  </si>
  <si>
    <t>H35</t>
  </si>
  <si>
    <t>H36</t>
  </si>
  <si>
    <t>H38</t>
  </si>
  <si>
    <t>H39</t>
  </si>
  <si>
    <t>H40</t>
  </si>
  <si>
    <t>H41</t>
  </si>
  <si>
    <t>H51</t>
  </si>
  <si>
    <t>H52</t>
  </si>
  <si>
    <t>H53</t>
  </si>
  <si>
    <t>H54</t>
  </si>
  <si>
    <t>H55</t>
  </si>
  <si>
    <t>H57</t>
  </si>
  <si>
    <t>H58</t>
  </si>
  <si>
    <t>H59</t>
  </si>
  <si>
    <t>H60</t>
  </si>
  <si>
    <t>H62</t>
  </si>
  <si>
    <t>H63</t>
  </si>
  <si>
    <t>H64</t>
  </si>
  <si>
    <t>H65</t>
  </si>
  <si>
    <t>H67</t>
  </si>
  <si>
    <t>H68</t>
  </si>
  <si>
    <t>H69</t>
  </si>
  <si>
    <t>H70</t>
  </si>
  <si>
    <t>H80</t>
  </si>
  <si>
    <t>H81</t>
  </si>
  <si>
    <t>H82</t>
  </si>
  <si>
    <t>H83</t>
  </si>
  <si>
    <t>H84</t>
  </si>
  <si>
    <t>H86</t>
  </si>
  <si>
    <t>H87</t>
  </si>
  <si>
    <t>H88</t>
  </si>
  <si>
    <t>H89</t>
  </si>
  <si>
    <t>H91</t>
  </si>
  <si>
    <t>H92</t>
  </si>
  <si>
    <t>H93</t>
  </si>
  <si>
    <t>H94</t>
  </si>
  <si>
    <t>H96</t>
  </si>
  <si>
    <t>H97</t>
  </si>
  <si>
    <t>H98</t>
  </si>
  <si>
    <t>J00</t>
  </si>
  <si>
    <t>J01</t>
  </si>
  <si>
    <t>J02</t>
  </si>
  <si>
    <t>J03</t>
  </si>
  <si>
    <t>J04</t>
  </si>
  <si>
    <t>J05</t>
  </si>
  <si>
    <t>J07</t>
  </si>
  <si>
    <t>J08</t>
  </si>
  <si>
    <t>J09</t>
  </si>
  <si>
    <t>J10</t>
  </si>
  <si>
    <t>J22</t>
  </si>
  <si>
    <t>J23</t>
  </si>
  <si>
    <t>J24</t>
  </si>
  <si>
    <t>J25</t>
  </si>
  <si>
    <t>J26</t>
  </si>
  <si>
    <t>J28</t>
  </si>
  <si>
    <t>J29</t>
  </si>
  <si>
    <t>J30</t>
  </si>
  <si>
    <t>J31</t>
  </si>
  <si>
    <t>J33</t>
  </si>
  <si>
    <t>J34</t>
  </si>
  <si>
    <t>J35</t>
  </si>
  <si>
    <t>J36</t>
  </si>
  <si>
    <t>J38</t>
  </si>
  <si>
    <t>J39</t>
  </si>
  <si>
    <t>J40</t>
  </si>
  <si>
    <t>J41</t>
  </si>
  <si>
    <t>J51</t>
  </si>
  <si>
    <t>J52</t>
  </si>
  <si>
    <t>J53</t>
  </si>
  <si>
    <t>J54</t>
  </si>
  <si>
    <t>J55</t>
  </si>
  <si>
    <t>J57</t>
  </si>
  <si>
    <t>J58</t>
  </si>
  <si>
    <t>J59</t>
  </si>
  <si>
    <t>J60</t>
  </si>
  <si>
    <t>J62</t>
  </si>
  <si>
    <t>J63</t>
  </si>
  <si>
    <t>J64</t>
  </si>
  <si>
    <t>J65</t>
  </si>
  <si>
    <t>J67</t>
  </si>
  <si>
    <t>J68</t>
  </si>
  <si>
    <t>J69</t>
  </si>
  <si>
    <t>J70</t>
  </si>
  <si>
    <t>J80</t>
  </si>
  <si>
    <t>J81</t>
  </si>
  <si>
    <t>J82</t>
  </si>
  <si>
    <t>J83</t>
  </si>
  <si>
    <t>J84</t>
  </si>
  <si>
    <t>J86</t>
  </si>
  <si>
    <t>J87</t>
  </si>
  <si>
    <t>J88</t>
  </si>
  <si>
    <t>J89</t>
  </si>
  <si>
    <t>J91</t>
  </si>
  <si>
    <t>J92</t>
  </si>
  <si>
    <t>J93</t>
  </si>
  <si>
    <t>J94</t>
  </si>
  <si>
    <t>J96</t>
  </si>
  <si>
    <t>J97</t>
  </si>
  <si>
    <t>J98</t>
  </si>
  <si>
    <t>K00</t>
  </si>
  <si>
    <t>K01</t>
  </si>
  <si>
    <t>K02</t>
  </si>
  <si>
    <t>K03</t>
  </si>
  <si>
    <t>K04</t>
  </si>
  <si>
    <t>K05</t>
  </si>
  <si>
    <t>K07</t>
  </si>
  <si>
    <t>K08</t>
  </si>
  <si>
    <t>K09</t>
  </si>
  <si>
    <t>K10</t>
  </si>
  <si>
    <t>K22</t>
  </si>
  <si>
    <t>K23</t>
  </si>
  <si>
    <t>K24</t>
  </si>
  <si>
    <t>K25</t>
  </si>
  <si>
    <t>K26</t>
  </si>
  <si>
    <t>K28</t>
  </si>
  <si>
    <t>K29</t>
  </si>
  <si>
    <t>K30</t>
  </si>
  <si>
    <t>K31</t>
  </si>
  <si>
    <t>K33</t>
  </si>
  <si>
    <t>K34</t>
  </si>
  <si>
    <t>K35</t>
  </si>
  <si>
    <t>K36</t>
  </si>
  <si>
    <t>K38</t>
  </si>
  <si>
    <t>K39</t>
  </si>
  <si>
    <t>K40</t>
  </si>
  <si>
    <t>K41</t>
  </si>
  <si>
    <t>K51</t>
  </si>
  <si>
    <t>K52</t>
  </si>
  <si>
    <t>K53</t>
  </si>
  <si>
    <t>K54</t>
  </si>
  <si>
    <t>K55</t>
  </si>
  <si>
    <t>K57</t>
  </si>
  <si>
    <t>K58</t>
  </si>
  <si>
    <t>K59</t>
  </si>
  <si>
    <t>K60</t>
  </si>
  <si>
    <t>K62</t>
  </si>
  <si>
    <t>K63</t>
  </si>
  <si>
    <t>K64</t>
  </si>
  <si>
    <t>K65</t>
  </si>
  <si>
    <t>K67</t>
  </si>
  <si>
    <t>K68</t>
  </si>
  <si>
    <t>K69</t>
  </si>
  <si>
    <t>K70</t>
  </si>
  <si>
    <t>K80</t>
  </si>
  <si>
    <t>K81</t>
  </si>
  <si>
    <t>K82</t>
  </si>
  <si>
    <t>K83</t>
  </si>
  <si>
    <t>K84</t>
  </si>
  <si>
    <t>K86</t>
  </si>
  <si>
    <t>K87</t>
  </si>
  <si>
    <t>K88</t>
  </si>
  <si>
    <t>K89</t>
  </si>
  <si>
    <t>K91</t>
  </si>
  <si>
    <t>K92</t>
  </si>
  <si>
    <t>K93</t>
  </si>
  <si>
    <t>K94</t>
  </si>
  <si>
    <t>K96</t>
  </si>
  <si>
    <t>K97</t>
  </si>
  <si>
    <t>K98</t>
  </si>
  <si>
    <t>L00</t>
  </si>
  <si>
    <t>L01</t>
  </si>
  <si>
    <t>L02</t>
  </si>
  <si>
    <t>L03</t>
  </si>
  <si>
    <t>L04</t>
  </si>
  <si>
    <t>L05</t>
  </si>
  <si>
    <t>L07</t>
  </si>
  <si>
    <t>L08</t>
  </si>
  <si>
    <t>L09</t>
  </si>
  <si>
    <t>L10</t>
  </si>
  <si>
    <t>L22</t>
  </si>
  <si>
    <t>L23</t>
  </si>
  <si>
    <t>L24</t>
  </si>
  <si>
    <t>L25</t>
  </si>
  <si>
    <t>L26</t>
  </si>
  <si>
    <t>L28</t>
  </si>
  <si>
    <t>L29</t>
  </si>
  <si>
    <t>L30</t>
  </si>
  <si>
    <t>L31</t>
  </si>
  <si>
    <t>L33</t>
  </si>
  <si>
    <t>L34</t>
  </si>
  <si>
    <t>L35</t>
  </si>
  <si>
    <t>L36</t>
  </si>
  <si>
    <t>L38</t>
  </si>
  <si>
    <t>L39</t>
  </si>
  <si>
    <t>L40</t>
  </si>
  <si>
    <t>L41</t>
  </si>
  <si>
    <t>L51</t>
  </si>
  <si>
    <t>L52</t>
  </si>
  <si>
    <t>L53</t>
  </si>
  <si>
    <t>L54</t>
  </si>
  <si>
    <t>L55</t>
  </si>
  <si>
    <t>L57</t>
  </si>
  <si>
    <t>L58</t>
  </si>
  <si>
    <t>L59</t>
  </si>
  <si>
    <t>L60</t>
  </si>
  <si>
    <t>L62</t>
  </si>
  <si>
    <t>L63</t>
  </si>
  <si>
    <t>L64</t>
  </si>
  <si>
    <t>L65</t>
  </si>
  <si>
    <t>L67</t>
  </si>
  <si>
    <t>L68</t>
  </si>
  <si>
    <t>L69</t>
  </si>
  <si>
    <t>L70</t>
  </si>
  <si>
    <t>L80</t>
  </si>
  <si>
    <t>L81</t>
  </si>
  <si>
    <t>L82</t>
  </si>
  <si>
    <t>L83</t>
  </si>
  <si>
    <t>L84</t>
  </si>
  <si>
    <t>L86</t>
  </si>
  <si>
    <t>L87</t>
  </si>
  <si>
    <t>L88</t>
  </si>
  <si>
    <t>L89</t>
  </si>
  <si>
    <t>L91</t>
  </si>
  <si>
    <t>L92</t>
  </si>
  <si>
    <t>L93</t>
  </si>
  <si>
    <t>L94</t>
  </si>
  <si>
    <t>L96</t>
  </si>
  <si>
    <t>L97</t>
  </si>
  <si>
    <t>L98</t>
  </si>
  <si>
    <t>M00</t>
  </si>
  <si>
    <t>M01</t>
  </si>
  <si>
    <t>M02</t>
  </si>
  <si>
    <t>M03</t>
  </si>
  <si>
    <t>M04</t>
  </si>
  <si>
    <t>M05</t>
  </si>
  <si>
    <t>M07</t>
  </si>
  <si>
    <t>M08</t>
  </si>
  <si>
    <t>M09</t>
  </si>
  <si>
    <t>M10</t>
  </si>
  <si>
    <t>M22</t>
  </si>
  <si>
    <t>M23</t>
  </si>
  <si>
    <t>M24</t>
  </si>
  <si>
    <t>M25</t>
  </si>
  <si>
    <t>M26</t>
  </si>
  <si>
    <t>M28</t>
  </si>
  <si>
    <t>M29</t>
  </si>
  <si>
    <t>M30</t>
  </si>
  <si>
    <t>M31</t>
  </si>
  <si>
    <t>M33</t>
  </si>
  <si>
    <t>M34</t>
  </si>
  <si>
    <t>M35</t>
  </si>
  <si>
    <t>M36</t>
  </si>
  <si>
    <t>M38</t>
  </si>
  <si>
    <t>M39</t>
  </si>
  <si>
    <t>M40</t>
  </si>
  <si>
    <t>M41</t>
  </si>
  <si>
    <t>M51</t>
  </si>
  <si>
    <t>M52</t>
  </si>
  <si>
    <t>M53</t>
  </si>
  <si>
    <t>M54</t>
  </si>
  <si>
    <t>M55</t>
  </si>
  <si>
    <t>M57</t>
  </si>
  <si>
    <t>M58</t>
  </si>
  <si>
    <t>M59</t>
  </si>
  <si>
    <t>M60</t>
  </si>
  <si>
    <t>M62</t>
  </si>
  <si>
    <t>M63</t>
  </si>
  <si>
    <t>M64</t>
  </si>
  <si>
    <t>M65</t>
  </si>
  <si>
    <t>M67</t>
  </si>
  <si>
    <t>M68</t>
  </si>
  <si>
    <t>M69</t>
  </si>
  <si>
    <t>M70</t>
  </si>
  <si>
    <t>M80</t>
  </si>
  <si>
    <t>M81</t>
  </si>
  <si>
    <t>M82</t>
  </si>
  <si>
    <t>M83</t>
  </si>
  <si>
    <t>M84</t>
  </si>
  <si>
    <t>M86</t>
  </si>
  <si>
    <t>M87</t>
  </si>
  <si>
    <t>M88</t>
  </si>
  <si>
    <t>M89</t>
  </si>
  <si>
    <t>M91</t>
  </si>
  <si>
    <t>M92</t>
  </si>
  <si>
    <t>M93</t>
  </si>
  <si>
    <t>M94</t>
  </si>
  <si>
    <t>M96</t>
  </si>
  <si>
    <t>M97</t>
  </si>
  <si>
    <t>M98</t>
  </si>
  <si>
    <t>N00</t>
  </si>
  <si>
    <t>N01</t>
  </si>
  <si>
    <t>N02</t>
  </si>
  <si>
    <t>N03</t>
  </si>
  <si>
    <t>N04</t>
  </si>
  <si>
    <t>N05</t>
  </si>
  <si>
    <t>N07</t>
  </si>
  <si>
    <t>N08</t>
  </si>
  <si>
    <t>N09</t>
  </si>
  <si>
    <t>N10</t>
  </si>
  <si>
    <t>N22</t>
  </si>
  <si>
    <t>N23</t>
  </si>
  <si>
    <t>N24</t>
  </si>
  <si>
    <t>N25</t>
  </si>
  <si>
    <t>N26</t>
  </si>
  <si>
    <t>N28</t>
  </si>
  <si>
    <t>N29</t>
  </si>
  <si>
    <t>N30</t>
  </si>
  <si>
    <t>N31</t>
  </si>
  <si>
    <t>N33</t>
  </si>
  <si>
    <t>N34</t>
  </si>
  <si>
    <t>N35</t>
  </si>
  <si>
    <t>N36</t>
  </si>
  <si>
    <t>N38</t>
  </si>
  <si>
    <t>N39</t>
  </si>
  <si>
    <t>N40</t>
  </si>
  <si>
    <t>N41</t>
  </si>
  <si>
    <t>N51</t>
  </si>
  <si>
    <t>N52</t>
  </si>
  <si>
    <t>N53</t>
  </si>
  <si>
    <t>N54</t>
  </si>
  <si>
    <t>N55</t>
  </si>
  <si>
    <t>N57</t>
  </si>
  <si>
    <t>N58</t>
  </si>
  <si>
    <t>N59</t>
  </si>
  <si>
    <t>N60</t>
  </si>
  <si>
    <t>N62</t>
  </si>
  <si>
    <t>N63</t>
  </si>
  <si>
    <t>N64</t>
  </si>
  <si>
    <t>N65</t>
  </si>
  <si>
    <t>N67</t>
  </si>
  <si>
    <t>N68</t>
  </si>
  <si>
    <t>N69</t>
  </si>
  <si>
    <t>N70</t>
  </si>
  <si>
    <t>N80</t>
  </si>
  <si>
    <t>N81</t>
  </si>
  <si>
    <t>N82</t>
  </si>
  <si>
    <t>N83</t>
  </si>
  <si>
    <t>N84</t>
  </si>
  <si>
    <t>N86</t>
  </si>
  <si>
    <t>N87</t>
  </si>
  <si>
    <t>N88</t>
  </si>
  <si>
    <t>N89</t>
  </si>
  <si>
    <t>N91</t>
  </si>
  <si>
    <t>N92</t>
  </si>
  <si>
    <t>N93</t>
  </si>
  <si>
    <t>N94</t>
  </si>
  <si>
    <t>N96</t>
  </si>
  <si>
    <t>N97</t>
  </si>
  <si>
    <t>N98</t>
  </si>
  <si>
    <t>P00</t>
  </si>
  <si>
    <t>P01</t>
  </si>
  <si>
    <t>P02</t>
  </si>
  <si>
    <t>P03</t>
  </si>
  <si>
    <t>P04</t>
  </si>
  <si>
    <t>P05</t>
  </si>
  <si>
    <t>P07</t>
  </si>
  <si>
    <t>P08</t>
  </si>
  <si>
    <t>P09</t>
  </si>
  <si>
    <t>P10</t>
  </si>
  <si>
    <t>P22</t>
  </si>
  <si>
    <t>P23</t>
  </si>
  <si>
    <t>P24</t>
  </si>
  <si>
    <t>P25</t>
  </si>
  <si>
    <t>P26</t>
  </si>
  <si>
    <t>P28</t>
  </si>
  <si>
    <t>P29</t>
  </si>
  <si>
    <t>P30</t>
  </si>
  <si>
    <t>P31</t>
  </si>
  <si>
    <t>P33</t>
  </si>
  <si>
    <t>P34</t>
  </si>
  <si>
    <t>P35</t>
  </si>
  <si>
    <t>P36</t>
  </si>
  <si>
    <t>P38</t>
  </si>
  <si>
    <t>P39</t>
  </si>
  <si>
    <t>P40</t>
  </si>
  <si>
    <t>P41</t>
  </si>
  <si>
    <t>P51</t>
  </si>
  <si>
    <t>P52</t>
  </si>
  <si>
    <t>P53</t>
  </si>
  <si>
    <t>P54</t>
  </si>
  <si>
    <t>P55</t>
  </si>
  <si>
    <t>P57</t>
  </si>
  <si>
    <t>P58</t>
  </si>
  <si>
    <t>P59</t>
  </si>
  <si>
    <t>P60</t>
  </si>
  <si>
    <t>P62</t>
  </si>
  <si>
    <t>P63</t>
  </si>
  <si>
    <t>P64</t>
  </si>
  <si>
    <t>P65</t>
  </si>
  <si>
    <t>P67</t>
  </si>
  <si>
    <t>P68</t>
  </si>
  <si>
    <t>P69</t>
  </si>
  <si>
    <t>P70</t>
  </si>
  <si>
    <t>P80</t>
  </si>
  <si>
    <t>P81</t>
  </si>
  <si>
    <t>P82</t>
  </si>
  <si>
    <t>P83</t>
  </si>
  <si>
    <t>P84</t>
  </si>
  <si>
    <t>P86</t>
  </si>
  <si>
    <t>P87</t>
  </si>
  <si>
    <t>P88</t>
  </si>
  <si>
    <t>P89</t>
  </si>
  <si>
    <t>P91</t>
  </si>
  <si>
    <t>P92</t>
  </si>
  <si>
    <t>P93</t>
  </si>
  <si>
    <t>P94</t>
  </si>
  <si>
    <t>P96</t>
  </si>
  <si>
    <t>P97</t>
  </si>
  <si>
    <t>P98</t>
  </si>
  <si>
    <t>07:30 to 16:00
19:00 to 21:00</t>
  </si>
  <si>
    <t>00:00 to 07:30
21:00 to 24:00</t>
  </si>
  <si>
    <t>Monday to Friday 
(Including Bank Holidays)
Nov to Feb Inclusive</t>
  </si>
  <si>
    <t>00:00 to 24:00</t>
  </si>
  <si>
    <t>Monday to Friday 
(Including Bank Holidays)
Mar to Oct Inclusive</t>
  </si>
  <si>
    <t>07:30 to 21:00</t>
  </si>
  <si>
    <t>Saturday and Sunday
All year</t>
  </si>
  <si>
    <t>2</t>
  </si>
  <si>
    <t>4</t>
  </si>
  <si>
    <t>(Name 1)</t>
  </si>
  <si>
    <t>(Name 2)</t>
  </si>
  <si>
    <t>(Name 3)</t>
  </si>
  <si>
    <t>(Name 4)</t>
  </si>
  <si>
    <t>Monday to Friday 
Mar to Oct</t>
  </si>
  <si>
    <t>00:30 – 07:30</t>
  </si>
  <si>
    <t>07:30 – 00:30</t>
  </si>
  <si>
    <t>Monday to Friday 
Nov to Feb</t>
  </si>
  <si>
    <t>16:00 – 19:00</t>
  </si>
  <si>
    <t>07:30 – 16:00
19:00 – 20:00</t>
  </si>
  <si>
    <t>20:00 – 00:30</t>
  </si>
  <si>
    <t>11:00 - 14:00
16:00 - 19:00</t>
  </si>
  <si>
    <t>07:00 - 11:00
14:00 - 16:00
19:00 - 23:00</t>
  </si>
  <si>
    <t>07:00 - 11:00
14:00 - 23:00</t>
  </si>
  <si>
    <t>Monday to Friday 
(Including Bank Holidays)
March, April, May and September, October</t>
  </si>
  <si>
    <t>16.30 - 19.30</t>
  </si>
  <si>
    <t>08.00 - 16.30
19.30 - 22.30</t>
  </si>
  <si>
    <t>00.00 - 08.00
22.30 - 00.00</t>
  </si>
  <si>
    <t>08.00 - 22.30</t>
  </si>
  <si>
    <t>16.00 - 20.00</t>
  </si>
  <si>
    <t>00.00 - 16.00
20.00 - 00.00</t>
  </si>
  <si>
    <t>`</t>
  </si>
  <si>
    <t>00:00-16:00
20:00-00:00</t>
  </si>
  <si>
    <t>Monday to Friday 
March to October</t>
  </si>
  <si>
    <t>23:30 – 07:30</t>
  </si>
  <si>
    <t>07:30 – 23:30</t>
  </si>
  <si>
    <t>20:00 – 23:30</t>
  </si>
  <si>
    <t>07:30 – 16:00
19:00 – 20:00</t>
  </si>
  <si>
    <t>16:00 to 19:30</t>
  </si>
  <si>
    <t>08:00 to 16:00
19:30 to 22:00</t>
  </si>
  <si>
    <t>00:00 to 08:00
22:00 to 24:00</t>
  </si>
  <si>
    <t>Monday to Friday 
(Including Bank Holidays)
April to October Inclusive and March</t>
  </si>
  <si>
    <t>08:00 to 22:00</t>
  </si>
  <si>
    <t>0, 1, 8</t>
  </si>
  <si>
    <t>09:00 to 16:00
19:00 to 20:30</t>
  </si>
  <si>
    <t>00.00 - 09.00
20.30 - 24.00</t>
  </si>
  <si>
    <t>09.00 - 20.30</t>
  </si>
  <si>
    <t>00.00 - 16.00
19.00 - 24.00</t>
  </si>
  <si>
    <t>09:00 - 16.00
19.00 - 20.30</t>
  </si>
  <si>
    <t>0, 1 or 2</t>
  </si>
  <si>
    <t>0, 3, 4 or 5-8</t>
  </si>
  <si>
    <t>0 or 8</t>
  </si>
  <si>
    <t>07:00 - 22:00</t>
  </si>
  <si>
    <t>07:00 - 16:30
19:30 - 22:00</t>
  </si>
  <si>
    <t>00:00 - 07:00
22:00 - 24:00</t>
  </si>
  <si>
    <t>Monday to Friday 
(Including Bank Holidays)
April to March Inclusive</t>
  </si>
  <si>
    <t>09:30 - 21:30</t>
  </si>
  <si>
    <t>00:00 - 09:30
21:30 - 24:00</t>
  </si>
  <si>
    <t>17:00 to 19:30</t>
  </si>
  <si>
    <t>07:30 to 17:00
19:30 to 22:00</t>
  </si>
  <si>
    <t>00:00 to 07:30
22:00 to 24:00</t>
  </si>
  <si>
    <t>Monday to Friday 
(Including Bank Holidays)
Nov to Feb Inclusive (excluding 22nd Dec to 4th Jan inclusive)</t>
  </si>
  <si>
    <t>12:00 to 13:00
16:00 to 21:00</t>
  </si>
  <si>
    <t>00:00 to 12:00
13:00 to 16:00 
21:00 to 24:00</t>
  </si>
  <si>
    <t>Monday to Friday 
(Including Bank Holidays)
Mar to Oct Inclusive (plus 22nd Dec to 4th Jan inclusive)</t>
  </si>
  <si>
    <t>07:30 to 22:00</t>
  </si>
  <si>
    <t>00:00 to 12:00
13:00 to 16:00
21:00 to 24:00</t>
  </si>
  <si>
    <t>00:30 - 07:30</t>
  </si>
  <si>
    <t>00:00 - 00:30
07:30 - 24:00</t>
  </si>
  <si>
    <t>07:30 – 16:00</t>
  </si>
  <si>
    <t>00:00 - 00:30
19:00 - 24:00</t>
  </si>
  <si>
    <t>17:00 to 19:00</t>
  </si>
  <si>
    <t>07:30 to 17:00
19:00 to 21:30</t>
  </si>
  <si>
    <t>00:00 to 07:30
21:30 to 24:00</t>
  </si>
  <si>
    <t>16:30 to 19:30</t>
  </si>
  <si>
    <t>00:00 to 16:30
19:30 to 24:00</t>
  </si>
  <si>
    <t>Monday to Friday 
(Including Bank Holidays)
Mar to Oct Inclusive  (plus 22nd Dec to 4th Jan inclusive)</t>
  </si>
  <si>
    <t>07:30 to 21:30</t>
  </si>
  <si>
    <t>1, 2 or 0</t>
  </si>
  <si>
    <t>3 to 8 or 0</t>
  </si>
  <si>
    <t>00:00 - 06:30
23:30 - 24:00</t>
  </si>
  <si>
    <t>06:30 - 23:30</t>
  </si>
  <si>
    <t>06:30 - 16:00</t>
  </si>
  <si>
    <t>19:00 - 23:30</t>
  </si>
  <si>
    <t>3 &amp; 4</t>
  </si>
  <si>
    <t>07:00 - 21:00</t>
  </si>
  <si>
    <t>07:00 - 16:00
19:00 - 21:00</t>
  </si>
  <si>
    <t>00:00 - 07:00
21:00 - 24:00</t>
  </si>
  <si>
    <t>12:00 - 20:00</t>
  </si>
  <si>
    <t>00:00 - 12:00
20:00 - 24:00</t>
  </si>
  <si>
    <t xml:space="preserve">0 or 8 </t>
  </si>
  <si>
    <t>DNO specific: needs to be updated</t>
  </si>
  <si>
    <t>[Start] - [End]</t>
  </si>
  <si>
    <t>A0, A00, A01, A02, A03, A04, A05, A06, A07, A08, A09, A1, A10, A16, A17, A18, A19, A2, A21, A22, A23, A24, A25, A26, A27, A28, A29, A30, A31, A42, A43, A44, A47, A5, A50, A51, A52, A53, A54, A55, A56, A57, A58, A59, A60, A71, A72, A73, A76, A79, A80, A81, A82, A83, A84, A85, A86, A87, A88, A89, AA1, AB1, AB2, AB3, AB4, AG1, AH1, AK1, AK2, AK3, AK4, AL0, AL3, AL4, AL5, AL6, AL7, AL8, AL9, AM1, AM2, AM3, AM4, AM5, AM6, AM7, AM8, AR1, AR2, AR3, AR4, AS3, AS4, AS5, AS6.</t>
  </si>
  <si>
    <t>A11, A12, A13, A14, A15, A20, A3, A32, A33, A34, A35, A36, A45, A48, A6, A61, A62, A63, A64, A65, A74, A77, A90, A91, A92, A93, A94.</t>
  </si>
  <si>
    <t>A37, A38, A39, A4, A40, A41, A46, A49, A66, A67, A68, A69, A7, A70, A75, A78, A95, A96, A97, A98, A99.</t>
  </si>
  <si>
    <t>AX9.</t>
  </si>
  <si>
    <t>AX3, AX4.</t>
  </si>
  <si>
    <t>B37, B38, B39, B4, B40, B41, B46, B49, B66, B67, B68, B69, B7, B70, B75, B78, B95, B96, B97, B98, B99.</t>
  </si>
  <si>
    <t>B11, B12, B13, B14, B15, B20, B3, B32, B33, B34, B35, B36, B45, B48, B6, B61, B62, B63, B64, B65, B74, B77, B90, B91, B92, B93, B94.</t>
  </si>
  <si>
    <t>B0, B00, B01, B02, B03, B04, B05, B06, B07, B08, B09, B1, B10, B16, B17, B18, B19, B2, B21, B22, B23, B24, B25, B26, B27, B28, B29, B30, B31, B42, B43, B44, B47, B5, B50, B51, B52, B53, B54, B55, B56, B57, B58, B59, B60, B71, B72, B73, B76, B79, B80, B81, B82, B83, B84, B85, B86, B87, B88, B89, BA1, BB1, BB2, BB3, BB4, BG1, BH1, BK1, BK2, BK3, BK4, BL0, BL3, BL4, BL5, BL6, BL7, BL8, BL9, BM1, BM2, BM3, BM4, BR1, BR2, BR3, BR4, BS3, BS4, BS5, BS6.</t>
  </si>
  <si>
    <t>C0, C00, C01, C02, C03, C04, C05, C06, C07, C08, C09, C1, C10, C16, C17, C18, C19, C2, C21, C22, C23, C24, C25, C26, C27, C28, C29, C30, C31, C42, C43, C44, C47, C5, C50, C51, C52, C53, C54, C55, C56, C57, C58, C59, C60, C71, C72, C73, C76, C79, C80, C81, C82, C83, C84, C85, C86, C87, C88, C89, CA1, CA2, CB1, CB2, CB3, CB4, CB5, CB6, CB7, CB8, CG1, CH1, CK1, CK2, CK3, CK4, CK5, CK6, CK7, CK8, CL0, CL3, CL4, CL5, CL6, CL7, CL8, CL9, CM0, CM1, CM2, CM3, CM4, CM5, CM6, CM7, CM8, CM9, CN0, CN1, CN2, CN3, CN4, CN5, CN6, CN7, CN8, CN9, CR1, CR2, CR3, CR4, CS3, CS4, CS5, CS6.</t>
  </si>
  <si>
    <t>C11, C12, C13, C14, C15, C20, C3, C32, C33, C34, C35, C36, C45, C48, C6, C61, C62, C63, C64, C65, C74, C77, C90, C91, C92, C93, C94.</t>
  </si>
  <si>
    <t>C37, C38, C39, C4, C40, C41, C46, C49, C66, C67, C68, C69, C7, C70, C75, C78, C95, C96, C97, C98, C99.</t>
  </si>
  <si>
    <t>D37, D38, D39, D4, D40, D41, D46, D49, D66, D67, D68, D69, D7, D70, D75, D78, D95, D96, D97, D98, D99.</t>
  </si>
  <si>
    <t>D11, D12, D13, D14, D15, D20, D3, D32, D33, D34, D35, D36, D45, D48, D6, D61, D62, D63, D64, D65, D74, D77, D90, D91, D92, D93, D94.</t>
  </si>
  <si>
    <t>D0, D00, D01, D02, D03, D04, D05, D06, D07, D08, D09, D1, D10, D16, D17, D18, D19, D2, D21, D22, D23, D24, D25, D26, D27, D28, D29, D30, D31, D42, D43, D44, D47, D5, D50, D51, D52, D53, D54, D55, D56, D57, D58, D59, D60, D71, D72, D73, D76, D79, D80, D81, D82, D83, D84, D85, D86, D87, D88, D89, DA1, DB1, DB2, DB3, DB4, DB5, DB6, DB7, DB8, DG1, DH1, DH2, DH3, DK1, DK2, DK3, DK4, DL0, DL3, DL4, DL5, DL6, DL7, DL8, DL9, DM0, DM1, DM2, DM3, DM4, DM5, DM6, DM7, DM8, DM9, DN0, DN1, DN2, DN3, DN4, DN5, DN6, DN7, DN8, DN9, DP0, DP1, DP2, DP3, DP4, DP5, DP6, DP7, DP8, DP9, DQ1, DQ2, DR1, DR2, DR3, DR4, DS0, DS3, DS4, DS5, DS6, DS7, DS8, DS9, DT1, DT2, DT3, DT4, DY4.</t>
  </si>
  <si>
    <t>E37, E38, E39, E4, E40, E41, E46, E49, E66, E67, E68, E69, E7, E70, E75, E78, E95, E96, E97, E98, E99.</t>
  </si>
  <si>
    <t>E11, E12, E13, E14, E15, E20, E3, E32, E33, E34, E35, E36, E45, E48, E6, E61, E62, E63, E64, E65, E74, E77, E90, E91, E92, E93, E94.</t>
  </si>
  <si>
    <t>E0, E00, E01, E02, E03, E04, E05, E06, E07, E08, E09, E1, E10, E16, E17, E18, E19, E2, E21, E22, E23, E24, E25, E26, E27, E28, E29, E30, E31, E42, E43, E44, E47, E5, E50, E51, E52, E53, E54, E55, E56, E57, E58, E59, E60, E71, E72, E73, E76, E79, E80, E81, E82, E83, E84, E85, E86, E87, E88, E89, EA1, EB1, EB2, EB3, EB4, EB5, EG1, EH1, EK1, EK2, EK3, EK4, EL0, EL3, EL4, EL5, EL6, EL7, EL8, EL9, EM0, EM1, EM2, EM3, EM4, EM5, EM6, EM7, EM8, EM9, EN1, EN2, EN3, EN4, EN5, EN6, ER1, ER2, ER3, ER4, ES3, ES4, ES5, ES6.</t>
  </si>
  <si>
    <t>F0, F1, F2, F21, F22, F23, F24, F25, F26, F27, F28, F29, F30, F31, F42, F43, F44, F47, F5, F50, F51, F52, F53, F54, F55, F56, F57, F58, F59, F60, F71, F72, F73, F76, F79, F80, F81, F82, F83, F84, F85, F86, F87, F88, F89, FB1, FB2, FB3, FB4, FB5, FH1, FL0, FL3, FL4, FL5, FL6, FL7, FL8, FL9, FM1, FM2, FM3, FM4, FS3, FS4, FS5, FS6.</t>
  </si>
  <si>
    <t>F3, F32, F33, F34, F35, F36, F45, F48, F6, F61, F62, F63, F64, F65, F74, F77, F90, F91, F92, F93, F94.</t>
  </si>
  <si>
    <t>GX1, GX2.</t>
  </si>
  <si>
    <t>G37, G38, G39, G4, G40, G41, G46, G49, G66, G67, G68, G69, G7, G70, G75, G78, G95, G96, G97, G98, G99.</t>
  </si>
  <si>
    <t>G11, G12, G13, G14, G15, G20, G3, G32, G33, G34, G35, G36, G45, G48, G6, G61, G62, G63, G64, G65, G74, G77, G90, G91, G92, G93, G94.</t>
  </si>
  <si>
    <t>G0, G00, G01, G02, G03, G04, G05, G06, G07, G08, G09, G1, G10, G16, G17, G18, G19, G2, G21, G22, G23, G24, G25, G26, G27, G28, G29, G30, G31, G42, G43, G44, G47, G5, G50, G51, G52, G53, G54, G55, G56, G57, G58, G59, G60, G71, G72, G73, G76, G79, G80, G81, G82, G83, G84, G85, G86, G87, G88, G89, GA1, GB1, GB2, GB3, GB4, GB5, GB6, GB7, GB8, GB9, GG1, GH1, GK1, GK2, GK3, GK4, GL0, GL3, GL4, GL5, GL6, GL7, GL8, GL9, GM0, GM1, GM2, GM3, GM4, GM5, GM6, GM7, GM8, GM9, GN0, GN1, GN2, GN3, GN4, GN5, GN6, GN7, GN8, GN9, GP1, GP2, GP3, GP4, GR1, GR2, GR3, GR4, GS3, GS4, GS5, GS6, GY4.</t>
  </si>
  <si>
    <t>H0, H00, H01, H02, H03, H04, H05, H06, H07, H08, H09, H1, H10, H16, H17, H18, H19, H2, H21, H22, H23, H24, H25, H26, H27, H28, H29, H30, H31, H42, H43, H44, H47, H5, H50, H51, H52, H53, H54, H55, H56, H57, H58, H59, H60, H71, H72, H73, H76, H79, H80, H81, H82, H83, H84, H85, H86, H87, H88, H89, HA1, HB1, HB2, HB3, HB4, HB5, HG1, HK1, HK2, HK3, HK4, HL0, HL3, HL4, HL5, HL6, HL7, HL8, HL9, HM1, HM2, HM3, HM4, HR1, HR2, HR3, HR4, HS3, HS4, HS5, HS6.</t>
  </si>
  <si>
    <t>H11, H12, H13, H14, H15, H20, H3, H32, H33, H34, H35, H36, H45, H48, H6, H61, H62, H63, H64, H65, H74, H77, H90, H91, H92, H93, H94.</t>
  </si>
  <si>
    <t>H37, H38, H39, H4, H40, H41, H46, H49, H66, H67, H68, H69, H7, H70, H75, H78, H95, H96, H97, H98, H99.</t>
  </si>
  <si>
    <t>J0, J00, J01, J02, J03, J04, J05, J06, J07, J08, J09, J1, J10, J16, J17, J18, J19, J2, J21, J22, J23, J24, J25, J26, J27, J28, J29, J30, J31, J42, J43, J44, J47, J5, J50, J51, J52, J53, J54, J55, J56, J57, J58, J59, J60, J71, J72, J73, J76, J79, J80, J81, J82, J83, J84, J85, J86, J87, J88, J89, JA1, JB1, JB2, JB3, JB4, JB5, JG1, JH1, JK1, JK2, JK3, JK4, JL0, JL3, JL4, JL5, JL6, JL7, JL8, JL9, JM1, JM2, JM3, JM4, JR1, JR2, JR3, JR4, JS3, JS4, JS5, JS6, JY2.</t>
  </si>
  <si>
    <t>J11, J12, J13, J14, J15, J20, J3, J32, J33, J34, J35, J36, J45, J48, J6, J61, J62, J63, J64, J65, J74, J77, J90, J91, J92, J93, J94.</t>
  </si>
  <si>
    <t>J37, J38, J39, J4, J40, J41, J46, J49, J66, J67, J68, J69, J7, J70, J75, J78, J95, J96, J97, J98, J99.</t>
  </si>
  <si>
    <t>K37, K38, K39, K4, K40, K41, K46, K49, K7, K95, K96, K97, K98, K99.</t>
  </si>
  <si>
    <t>K3, K32, K33, K34, K35, K36, K45, K48, K6, K90, K91, K92, K93, K94.</t>
  </si>
  <si>
    <t>K0, K1, K2, K21, K22, K23, K24, K25, K26, K27, K28, K29, K30, K31, K42, K43, K44, K47, K5, K79, K80, K81, K82, K83, K84, K85, K86, K87, K88, K89, KB1, KB2, KB3, KB4, KH1, KL0, KL3, KL4, KL5, KL6, KL7, KL8, KL9, KM1, KM2, KM3, KM4, KS3, KS4, KS5, KS6.</t>
  </si>
  <si>
    <t>L37, L38, L39, L4, L40, L41, L46, L49, L7, L95, L96, L97, L97, L99.</t>
  </si>
  <si>
    <t>L11, L12, L13, L14, L15, L20, L3, L32, L33, L34, L35, L36, L45, L48, L6, L90, L91, L92, L93, L94.</t>
  </si>
  <si>
    <t>M0, M00, M01, M02, M03, M04, M05, M06, M07, M08, M09, M1, M10, M16, M17, M18, M19, M2, M21, M22, M23, M24, M25, M26, M27, M28, M29, M30, M31, M42, M43, M44, M47, M5, M79, M80, M81, M82, M83, M84, M85, M86, M87, M88, M89, MA1, MB1, MB2, MB3, MB4, MB5, MH1, MK1, MK2, MK3, MK4, ML0, ML3, ML4, ML5, ML6, ML7, ML8, ML9, MM1, MM2, MM3, MM4, MM5, MM6, MM7, MM8, MS3, MS4, MS5, MS6.</t>
  </si>
  <si>
    <t>M11, M12, M13, M14, M15, M20, M3, M32, M33, M34, M35, M36, M45, M48, M6, M90, M91, M92, M93, M94.</t>
  </si>
  <si>
    <t>M37, M38, M39, M4, M40, M41, M46, M49, M7, M95, M96, M97, M98, M99.</t>
  </si>
  <si>
    <t>N21, N22, N23, N24, N25, N26, N27, N28, N29, N30, N31, N42, N43, N44, N47, N50, N51, N52, N53, N54, N55, N56, N57, N58, N59, N60, N71, NB1, NB2, NB3, NB4, NB5, NL0, NL3, NL4, NL5, NL6, NL7, NL8, NL9, NM1, NM2, NM3, NM4.</t>
  </si>
  <si>
    <t>N32, N33, N34, N35, N36, N45, N48.</t>
  </si>
  <si>
    <t>N37, N38, N39, N40, N41, N46, N49, N66, N67, N68, N69, N70.</t>
  </si>
  <si>
    <t>P21, P22, P23, P24, P25, P26, P27, P28, P29, P30, P31, P42, P43, P44, P47, PB1, PB2, PB3, PB4, PL0, PL3, PL4, PL5, PL6, PL7, PL8, PL9, PM1, PM2, PM3, PM4.</t>
  </si>
  <si>
    <t>P32, P33, P34, P35, P36, P45, P48.</t>
  </si>
  <si>
    <t>P37, P38, P39, P40, P41, P46, P49.</t>
  </si>
  <si>
    <t>PZ0, PZ2.</t>
  </si>
  <si>
    <t>L16, L42, L0, LY9.</t>
  </si>
  <si>
    <t>L0, L00, L01, L02, L03, L04, L05, L06, L07, L08, L09, L1, L10, L16, L17, L18, L19, L2, L21, L22, L23, L24, L25, L26, L27, L28, L29, L30, L31, L42, L43, L44, L47, L5, L79, L80, L81, L82, L83, L84, L85, L86, L87, L88, L89, LB1, LB2, LB3, LB4, LB5, LH1, LL0, LL3, LL4, LL5, LL6, LL7, LL8, LL9, LM1, LM2, LM3, LM4, LS3, LS4, LS5, LS6, LY9.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</si>
</sst>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00_ ;[Red]\-0.00\ "/>
    <numFmt numFmtId="165" formatCode="0.000"/>
    <numFmt numFmtId="166" formatCode="#,##0.000"/>
    <numFmt numFmtId="167" formatCode="_(?,???,??0.000_);[Red]\(?,???,??0.000\);_(?,???,???.???_)"/>
    <numFmt numFmtId="168" formatCode="_(?,???,??0.00_);[Red]\(?,???,??0.00\);_(?,???,???.??_)"/>
    <numFmt numFmtId="169" formatCode="#"/>
    <numFmt numFmtId="170" formatCode="\ _(???,???,??0.000_);[Red]\ \(???,???,??0.000\);"/>
    <numFmt numFmtId="171" formatCode="\ _(???,???,??0.00_);[Red]\ \(???,???,??0.00\);"/>
    <numFmt numFmtId="172" formatCode="0000"/>
    <numFmt numFmtId="173" formatCode="00000"/>
    <numFmt numFmtId="174" formatCode="0.000_ ;[Red]\-0.000\ "/>
    <numFmt numFmtId="175" formatCode="0.00;[Red]\-0.00;?;"/>
    <numFmt numFmtId="176" formatCode="#,##0;\-#,##0;;"/>
    <numFmt numFmtId="177" formatCode="#,##0;[Red]\-#,##0;;"/>
    <numFmt numFmtId="178" formatCode="0.000;[Red]\-0.000;?;"/>
    <numFmt numFmtId="179" formatCode="0.000_ ;\-0.000\ "/>
    <numFmt numFmtId="180" formatCode=";;"/>
    <numFmt numFmtId="181" formatCode="#,##0.000;[Red]#,##0.000"/>
    <numFmt numFmtId="182" formatCode="#,##0.00;[Red]#,##0.00"/>
    <numFmt numFmtId="183" formatCode="_-* #,##0.000_-;\-* #,##0.000_-;_-* &quot;-&quot;??_-;_-@_-"/>
    <numFmt numFmtId="184" formatCode="dd\ mmmm\ yyyy"/>
    <numFmt numFmtId="185" formatCode="0.00;\(0.00\);"/>
    <numFmt numFmtId="186" formatCode="0.0000_ ;[Red]\-0.0000\ "/>
  </numFmts>
  <fonts count="44"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8"/>
      <name val="Arial"/>
      <family val="2"/>
    </font>
    <font>
      <sz val="10"/>
      <name val="Arial"/>
      <family val="2"/>
    </font>
    <font>
      <b/>
      <sz val="10"/>
      <name val="Arial"/>
      <family val="2"/>
    </font>
    <font>
      <sz val="14"/>
      <name val="Arial"/>
      <family val="2"/>
    </font>
    <font>
      <b/>
      <sz val="8"/>
      <name val="Arial"/>
      <family val="2"/>
    </font>
    <font>
      <b/>
      <sz val="11"/>
      <color theme="3"/>
      <name val="Arial"/>
      <family val="2"/>
    </font>
    <font>
      <sz val="9"/>
      <color rgb="FF3F3F76"/>
      <name val="Arial"/>
      <family val="2"/>
    </font>
    <font>
      <u/>
      <sz val="10"/>
      <color theme="10"/>
      <name val="Arial"/>
      <family val="2"/>
    </font>
    <font>
      <sz val="11"/>
      <name val="Arial"/>
      <family val="2"/>
    </font>
    <font>
      <b/>
      <sz val="9"/>
      <color rgb="FF3F3F76"/>
      <name val="Arial"/>
      <family val="2"/>
    </font>
    <font>
      <b/>
      <sz val="14"/>
      <color theme="3"/>
      <name val="Arial"/>
      <family val="2"/>
    </font>
    <font>
      <b/>
      <sz val="13"/>
      <color theme="3"/>
      <name val="Arial"/>
      <family val="2"/>
    </font>
    <font>
      <sz val="11"/>
      <color theme="0"/>
      <name val="Arial"/>
      <family val="2"/>
    </font>
    <font>
      <b/>
      <sz val="11"/>
      <name val="Arial"/>
      <family val="2"/>
    </font>
    <font>
      <b/>
      <sz val="11"/>
      <color theme="0"/>
      <name val="Arial"/>
      <family val="2"/>
    </font>
    <font>
      <b/>
      <sz val="10"/>
      <color indexed="8"/>
      <name val="Arial"/>
      <family val="2"/>
    </font>
    <font>
      <sz val="10"/>
      <color theme="0"/>
      <name val="Arial"/>
      <family val="2"/>
    </font>
    <font>
      <b/>
      <sz val="10"/>
      <color theme="0"/>
      <name val="Arial"/>
      <family val="2"/>
    </font>
    <font>
      <b/>
      <sz val="12"/>
      <color theme="3"/>
      <name val="Arial"/>
      <family val="2"/>
    </font>
    <font>
      <sz val="12"/>
      <name val="Arial"/>
      <family val="2"/>
    </font>
    <font>
      <sz val="10"/>
      <name val="Calibri"/>
      <family val="2"/>
      <scheme val="minor"/>
    </font>
    <font>
      <sz val="11"/>
      <color theme="1"/>
      <name val="Calibri"/>
      <family val="2"/>
      <scheme val="minor"/>
    </font>
    <font>
      <sz val="11"/>
      <color theme="3"/>
      <name val="Arial"/>
      <family val="2"/>
    </font>
    <font>
      <sz val="10"/>
      <color rgb="FF9C6500"/>
      <name val="Arial"/>
      <family val="2"/>
    </font>
    <font>
      <b/>
      <sz val="14"/>
      <color rgb="FF1F497D"/>
      <name val="Arial"/>
      <family val="2"/>
    </font>
    <font>
      <b/>
      <sz val="10"/>
      <color rgb="FFFFFFFF"/>
      <name val="Arial"/>
      <family val="2"/>
    </font>
    <font>
      <sz val="10"/>
      <color rgb="FF000000"/>
      <name val="Arial"/>
      <family val="2"/>
    </font>
    <font>
      <b/>
      <sz val="14"/>
      <color rgb="FFFFFFFF"/>
      <name val="Arial"/>
      <family val="2"/>
    </font>
    <font>
      <sz val="11"/>
      <color rgb="FF000000"/>
      <name val="Calibri"/>
      <family val="2"/>
    </font>
    <font>
      <b/>
      <sz val="10"/>
      <color rgb="FF000000"/>
      <name val="Arial"/>
      <family val="2"/>
    </font>
    <font>
      <sz val="10"/>
      <color rgb="FF000000"/>
      <name val="Calibri"/>
      <family val="2"/>
    </font>
    <font>
      <sz val="10"/>
      <name val="Arial"/>
      <family val="2"/>
    </font>
    <font>
      <i/>
      <sz val="10"/>
      <name val="Arial"/>
      <family val="2"/>
    </font>
    <font>
      <sz val="9"/>
      <name val="Arial"/>
      <family val="2"/>
    </font>
    <font>
      <sz val="10"/>
      <color indexed="8"/>
      <name val="Arial"/>
      <family val="2"/>
    </font>
    <font>
      <b/>
      <sz val="11"/>
      <color indexed="8"/>
      <name val="Arial"/>
      <family val="2"/>
    </font>
    <font>
      <sz val="10"/>
      <color theme="0" tint="-4.9989318521683403E-2"/>
      <name val="Arial"/>
      <family val="2"/>
    </font>
    <font>
      <sz val="11"/>
      <color rgb="FFFF0000"/>
      <name val="Arial"/>
      <family val="2"/>
    </font>
    <font>
      <b/>
      <sz val="11"/>
      <color rgb="FFFF0000"/>
      <name val="Arial"/>
      <family val="2"/>
    </font>
  </fonts>
  <fills count="47">
    <fill>
      <patternFill patternType="none"/>
    </fill>
    <fill>
      <patternFill patternType="gray125"/>
    </fill>
    <fill>
      <patternFill patternType="solid">
        <fgColor indexed="9"/>
        <bgColor indexed="64"/>
      </patternFill>
    </fill>
    <fill>
      <patternFill patternType="solid">
        <fgColor indexed="22"/>
        <bgColor indexed="55"/>
      </patternFill>
    </fill>
    <fill>
      <patternFill patternType="solid">
        <fgColor indexed="22"/>
        <bgColor indexed="64"/>
      </patternFill>
    </fill>
    <fill>
      <patternFill patternType="solid">
        <fgColor rgb="FFFFCC99"/>
      </patternFill>
    </fill>
    <fill>
      <patternFill patternType="solid">
        <fgColor theme="4" tint="0.59999389629810485"/>
        <bgColor indexed="65"/>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rgb="FFFFCC9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
      <patternFill patternType="solid">
        <fgColor rgb="FFFFFF00"/>
        <bgColor indexed="64"/>
      </patternFill>
    </fill>
    <fill>
      <patternFill patternType="solid">
        <fgColor theme="4"/>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theme="9" tint="0.39997558519241921"/>
        <bgColor indexed="64"/>
      </patternFill>
    </fill>
    <fill>
      <patternFill patternType="solid">
        <fgColor theme="4" tint="0.79998168889431442"/>
        <bgColor indexed="64"/>
      </patternFill>
    </fill>
    <fill>
      <patternFill patternType="solid">
        <fgColor rgb="FFCCFFCC"/>
        <bgColor indexed="64"/>
      </patternFill>
    </fill>
    <fill>
      <patternFill patternType="solid">
        <fgColor rgb="FFB4FFCC"/>
        <bgColor indexed="64"/>
      </patternFill>
    </fill>
    <fill>
      <patternFill patternType="solid">
        <fgColor rgb="FFFFBE82"/>
        <bgColor indexed="64"/>
      </patternFill>
    </fill>
    <fill>
      <patternFill patternType="solid">
        <fgColor rgb="FF8CFFCC"/>
        <bgColor indexed="64"/>
      </patternFill>
    </fill>
    <fill>
      <patternFill patternType="solid">
        <fgColor rgb="FFB8D2BB"/>
        <bgColor indexed="64"/>
      </patternFill>
    </fill>
    <fill>
      <patternFill patternType="solid">
        <fgColor rgb="FFFFEB9C"/>
      </patternFill>
    </fill>
    <fill>
      <patternFill patternType="solid">
        <fgColor theme="0" tint="-0.249977111117893"/>
        <bgColor indexed="64"/>
      </patternFill>
    </fill>
    <fill>
      <patternFill patternType="solid">
        <fgColor rgb="FFB8CCE4"/>
        <bgColor rgb="FFFFFFFF"/>
      </patternFill>
    </fill>
    <fill>
      <patternFill patternType="solid">
        <fgColor rgb="FFFFFFFF"/>
        <bgColor rgb="FF000000"/>
      </patternFill>
    </fill>
    <fill>
      <patternFill patternType="solid">
        <fgColor rgb="FFFFCC99"/>
        <bgColor rgb="FF000000"/>
      </patternFill>
    </fill>
    <fill>
      <patternFill patternType="solid">
        <fgColor rgb="FFFF0000"/>
        <bgColor rgb="FF000000"/>
      </patternFill>
    </fill>
    <fill>
      <patternFill patternType="solid">
        <fgColor rgb="FFCCFFCC"/>
        <bgColor rgb="FF000000"/>
      </patternFill>
    </fill>
    <fill>
      <patternFill patternType="solid">
        <fgColor rgb="FFFFFFCC"/>
        <bgColor rgb="FF000000"/>
      </patternFill>
    </fill>
    <fill>
      <patternFill patternType="solid">
        <fgColor rgb="FFDDD9C3"/>
        <bgColor rgb="FF000000"/>
      </patternFill>
    </fill>
    <fill>
      <patternFill patternType="solid">
        <fgColor rgb="FFD7E4BC"/>
        <bgColor rgb="FF000000"/>
      </patternFill>
    </fill>
    <fill>
      <patternFill patternType="solid">
        <fgColor rgb="FFEEECE1"/>
        <bgColor rgb="FF000000"/>
      </patternFill>
    </fill>
    <fill>
      <patternFill patternType="solid">
        <fgColor rgb="FFEAF1DD"/>
        <bgColor rgb="FF000000"/>
      </patternFill>
    </fill>
    <fill>
      <patternFill patternType="solid">
        <fgColor rgb="FFC0C0C0"/>
        <bgColor rgb="FF000000"/>
      </patternFill>
    </fill>
    <fill>
      <patternFill patternType="solid">
        <fgColor rgb="FFC0C0C0"/>
        <bgColor indexed="64"/>
      </patternFill>
    </fill>
    <fill>
      <patternFill patternType="solid">
        <fgColor rgb="FFCCFFFF"/>
        <bgColor indexed="64"/>
      </patternFill>
    </fill>
    <fill>
      <patternFill patternType="solid">
        <fgColor rgb="FFCCFFCC"/>
        <bgColor indexed="55"/>
      </patternFill>
    </fill>
    <fill>
      <patternFill patternType="solid">
        <fgColor rgb="FFD9D9D9"/>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rgb="FFFFFFFF"/>
      </left>
      <right style="thin">
        <color rgb="FFFFFFFF"/>
      </right>
      <top/>
      <bottom style="thin">
        <color rgb="FFFFFFFF"/>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21">
    <xf numFmtId="0" fontId="0" fillId="0" borderId="0"/>
    <xf numFmtId="0" fontId="10" fillId="0" borderId="0" applyNumberFormat="0" applyFill="0" applyBorder="0" applyAlignment="0" applyProtection="0"/>
    <xf numFmtId="0" fontId="11" fillId="5" borderId="7" applyNumberFormat="0" applyAlignment="0" applyProtection="0"/>
    <xf numFmtId="0" fontId="12" fillId="0" borderId="0" applyNumberFormat="0" applyFill="0" applyBorder="0" applyAlignment="0" applyProtection="0">
      <alignment vertical="top"/>
      <protection locked="0"/>
    </xf>
    <xf numFmtId="0" fontId="16" fillId="0" borderId="9" applyNumberFormat="0" applyFill="0" applyAlignment="0" applyProtection="0"/>
    <xf numFmtId="0" fontId="10" fillId="0" borderId="10" applyNumberFormat="0" applyFill="0" applyAlignment="0" applyProtection="0"/>
    <xf numFmtId="0" fontId="6" fillId="0" borderId="0"/>
    <xf numFmtId="43" fontId="6" fillId="0" borderId="0" applyFont="0" applyFill="0" applyBorder="0" applyAlignment="0" applyProtection="0"/>
    <xf numFmtId="0" fontId="21" fillId="18" borderId="0" applyNumberFormat="0" applyBorder="0" applyAlignment="0" applyProtection="0"/>
    <xf numFmtId="0" fontId="4" fillId="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21" fillId="22" borderId="0" applyNumberFormat="0" applyBorder="0" applyAlignment="0" applyProtection="0"/>
    <xf numFmtId="0" fontId="26" fillId="0" borderId="0"/>
    <xf numFmtId="0" fontId="28" fillId="30" borderId="0" applyNumberFormat="0" applyBorder="0" applyAlignment="0" applyProtection="0"/>
    <xf numFmtId="0" fontId="2" fillId="0" borderId="0"/>
    <xf numFmtId="9" fontId="2" fillId="0" borderId="0" applyFont="0" applyFill="0" applyBorder="0" applyAlignment="0" applyProtection="0"/>
    <xf numFmtId="0" fontId="1" fillId="0" borderId="0"/>
    <xf numFmtId="43" fontId="36" fillId="0" borderId="0" applyFont="0" applyFill="0" applyBorder="0" applyAlignment="0" applyProtection="0"/>
    <xf numFmtId="0" fontId="39" fillId="0" borderId="0"/>
  </cellStyleXfs>
  <cellXfs count="550">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0" fillId="2" borderId="0" xfId="0" applyFill="1"/>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2" fontId="0" fillId="2" borderId="0" xfId="0" applyNumberFormat="1" applyFill="1" applyAlignment="1">
      <alignment horizontal="center" vertical="center"/>
    </xf>
    <xf numFmtId="166" fontId="0" fillId="2" borderId="0" xfId="0" applyNumberFormat="1" applyFill="1" applyAlignment="1">
      <alignment horizontal="center" vertical="center"/>
    </xf>
    <xf numFmtId="0" fontId="8" fillId="2" borderId="0" xfId="0" applyFont="1" applyFill="1" applyAlignment="1">
      <alignment vertical="center"/>
    </xf>
    <xf numFmtId="0" fontId="6" fillId="0" borderId="1" xfId="0" quotePrefix="1" applyFont="1" applyBorder="1" applyAlignment="1">
      <alignment horizontal="left" vertical="top" wrapText="1"/>
    </xf>
    <xf numFmtId="0" fontId="7" fillId="7" borderId="1" xfId="0" applyFont="1" applyFill="1" applyBorder="1" applyAlignment="1" applyProtection="1">
      <alignment vertical="center" wrapText="1"/>
      <protection locked="0"/>
    </xf>
    <xf numFmtId="0" fontId="13" fillId="4" borderId="1"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0" fontId="6" fillId="2" borderId="0" xfId="0" applyFont="1" applyFill="1" applyAlignment="1">
      <alignment vertical="center"/>
    </xf>
    <xf numFmtId="0" fontId="0" fillId="0" borderId="0" xfId="0" applyProtection="1">
      <protection locked="0"/>
    </xf>
    <xf numFmtId="0" fontId="7" fillId="7" borderId="1" xfId="0" applyFont="1" applyFill="1" applyBorder="1" applyAlignment="1">
      <alignment horizontal="center" vertical="center" wrapText="1"/>
    </xf>
    <xf numFmtId="169" fontId="6" fillId="3" borderId="1" xfId="0" applyNumberFormat="1" applyFont="1" applyFill="1" applyBorder="1" applyAlignment="1" applyProtection="1">
      <alignment horizontal="center" vertical="center"/>
      <protection locked="0"/>
    </xf>
    <xf numFmtId="49" fontId="13" fillId="8" borderId="1" xfId="0" applyNumberFormat="1" applyFont="1" applyFill="1" applyBorder="1" applyAlignment="1" applyProtection="1">
      <alignment horizontal="center" vertical="center" wrapText="1"/>
      <protection locked="0"/>
    </xf>
    <xf numFmtId="0" fontId="7" fillId="7" borderId="1" xfId="0" quotePrefix="1" applyFont="1" applyFill="1" applyBorder="1" applyAlignment="1">
      <alignment horizontal="center" vertical="center" wrapText="1"/>
    </xf>
    <xf numFmtId="49" fontId="14" fillId="5" borderId="7" xfId="2" applyNumberFormat="1" applyFont="1" applyAlignment="1" applyProtection="1">
      <alignment horizontal="center" vertical="center" wrapText="1"/>
      <protection locked="0"/>
    </xf>
    <xf numFmtId="0" fontId="6" fillId="0" borderId="0" xfId="6" applyAlignment="1">
      <alignment horizontal="center" vertical="top" wrapText="1"/>
    </xf>
    <xf numFmtId="0" fontId="6" fillId="0" borderId="0" xfId="6"/>
    <xf numFmtId="0" fontId="6" fillId="0" borderId="0" xfId="6" applyAlignment="1">
      <alignment horizontal="center" vertical="center" wrapText="1"/>
    </xf>
    <xf numFmtId="49" fontId="18" fillId="8" borderId="1" xfId="0" applyNumberFormat="1" applyFont="1" applyFill="1" applyBorder="1" applyAlignment="1" applyProtection="1">
      <alignment horizontal="center" vertical="center" wrapText="1"/>
      <protection locked="0"/>
    </xf>
    <xf numFmtId="174" fontId="18" fillId="9" borderId="1" xfId="0" applyNumberFormat="1" applyFont="1" applyFill="1" applyBorder="1" applyAlignment="1" applyProtection="1">
      <alignment horizontal="center" vertical="center"/>
      <protection locked="0"/>
    </xf>
    <xf numFmtId="174" fontId="18" fillId="3" borderId="1" xfId="0" applyNumberFormat="1"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wrapText="1"/>
      <protection locked="0"/>
    </xf>
    <xf numFmtId="164" fontId="18" fillId="10" borderId="1" xfId="0" applyNumberFormat="1" applyFont="1" applyFill="1" applyBorder="1" applyAlignment="1" applyProtection="1">
      <alignment horizontal="center" vertical="center"/>
      <protection locked="0"/>
    </xf>
    <xf numFmtId="164" fontId="18" fillId="3" borderId="1" xfId="0" applyNumberFormat="1" applyFont="1" applyFill="1" applyBorder="1" applyAlignment="1" applyProtection="1">
      <alignment horizontal="center" vertical="center"/>
      <protection locked="0"/>
    </xf>
    <xf numFmtId="0" fontId="0" fillId="12" borderId="0" xfId="0" applyFill="1"/>
    <xf numFmtId="0" fontId="12" fillId="2" borderId="0" xfId="3" applyFill="1" applyAlignment="1" applyProtection="1">
      <alignment vertical="center"/>
    </xf>
    <xf numFmtId="0" fontId="7" fillId="7" borderId="1" xfId="6" applyFont="1" applyFill="1" applyBorder="1" applyAlignment="1">
      <alignment horizontal="center" vertical="center" wrapText="1"/>
    </xf>
    <xf numFmtId="0" fontId="6" fillId="0" borderId="0" xfId="0" applyFont="1" applyProtection="1">
      <protection locked="0"/>
    </xf>
    <xf numFmtId="49" fontId="10" fillId="6" borderId="0" xfId="1" quotePrefix="1" applyNumberFormat="1" applyFill="1" applyAlignment="1" applyProtection="1">
      <alignment horizontal="left" vertical="center" wrapText="1"/>
      <protection locked="0"/>
    </xf>
    <xf numFmtId="49" fontId="10" fillId="6" borderId="0" xfId="1" applyNumberFormat="1" applyFill="1" applyAlignment="1" applyProtection="1">
      <alignment vertical="center" wrapText="1"/>
      <protection locked="0"/>
    </xf>
    <xf numFmtId="49" fontId="16" fillId="0" borderId="0" xfId="4" applyNumberFormat="1" applyBorder="1" applyAlignment="1" applyProtection="1">
      <alignment vertical="center"/>
      <protection locked="0"/>
    </xf>
    <xf numFmtId="49" fontId="10" fillId="6" borderId="0" xfId="1" applyNumberFormat="1" applyFill="1" applyBorder="1" applyAlignment="1" applyProtection="1">
      <alignment vertical="center" wrapText="1"/>
      <protection locked="0"/>
    </xf>
    <xf numFmtId="49" fontId="10" fillId="0" borderId="0" xfId="5" applyNumberFormat="1" applyBorder="1" applyAlignment="1" applyProtection="1">
      <alignment vertical="center"/>
      <protection locked="0"/>
    </xf>
    <xf numFmtId="0" fontId="7" fillId="7" borderId="6" xfId="0" applyFont="1" applyFill="1" applyBorder="1" applyAlignment="1" applyProtection="1">
      <alignment vertical="center" wrapText="1"/>
      <protection locked="0"/>
    </xf>
    <xf numFmtId="0" fontId="0" fillId="12" borderId="0" xfId="0" applyFill="1" applyAlignment="1">
      <alignment vertical="center"/>
    </xf>
    <xf numFmtId="0" fontId="22" fillId="15" borderId="1" xfId="0" applyFont="1" applyFill="1" applyBorder="1" applyAlignment="1" applyProtection="1">
      <alignment horizontal="center" vertical="center" wrapText="1"/>
      <protection locked="0"/>
    </xf>
    <xf numFmtId="0" fontId="7" fillId="0" borderId="6" xfId="0" applyFont="1" applyBorder="1" applyAlignment="1">
      <alignment vertical="center" wrapText="1"/>
    </xf>
    <xf numFmtId="0" fontId="22" fillId="16" borderId="1" xfId="0" applyFont="1" applyFill="1" applyBorder="1" applyAlignment="1" applyProtection="1">
      <alignment horizontal="center" vertical="center" wrapText="1"/>
      <protection locked="0"/>
    </xf>
    <xf numFmtId="0" fontId="7" fillId="17" borderId="1" xfId="0" applyFont="1" applyFill="1" applyBorder="1" applyAlignment="1" applyProtection="1">
      <alignment horizontal="center" vertical="center" wrapText="1"/>
      <protection locked="0"/>
    </xf>
    <xf numFmtId="0" fontId="15" fillId="12" borderId="0" xfId="1" applyNumberFormat="1" applyFont="1" applyFill="1" applyBorder="1" applyAlignment="1">
      <alignment horizontal="center" vertical="center" wrapText="1"/>
    </xf>
    <xf numFmtId="0" fontId="15" fillId="12" borderId="0" xfId="1" applyNumberFormat="1" applyFont="1" applyFill="1" applyBorder="1" applyAlignment="1" applyProtection="1">
      <alignment horizontal="center" vertical="center" wrapText="1"/>
    </xf>
    <xf numFmtId="0" fontId="15" fillId="12" borderId="12" xfId="1" applyNumberFormat="1" applyFont="1" applyFill="1" applyBorder="1" applyAlignment="1">
      <alignment horizontal="center" vertical="center" wrapText="1"/>
    </xf>
    <xf numFmtId="0" fontId="7" fillId="12" borderId="0" xfId="0" applyFont="1" applyFill="1" applyAlignment="1">
      <alignment horizontal="left" vertical="center" wrapText="1"/>
    </xf>
    <xf numFmtId="0" fontId="6" fillId="12" borderId="0" xfId="0" applyFont="1" applyFill="1" applyAlignment="1">
      <alignment horizontal="left" vertical="center" wrapText="1"/>
    </xf>
    <xf numFmtId="0" fontId="15" fillId="12" borderId="0" xfId="1" applyNumberFormat="1" applyFont="1" applyFill="1" applyBorder="1" applyAlignment="1">
      <alignment vertical="center" wrapText="1"/>
    </xf>
    <xf numFmtId="14" fontId="6" fillId="0" borderId="0" xfId="6" applyNumberFormat="1"/>
    <xf numFmtId="0" fontId="6" fillId="0" borderId="0" xfId="6" quotePrefix="1" applyAlignment="1">
      <alignment horizontal="left"/>
    </xf>
    <xf numFmtId="0" fontId="12" fillId="0" borderId="0" xfId="3" applyAlignment="1" applyProtection="1"/>
    <xf numFmtId="172" fontId="6" fillId="24" borderId="0" xfId="6" applyNumberFormat="1" applyFill="1"/>
    <xf numFmtId="173" fontId="6" fillId="24" borderId="0" xfId="6" applyNumberFormat="1" applyFill="1"/>
    <xf numFmtId="0" fontId="6" fillId="24" borderId="0" xfId="6" applyFill="1"/>
    <xf numFmtId="0" fontId="6" fillId="11" borderId="1" xfId="13" applyFont="1" applyFill="1" applyBorder="1" applyAlignment="1" applyProtection="1">
      <alignment vertical="center"/>
      <protection locked="0"/>
    </xf>
    <xf numFmtId="176" fontId="6" fillId="26" borderId="1" xfId="10" applyNumberFormat="1" applyFont="1" applyFill="1" applyBorder="1" applyAlignment="1" applyProtection="1">
      <alignment vertical="center"/>
      <protection locked="0"/>
    </xf>
    <xf numFmtId="175" fontId="4" fillId="25" borderId="1" xfId="9" applyNumberFormat="1" applyFill="1" applyBorder="1" applyAlignment="1" applyProtection="1">
      <alignment vertical="center"/>
    </xf>
    <xf numFmtId="176" fontId="6" fillId="25" borderId="1" xfId="9" applyNumberFormat="1" applyFont="1" applyFill="1" applyBorder="1" applyAlignment="1" applyProtection="1">
      <alignment vertical="center"/>
      <protection locked="0"/>
    </xf>
    <xf numFmtId="176" fontId="6" fillId="28" borderId="1" xfId="9" applyNumberFormat="1" applyFont="1" applyFill="1" applyBorder="1" applyAlignment="1" applyProtection="1">
      <alignment vertical="center"/>
      <protection locked="0"/>
    </xf>
    <xf numFmtId="176" fontId="6" fillId="29" borderId="1" xfId="10" applyNumberFormat="1" applyFont="1" applyFill="1" applyBorder="1" applyAlignment="1" applyProtection="1">
      <alignment vertical="center"/>
      <protection locked="0"/>
    </xf>
    <xf numFmtId="0" fontId="15" fillId="0" borderId="0" xfId="1" applyNumberFormat="1" applyFont="1" applyFill="1" applyBorder="1" applyAlignment="1" applyProtection="1">
      <alignment horizontal="center" vertical="center" wrapText="1"/>
    </xf>
    <xf numFmtId="0" fontId="0" fillId="0" borderId="0" xfId="0" applyAlignment="1">
      <alignment vertical="center"/>
    </xf>
    <xf numFmtId="0" fontId="0" fillId="0" borderId="0" xfId="0" applyAlignment="1">
      <alignment wrapText="1"/>
    </xf>
    <xf numFmtId="0" fontId="7" fillId="7" borderId="6" xfId="0" applyFont="1" applyFill="1" applyBorder="1" applyAlignment="1">
      <alignment horizontal="left" vertical="center" wrapText="1"/>
    </xf>
    <xf numFmtId="0" fontId="6" fillId="11" borderId="1" xfId="8" quotePrefix="1" applyFont="1" applyFill="1" applyBorder="1" applyAlignment="1" applyProtection="1">
      <alignment horizontal="center" vertical="center" wrapText="1"/>
    </xf>
    <xf numFmtId="0" fontId="6" fillId="27" borderId="1" xfId="11" quotePrefix="1" applyFont="1" applyFill="1" applyBorder="1" applyAlignment="1" applyProtection="1">
      <alignment horizontal="center" vertical="center" wrapText="1"/>
    </xf>
    <xf numFmtId="175" fontId="4" fillId="28" borderId="1" xfId="12" applyNumberFormat="1" applyFill="1" applyBorder="1" applyAlignment="1" applyProtection="1">
      <alignment vertical="center"/>
    </xf>
    <xf numFmtId="0" fontId="7" fillId="7" borderId="1" xfId="0" applyFont="1" applyFill="1" applyBorder="1" applyAlignment="1">
      <alignment horizontal="left" vertical="center" wrapText="1"/>
    </xf>
    <xf numFmtId="0" fontId="6" fillId="11" borderId="1" xfId="13" applyFont="1" applyFill="1" applyBorder="1" applyAlignment="1" applyProtection="1">
      <alignment vertical="center" wrapText="1"/>
    </xf>
    <xf numFmtId="0" fontId="6" fillId="23" borderId="1" xfId="13" applyFont="1" applyFill="1" applyBorder="1" applyAlignment="1" applyProtection="1">
      <alignment vertical="center" wrapText="1"/>
    </xf>
    <xf numFmtId="0" fontId="3" fillId="11" borderId="1" xfId="13" applyFont="1" applyFill="1" applyBorder="1" applyAlignment="1" applyProtection="1">
      <alignment vertical="center" wrapText="1"/>
    </xf>
    <xf numFmtId="0" fontId="3" fillId="23" borderId="1" xfId="13" applyFont="1" applyFill="1" applyBorder="1" applyAlignment="1" applyProtection="1">
      <alignment vertical="center" wrapText="1"/>
    </xf>
    <xf numFmtId="0" fontId="6" fillId="7" borderId="1" xfId="0" applyFont="1" applyFill="1" applyBorder="1" applyAlignment="1">
      <alignment horizontal="center" vertical="center" wrapText="1"/>
    </xf>
    <xf numFmtId="176" fontId="4" fillId="25" borderId="1" xfId="9" applyNumberFormat="1" applyFill="1" applyBorder="1" applyAlignment="1" applyProtection="1">
      <alignment vertical="center"/>
      <protection locked="0"/>
    </xf>
    <xf numFmtId="177" fontId="4" fillId="25" borderId="1" xfId="9" applyNumberFormat="1" applyFill="1" applyBorder="1" applyAlignment="1" applyProtection="1">
      <alignment vertical="center"/>
    </xf>
    <xf numFmtId="177" fontId="4" fillId="28" borderId="1" xfId="9" applyNumberFormat="1" applyFill="1" applyBorder="1" applyAlignment="1" applyProtection="1">
      <alignment vertical="center"/>
    </xf>
    <xf numFmtId="177" fontId="6" fillId="26" borderId="1" xfId="10" applyNumberFormat="1" applyFont="1" applyFill="1" applyBorder="1" applyAlignment="1" applyProtection="1">
      <alignment vertical="center"/>
    </xf>
    <xf numFmtId="177" fontId="6" fillId="29" borderId="1" xfId="10" applyNumberFormat="1" applyFont="1" applyFill="1" applyBorder="1" applyAlignment="1" applyProtection="1">
      <alignment vertical="center"/>
    </xf>
    <xf numFmtId="178" fontId="4" fillId="25" borderId="5" xfId="9" applyNumberFormat="1" applyFill="1" applyBorder="1" applyAlignment="1" applyProtection="1">
      <alignment vertical="center"/>
    </xf>
    <xf numFmtId="178" fontId="4" fillId="25" borderId="1" xfId="9" applyNumberFormat="1" applyFill="1" applyBorder="1" applyAlignment="1" applyProtection="1">
      <alignment vertical="center"/>
    </xf>
    <xf numFmtId="0" fontId="25" fillId="0" borderId="0" xfId="6" applyFont="1"/>
    <xf numFmtId="49" fontId="6" fillId="11" borderId="1" xfId="8" quotePrefix="1" applyNumberFormat="1" applyFont="1" applyFill="1" applyBorder="1" applyAlignment="1" applyProtection="1">
      <alignment horizontal="center" vertical="center" wrapText="1"/>
    </xf>
    <xf numFmtId="49" fontId="6" fillId="27" borderId="1" xfId="11" quotePrefix="1" applyNumberFormat="1" applyFont="1" applyFill="1" applyBorder="1" applyAlignment="1" applyProtection="1">
      <alignment horizontal="center" vertical="center" wrapText="1"/>
    </xf>
    <xf numFmtId="49" fontId="10" fillId="6" borderId="0" xfId="1" quotePrefix="1" applyNumberFormat="1" applyFill="1" applyAlignment="1" applyProtection="1">
      <alignment horizontal="center" vertical="center" wrapText="1"/>
      <protection locked="0"/>
    </xf>
    <xf numFmtId="0" fontId="12" fillId="0" borderId="0" xfId="3" applyFill="1" applyAlignment="1" applyProtection="1">
      <alignment horizontal="left" vertical="center"/>
    </xf>
    <xf numFmtId="49" fontId="16" fillId="0" borderId="0" xfId="4" quotePrefix="1" applyNumberFormat="1" applyBorder="1" applyAlignment="1" applyProtection="1">
      <alignment horizontal="left" vertical="center"/>
      <protection locked="0"/>
    </xf>
    <xf numFmtId="164" fontId="18" fillId="10" borderId="1" xfId="0" applyNumberFormat="1" applyFont="1" applyFill="1" applyBorder="1" applyAlignment="1">
      <alignment horizontal="center" vertical="center"/>
    </xf>
    <xf numFmtId="179" fontId="19" fillId="13" borderId="1" xfId="0" applyNumberFormat="1" applyFont="1" applyFill="1" applyBorder="1" applyAlignment="1" applyProtection="1">
      <alignment horizontal="center" vertical="center"/>
      <protection locked="0"/>
    </xf>
    <xf numFmtId="179" fontId="18" fillId="14" borderId="1" xfId="0" applyNumberFormat="1" applyFont="1" applyFill="1" applyBorder="1" applyAlignment="1" applyProtection="1">
      <alignment horizontal="center" vertical="center"/>
      <protection locked="0"/>
    </xf>
    <xf numFmtId="179" fontId="19" fillId="15" borderId="1" xfId="0" applyNumberFormat="1" applyFont="1" applyFill="1" applyBorder="1" applyAlignment="1" applyProtection="1">
      <alignment horizontal="center" vertical="center"/>
      <protection locked="0"/>
    </xf>
    <xf numFmtId="179" fontId="19" fillId="16" borderId="1" xfId="0" applyNumberFormat="1" applyFont="1" applyFill="1" applyBorder="1" applyAlignment="1" applyProtection="1">
      <alignment horizontal="center" vertical="center"/>
      <protection locked="0"/>
    </xf>
    <xf numFmtId="179" fontId="18" fillId="17" borderId="1" xfId="0" applyNumberFormat="1" applyFont="1" applyFill="1" applyBorder="1" applyAlignment="1" applyProtection="1">
      <alignment horizontal="center" vertical="center"/>
      <protection locked="0"/>
    </xf>
    <xf numFmtId="0" fontId="6" fillId="12" borderId="1" xfId="0" applyFont="1" applyFill="1" applyBorder="1" applyAlignment="1">
      <alignment horizontal="center" vertical="center" wrapText="1"/>
    </xf>
    <xf numFmtId="0" fontId="6" fillId="2" borderId="0" xfId="6" applyFill="1" applyAlignment="1">
      <alignment vertical="center"/>
    </xf>
    <xf numFmtId="0" fontId="6" fillId="2" borderId="0" xfId="6" applyFill="1"/>
    <xf numFmtId="0" fontId="6" fillId="12" borderId="0" xfId="6" applyFill="1"/>
    <xf numFmtId="0" fontId="6" fillId="12" borderId="0" xfId="6" applyFill="1" applyAlignment="1">
      <alignment vertical="center"/>
    </xf>
    <xf numFmtId="0" fontId="7" fillId="7" borderId="6" xfId="6" applyFont="1" applyFill="1" applyBorder="1" applyAlignment="1" applyProtection="1">
      <alignment vertical="center" wrapText="1"/>
      <protection locked="0"/>
    </xf>
    <xf numFmtId="0" fontId="22" fillId="13" borderId="1" xfId="6" applyFont="1" applyFill="1" applyBorder="1" applyAlignment="1" applyProtection="1">
      <alignment horizontal="center" vertical="center" wrapText="1"/>
      <protection locked="0"/>
    </xf>
    <xf numFmtId="0" fontId="22" fillId="15" borderId="1" xfId="6" applyFont="1" applyFill="1" applyBorder="1" applyAlignment="1" applyProtection="1">
      <alignment horizontal="center" vertical="center" wrapText="1"/>
      <protection locked="0"/>
    </xf>
    <xf numFmtId="0" fontId="22" fillId="16" borderId="1" xfId="6" applyFont="1" applyFill="1" applyBorder="1" applyAlignment="1" applyProtection="1">
      <alignment horizontal="center" vertical="center" wrapText="1"/>
      <protection locked="0"/>
    </xf>
    <xf numFmtId="0" fontId="7" fillId="17" borderId="1" xfId="6" applyFont="1" applyFill="1" applyBorder="1" applyAlignment="1" applyProtection="1">
      <alignment horizontal="center" vertical="center" wrapText="1"/>
      <protection locked="0"/>
    </xf>
    <xf numFmtId="0" fontId="6" fillId="0" borderId="6" xfId="6" applyBorder="1" applyAlignment="1">
      <alignment horizontal="center" vertical="center" wrapText="1"/>
    </xf>
    <xf numFmtId="0" fontId="6" fillId="12" borderId="1" xfId="6" applyFill="1" applyBorder="1" applyAlignment="1">
      <alignment horizontal="center" vertical="center" wrapText="1"/>
    </xf>
    <xf numFmtId="0" fontId="6" fillId="0" borderId="1" xfId="6" applyBorder="1" applyAlignment="1">
      <alignment horizontal="center" vertical="center" wrapText="1"/>
    </xf>
    <xf numFmtId="0" fontId="6" fillId="4" borderId="1" xfId="6" applyFill="1" applyBorder="1" applyAlignment="1">
      <alignment horizontal="center" vertical="center" wrapText="1"/>
    </xf>
    <xf numFmtId="0" fontId="6" fillId="2" borderId="0" xfId="6" applyFill="1" applyAlignment="1">
      <alignment horizontal="center" vertical="center"/>
    </xf>
    <xf numFmtId="2" fontId="6" fillId="2" borderId="0" xfId="6" applyNumberFormat="1" applyFill="1" applyAlignment="1">
      <alignment horizontal="center" vertical="center"/>
    </xf>
    <xf numFmtId="164" fontId="6" fillId="2" borderId="0" xfId="6" applyNumberFormat="1" applyFill="1" applyAlignment="1">
      <alignment horizontal="center" vertical="center"/>
    </xf>
    <xf numFmtId="165" fontId="6" fillId="2" borderId="0" xfId="6" applyNumberFormat="1" applyFill="1" applyAlignment="1">
      <alignment horizontal="center" vertical="center"/>
    </xf>
    <xf numFmtId="0" fontId="7" fillId="0" borderId="6" xfId="0" applyFont="1" applyBorder="1" applyAlignment="1">
      <alignment horizontal="left" vertical="center" wrapText="1" indent="1"/>
    </xf>
    <xf numFmtId="174" fontId="19" fillId="13" borderId="1" xfId="0" applyNumberFormat="1" applyFont="1" applyFill="1" applyBorder="1" applyAlignment="1" applyProtection="1">
      <alignment horizontal="center" vertical="center"/>
      <protection locked="0"/>
    </xf>
    <xf numFmtId="174" fontId="18" fillId="14" borderId="1" xfId="0" applyNumberFormat="1" applyFont="1" applyFill="1" applyBorder="1" applyAlignment="1" applyProtection="1">
      <alignment horizontal="center" vertical="center"/>
      <protection locked="0"/>
    </xf>
    <xf numFmtId="174" fontId="19" fillId="15" borderId="1" xfId="0" applyNumberFormat="1" applyFont="1" applyFill="1" applyBorder="1" applyAlignment="1" applyProtection="1">
      <alignment horizontal="center" vertical="center"/>
      <protection locked="0"/>
    </xf>
    <xf numFmtId="0" fontId="6" fillId="31" borderId="6" xfId="0" applyFont="1" applyFill="1" applyBorder="1" applyAlignment="1">
      <alignment horizontal="center" vertical="center" wrapText="1"/>
    </xf>
    <xf numFmtId="0" fontId="7" fillId="0" borderId="15" xfId="0" applyFont="1" applyBorder="1" applyAlignment="1">
      <alignment vertical="center" wrapText="1"/>
    </xf>
    <xf numFmtId="180" fontId="6" fillId="4" borderId="1" xfId="0" applyNumberFormat="1" applyFont="1" applyFill="1" applyBorder="1" applyAlignment="1">
      <alignment horizontal="center" vertical="center" wrapText="1"/>
    </xf>
    <xf numFmtId="0" fontId="9" fillId="0" borderId="1" xfId="0" applyFont="1" applyBorder="1" applyAlignment="1">
      <alignment vertical="top" wrapText="1"/>
    </xf>
    <xf numFmtId="0" fontId="6" fillId="2" borderId="8" xfId="0" quotePrefix="1" applyFont="1" applyFill="1" applyBorder="1" applyAlignment="1">
      <alignment vertical="center" wrapText="1"/>
    </xf>
    <xf numFmtId="0" fontId="8" fillId="2" borderId="0" xfId="6" applyFont="1" applyFill="1" applyAlignment="1">
      <alignment vertical="center"/>
    </xf>
    <xf numFmtId="0" fontId="8" fillId="12" borderId="0" xfId="6" applyFont="1" applyFill="1" applyAlignment="1">
      <alignment vertical="center"/>
    </xf>
    <xf numFmtId="0" fontId="29" fillId="33" borderId="0" xfId="1" applyNumberFormat="1" applyFont="1" applyFill="1" applyBorder="1" applyAlignment="1" applyProtection="1">
      <alignment horizontal="center" vertical="center" wrapText="1"/>
    </xf>
    <xf numFmtId="43" fontId="29" fillId="33" borderId="0" xfId="7" applyFont="1" applyFill="1" applyBorder="1" applyAlignment="1" applyProtection="1">
      <alignment horizontal="center" vertical="center" wrapText="1"/>
    </xf>
    <xf numFmtId="0" fontId="7" fillId="7" borderId="1" xfId="6" quotePrefix="1" applyFont="1" applyFill="1" applyBorder="1" applyAlignment="1">
      <alignment horizontal="center" vertical="center" wrapText="1"/>
    </xf>
    <xf numFmtId="49" fontId="20" fillId="7" borderId="1" xfId="6" applyNumberFormat="1" applyFont="1" applyFill="1" applyBorder="1" applyAlignment="1">
      <alignment horizontal="center" vertical="center" wrapText="1"/>
    </xf>
    <xf numFmtId="49" fontId="7" fillId="7" borderId="1" xfId="6" applyNumberFormat="1" applyFont="1" applyFill="1" applyBorder="1" applyAlignment="1">
      <alignment horizontal="center" vertical="center" wrapText="1"/>
    </xf>
    <xf numFmtId="0" fontId="6" fillId="36" borderId="1" xfId="0" applyFont="1" applyFill="1" applyBorder="1" applyAlignment="1">
      <alignment horizontal="center" vertical="center" wrapText="1"/>
    </xf>
    <xf numFmtId="1" fontId="6" fillId="36" borderId="1" xfId="0" applyNumberFormat="1" applyFont="1" applyFill="1" applyBorder="1" applyAlignment="1">
      <alignment horizontal="center" vertical="center" wrapText="1"/>
    </xf>
    <xf numFmtId="49" fontId="6" fillId="36" borderId="1" xfId="0" applyNumberFormat="1" applyFont="1" applyFill="1" applyBorder="1" applyAlignment="1">
      <alignment horizontal="center" vertical="center" wrapText="1"/>
    </xf>
    <xf numFmtId="169" fontId="6" fillId="36" borderId="1" xfId="0" applyNumberFormat="1" applyFont="1" applyFill="1" applyBorder="1" applyAlignment="1">
      <alignment horizontal="left" vertical="center" wrapText="1"/>
    </xf>
    <xf numFmtId="0" fontId="6" fillId="36" borderId="1" xfId="0" applyFont="1" applyFill="1" applyBorder="1" applyAlignment="1">
      <alignment horizontal="left" vertical="center" wrapText="1"/>
    </xf>
    <xf numFmtId="181" fontId="31" fillId="37" borderId="1" xfId="7" applyNumberFormat="1" applyFont="1" applyFill="1" applyBorder="1" applyAlignment="1" applyProtection="1">
      <alignment horizontal="center" vertical="center"/>
    </xf>
    <xf numFmtId="182" fontId="31" fillId="37" borderId="1" xfId="7" applyNumberFormat="1" applyFont="1" applyFill="1" applyBorder="1" applyAlignment="1" applyProtection="1">
      <alignment horizontal="center" vertical="center"/>
    </xf>
    <xf numFmtId="169" fontId="31" fillId="36" borderId="1" xfId="6" applyNumberFormat="1" applyFont="1" applyFill="1" applyBorder="1" applyAlignment="1">
      <alignment horizontal="right" vertical="center"/>
    </xf>
    <xf numFmtId="43" fontId="31" fillId="36" borderId="1" xfId="7" applyFont="1" applyFill="1" applyBorder="1" applyAlignment="1" applyProtection="1">
      <alignment horizontal="right" vertical="center"/>
    </xf>
    <xf numFmtId="0" fontId="31" fillId="36" borderId="1" xfId="6" applyFont="1" applyFill="1" applyBorder="1" applyAlignment="1">
      <alignment horizontal="right" vertical="center"/>
    </xf>
    <xf numFmtId="4" fontId="31" fillId="37" borderId="1" xfId="7" applyNumberFormat="1" applyFont="1" applyFill="1" applyBorder="1" applyAlignment="1" applyProtection="1">
      <alignment horizontal="center" vertical="center"/>
    </xf>
    <xf numFmtId="0" fontId="6" fillId="33" borderId="0" xfId="6" applyFill="1" applyAlignment="1">
      <alignment vertical="center"/>
    </xf>
    <xf numFmtId="0" fontId="6" fillId="33" borderId="0" xfId="6" applyFill="1" applyAlignment="1">
      <alignment horizontal="center" vertical="center"/>
    </xf>
    <xf numFmtId="166" fontId="6" fillId="33" borderId="0" xfId="6" applyNumberFormat="1" applyFill="1" applyAlignment="1">
      <alignment horizontal="center" vertical="center"/>
    </xf>
    <xf numFmtId="0" fontId="6" fillId="33" borderId="0" xfId="6" applyFill="1"/>
    <xf numFmtId="43" fontId="6" fillId="33" borderId="0" xfId="7" applyFont="1" applyFill="1" applyBorder="1" applyAlignment="1" applyProtection="1">
      <alignment vertical="center"/>
    </xf>
    <xf numFmtId="0" fontId="6" fillId="36" borderId="1" xfId="6" applyFill="1" applyBorder="1" applyAlignment="1">
      <alignment horizontal="center" vertical="center" wrapText="1"/>
    </xf>
    <xf numFmtId="1" fontId="6" fillId="36" borderId="1" xfId="6" applyNumberFormat="1" applyFill="1" applyBorder="1" applyAlignment="1">
      <alignment horizontal="left" vertical="center" wrapText="1"/>
    </xf>
    <xf numFmtId="49" fontId="6" fillId="36" borderId="1" xfId="6" applyNumberFormat="1" applyFill="1" applyBorder="1" applyAlignment="1">
      <alignment horizontal="center" vertical="center" wrapText="1"/>
    </xf>
    <xf numFmtId="0" fontId="6" fillId="36" borderId="1" xfId="6" applyFill="1" applyBorder="1" applyAlignment="1">
      <alignment horizontal="left" vertical="center" wrapText="1"/>
    </xf>
    <xf numFmtId="174" fontId="31" fillId="37" borderId="1" xfId="6" applyNumberFormat="1" applyFont="1" applyFill="1" applyBorder="1" applyAlignment="1">
      <alignment horizontal="center" vertical="center"/>
    </xf>
    <xf numFmtId="164" fontId="31" fillId="37" borderId="1" xfId="6" applyNumberFormat="1" applyFont="1" applyFill="1" applyBorder="1" applyAlignment="1">
      <alignment horizontal="center" vertical="center"/>
    </xf>
    <xf numFmtId="174" fontId="31" fillId="36" borderId="1" xfId="6" applyNumberFormat="1" applyFont="1" applyFill="1" applyBorder="1" applyAlignment="1">
      <alignment horizontal="center" vertical="center"/>
    </xf>
    <xf numFmtId="164" fontId="31" fillId="36" borderId="1" xfId="6" applyNumberFormat="1" applyFont="1" applyFill="1" applyBorder="1" applyAlignment="1">
      <alignment horizontal="center" vertical="center"/>
    </xf>
    <xf numFmtId="169" fontId="6" fillId="36" borderId="1" xfId="6" applyNumberFormat="1" applyFill="1" applyBorder="1" applyAlignment="1">
      <alignment horizontal="left" vertical="center" wrapText="1"/>
    </xf>
    <xf numFmtId="167" fontId="31" fillId="37" borderId="1" xfId="7" applyNumberFormat="1" applyFont="1" applyFill="1" applyBorder="1" applyAlignment="1" applyProtection="1">
      <alignment horizontal="right" vertical="center"/>
    </xf>
    <xf numFmtId="168" fontId="31" fillId="37" borderId="1" xfId="7" applyNumberFormat="1" applyFont="1" applyFill="1" applyBorder="1" applyAlignment="1" applyProtection="1">
      <alignment horizontal="right" vertical="center"/>
    </xf>
    <xf numFmtId="174" fontId="31" fillId="36" borderId="1" xfId="6" applyNumberFormat="1" applyFont="1" applyFill="1" applyBorder="1" applyAlignment="1">
      <alignment horizontal="right" vertical="center"/>
    </xf>
    <xf numFmtId="164" fontId="31" fillId="36" borderId="1" xfId="6" applyNumberFormat="1" applyFont="1" applyFill="1" applyBorder="1" applyAlignment="1">
      <alignment horizontal="right" vertical="center"/>
    </xf>
    <xf numFmtId="0" fontId="32" fillId="33" borderId="0" xfId="1" applyNumberFormat="1" applyFont="1" applyFill="1" applyBorder="1" applyAlignment="1" applyProtection="1">
      <alignment horizontal="center" vertical="center" wrapText="1"/>
    </xf>
    <xf numFmtId="1" fontId="6" fillId="36" borderId="1" xfId="6" applyNumberFormat="1" applyFill="1" applyBorder="1" applyAlignment="1">
      <alignment horizontal="center" vertical="center" wrapText="1"/>
    </xf>
    <xf numFmtId="165" fontId="31" fillId="37" borderId="1" xfId="0" applyNumberFormat="1" applyFont="1" applyFill="1" applyBorder="1" applyAlignment="1">
      <alignment horizontal="center" vertical="center"/>
    </xf>
    <xf numFmtId="4" fontId="31" fillId="37" borderId="1" xfId="0" applyNumberFormat="1" applyFont="1" applyFill="1" applyBorder="1" applyAlignment="1">
      <alignment horizontal="center" vertical="center"/>
    </xf>
    <xf numFmtId="170" fontId="33" fillId="36" borderId="1" xfId="0" applyNumberFormat="1" applyFont="1" applyFill="1" applyBorder="1" applyAlignment="1">
      <alignment horizontal="center" vertical="center"/>
    </xf>
    <xf numFmtId="171" fontId="33" fillId="36" borderId="1" xfId="0" applyNumberFormat="1" applyFont="1" applyFill="1" applyBorder="1" applyAlignment="1">
      <alignment horizontal="center" vertical="center"/>
    </xf>
    <xf numFmtId="170" fontId="33" fillId="37" borderId="1" xfId="0" applyNumberFormat="1" applyFont="1" applyFill="1" applyBorder="1" applyAlignment="1">
      <alignment horizontal="center" vertical="center"/>
    </xf>
    <xf numFmtId="171" fontId="33" fillId="37" borderId="1" xfId="0" applyNumberFormat="1" applyFont="1" applyFill="1" applyBorder="1" applyAlignment="1">
      <alignment horizontal="center" vertical="center"/>
    </xf>
    <xf numFmtId="169" fontId="6" fillId="36" borderId="1" xfId="6" applyNumberFormat="1" applyFill="1" applyBorder="1" applyAlignment="1">
      <alignment horizontal="center" vertical="center" wrapText="1"/>
    </xf>
    <xf numFmtId="166" fontId="31" fillId="37" borderId="1" xfId="6" applyNumberFormat="1" applyFont="1" applyFill="1" applyBorder="1" applyAlignment="1">
      <alignment horizontal="center" vertical="center"/>
    </xf>
    <xf numFmtId="4" fontId="31" fillId="37" borderId="1" xfId="6" applyNumberFormat="1" applyFont="1" applyFill="1" applyBorder="1" applyAlignment="1">
      <alignment horizontal="center" vertical="center"/>
    </xf>
    <xf numFmtId="43" fontId="31" fillId="36" borderId="1" xfId="7" applyFont="1" applyFill="1" applyBorder="1" applyAlignment="1" applyProtection="1">
      <alignment horizontal="center" vertical="center"/>
    </xf>
    <xf numFmtId="0" fontId="7" fillId="0" borderId="1" xfId="6" applyFont="1" applyBorder="1" applyAlignment="1">
      <alignment horizontal="left" vertical="center" wrapText="1"/>
    </xf>
    <xf numFmtId="49" fontId="6" fillId="36" borderId="1" xfId="6" quotePrefix="1" applyNumberFormat="1" applyFill="1" applyBorder="1" applyAlignment="1">
      <alignment horizontal="center" vertical="center" wrapText="1"/>
    </xf>
    <xf numFmtId="170" fontId="33" fillId="37" borderId="1" xfId="6" applyNumberFormat="1" applyFont="1" applyFill="1" applyBorder="1" applyAlignment="1">
      <alignment horizontal="center" vertical="center"/>
    </xf>
    <xf numFmtId="171" fontId="33" fillId="37" borderId="1" xfId="6" applyNumberFormat="1" applyFont="1" applyFill="1" applyBorder="1" applyAlignment="1">
      <alignment horizontal="center" vertical="center"/>
    </xf>
    <xf numFmtId="170" fontId="33" fillId="36" borderId="1" xfId="6" applyNumberFormat="1" applyFont="1" applyFill="1" applyBorder="1" applyAlignment="1">
      <alignment horizontal="center" vertical="center"/>
    </xf>
    <xf numFmtId="171" fontId="33" fillId="36" borderId="1" xfId="6" applyNumberFormat="1" applyFont="1" applyFill="1" applyBorder="1" applyAlignment="1">
      <alignment horizontal="center" vertical="center"/>
    </xf>
    <xf numFmtId="166" fontId="6" fillId="2" borderId="0" xfId="6" applyNumberFormat="1" applyFill="1" applyAlignment="1">
      <alignment horizontal="center" vertical="center"/>
    </xf>
    <xf numFmtId="0" fontId="18" fillId="4" borderId="1" xfId="0" applyFont="1" applyFill="1" applyBorder="1" applyAlignment="1" applyProtection="1">
      <alignment horizontal="center" vertical="center" wrapText="1"/>
      <protection locked="0"/>
    </xf>
    <xf numFmtId="169" fontId="7" fillId="3" borderId="1" xfId="0" applyNumberFormat="1" applyFont="1" applyFill="1" applyBorder="1" applyAlignment="1" applyProtection="1">
      <alignment horizontal="center" vertical="center"/>
      <protection locked="0"/>
    </xf>
    <xf numFmtId="0" fontId="9" fillId="0" borderId="1" xfId="0" applyFont="1" applyBorder="1" applyAlignment="1">
      <alignment horizontal="left" vertical="top" wrapText="1"/>
    </xf>
    <xf numFmtId="174" fontId="7" fillId="14" borderId="3" xfId="0" applyNumberFormat="1" applyFont="1" applyFill="1" applyBorder="1" applyAlignment="1" applyProtection="1">
      <alignment horizontal="center" vertical="center" wrapText="1"/>
      <protection locked="0"/>
    </xf>
    <xf numFmtId="0" fontId="6" fillId="4" borderId="1" xfId="0" applyFont="1" applyFill="1" applyBorder="1" applyAlignment="1">
      <alignment vertical="center" wrapText="1"/>
    </xf>
    <xf numFmtId="0" fontId="6" fillId="12" borderId="3" xfId="0" applyFont="1" applyFill="1" applyBorder="1" applyAlignment="1">
      <alignment horizontal="center" vertical="center" wrapText="1"/>
    </xf>
    <xf numFmtId="0" fontId="22" fillId="13" borderId="1" xfId="0" applyFont="1" applyFill="1" applyBorder="1" applyAlignment="1" applyProtection="1">
      <alignment horizontal="center" vertical="center"/>
      <protection locked="0"/>
    </xf>
    <xf numFmtId="0" fontId="7" fillId="0" borderId="16" xfId="0" applyFont="1" applyBorder="1" applyAlignment="1">
      <alignment vertical="center" wrapText="1"/>
    </xf>
    <xf numFmtId="0" fontId="6" fillId="0" borderId="16" xfId="0" applyFont="1" applyBorder="1" applyAlignment="1">
      <alignment vertical="center" wrapText="1"/>
    </xf>
    <xf numFmtId="0" fontId="6" fillId="0" borderId="0" xfId="0" applyFont="1" applyAlignment="1">
      <alignment vertical="center" wrapText="1"/>
    </xf>
    <xf numFmtId="0" fontId="6" fillId="0" borderId="26" xfId="0" applyFont="1" applyBorder="1" applyAlignment="1">
      <alignment horizontal="center" vertical="center" wrapText="1"/>
    </xf>
    <xf numFmtId="0" fontId="6" fillId="0" borderId="0" xfId="6" applyAlignment="1">
      <alignment vertical="center"/>
    </xf>
    <xf numFmtId="0" fontId="7" fillId="7" borderId="1" xfId="6" applyFont="1" applyFill="1" applyBorder="1" applyAlignment="1" applyProtection="1">
      <alignment horizontal="center" vertical="center" wrapText="1"/>
      <protection locked="0"/>
    </xf>
    <xf numFmtId="0" fontId="7" fillId="0" borderId="0" xfId="6" applyFont="1" applyAlignment="1">
      <alignment horizontal="left" vertical="center" wrapText="1" indent="1"/>
    </xf>
    <xf numFmtId="0" fontId="6" fillId="12" borderId="0" xfId="6" applyFill="1" applyAlignment="1">
      <alignment wrapText="1"/>
    </xf>
    <xf numFmtId="0" fontId="7" fillId="7" borderId="2" xfId="6" applyFont="1" applyFill="1" applyBorder="1" applyAlignment="1" applyProtection="1">
      <alignment horizontal="center" vertical="center" wrapText="1"/>
      <protection locked="0"/>
    </xf>
    <xf numFmtId="165" fontId="6" fillId="0" borderId="1" xfId="6" applyNumberFormat="1" applyBorder="1" applyAlignment="1">
      <alignment horizontal="center" vertical="center"/>
    </xf>
    <xf numFmtId="0" fontId="6" fillId="0" borderId="3" xfId="6" applyBorder="1" applyAlignment="1">
      <alignment horizontal="left" vertical="center" wrapText="1" indent="1"/>
    </xf>
    <xf numFmtId="0" fontId="6" fillId="0" borderId="5" xfId="6" applyBorder="1" applyAlignment="1">
      <alignment horizontal="left" vertical="center" wrapText="1" indent="1"/>
    </xf>
    <xf numFmtId="0" fontId="6" fillId="12" borderId="1" xfId="6" applyFill="1" applyBorder="1" applyAlignment="1">
      <alignment horizontal="center" vertical="center"/>
    </xf>
    <xf numFmtId="0" fontId="7" fillId="0" borderId="6" xfId="6" applyFont="1" applyBorder="1" applyAlignment="1">
      <alignment vertical="center" wrapText="1"/>
    </xf>
    <xf numFmtId="0" fontId="7" fillId="0" borderId="1" xfId="6" applyFont="1" applyBorder="1" applyAlignment="1">
      <alignment vertical="center" wrapText="1"/>
    </xf>
    <xf numFmtId="0" fontId="7" fillId="0" borderId="0" xfId="6" applyFont="1" applyAlignment="1">
      <alignment vertical="top" wrapText="1"/>
    </xf>
    <xf numFmtId="0" fontId="6" fillId="0" borderId="0" xfId="6" applyAlignment="1">
      <alignment wrapText="1"/>
    </xf>
    <xf numFmtId="0" fontId="7" fillId="0" borderId="8" xfId="6" applyFont="1" applyBorder="1" applyAlignment="1">
      <alignment vertical="top" wrapText="1"/>
    </xf>
    <xf numFmtId="0" fontId="6" fillId="0" borderId="1" xfId="6" applyBorder="1" applyAlignment="1">
      <alignment vertical="center" wrapText="1"/>
    </xf>
    <xf numFmtId="0" fontId="6" fillId="0" borderId="1" xfId="6" applyBorder="1" applyAlignment="1">
      <alignment vertical="center"/>
    </xf>
    <xf numFmtId="0" fontId="6" fillId="0" borderId="1" xfId="6" applyBorder="1" applyAlignment="1">
      <alignment horizontal="center" vertical="center"/>
    </xf>
    <xf numFmtId="165" fontId="6" fillId="0" borderId="0" xfId="6" applyNumberFormat="1" applyAlignment="1">
      <alignment vertical="center"/>
    </xf>
    <xf numFmtId="0" fontId="6" fillId="0" borderId="0" xfId="6" applyAlignment="1">
      <alignment horizontal="center" vertical="center"/>
    </xf>
    <xf numFmtId="0" fontId="6" fillId="0" borderId="1" xfId="6" applyBorder="1" applyAlignment="1" applyProtection="1">
      <alignment horizontal="center" vertical="center" wrapText="1"/>
      <protection locked="0"/>
    </xf>
    <xf numFmtId="183" fontId="0" fillId="0" borderId="1" xfId="7" applyNumberFormat="1" applyFont="1" applyBorder="1" applyAlignment="1">
      <alignment vertical="center"/>
    </xf>
    <xf numFmtId="183" fontId="0" fillId="0" borderId="1" xfId="7" applyNumberFormat="1" applyFont="1" applyFill="1" applyBorder="1" applyAlignment="1">
      <alignment vertical="center"/>
    </xf>
    <xf numFmtId="165" fontId="6" fillId="0" borderId="1" xfId="6" applyNumberFormat="1" applyBorder="1" applyAlignment="1" applyProtection="1">
      <alignment horizontal="center" vertical="center" wrapText="1"/>
      <protection locked="0"/>
    </xf>
    <xf numFmtId="1" fontId="6" fillId="0" borderId="1" xfId="6" applyNumberFormat="1" applyBorder="1" applyAlignment="1">
      <alignment horizontal="center" vertical="center"/>
    </xf>
    <xf numFmtId="0" fontId="6" fillId="0" borderId="0" xfId="6" applyAlignment="1">
      <alignment vertical="center" wrapText="1"/>
    </xf>
    <xf numFmtId="0" fontId="0" fillId="33" borderId="0" xfId="0" applyFill="1" applyAlignment="1">
      <alignment vertical="center"/>
    </xf>
    <xf numFmtId="49" fontId="34" fillId="34" borderId="1" xfId="0" applyNumberFormat="1" applyFont="1" applyFill="1" applyBorder="1" applyAlignment="1">
      <alignment horizontal="center" vertical="center" wrapText="1"/>
    </xf>
    <xf numFmtId="49" fontId="6" fillId="36" borderId="1" xfId="0" quotePrefix="1" applyNumberFormat="1" applyFont="1" applyFill="1" applyBorder="1" applyAlignment="1">
      <alignment horizontal="left" vertical="center" wrapText="1"/>
    </xf>
    <xf numFmtId="49" fontId="6" fillId="36" borderId="1" xfId="0" applyNumberFormat="1" applyFont="1" applyFill="1" applyBorder="1" applyAlignment="1">
      <alignment horizontal="left" vertical="center" wrapText="1"/>
    </xf>
    <xf numFmtId="49" fontId="0" fillId="36" borderId="1" xfId="0" applyNumberFormat="1" applyFill="1" applyBorder="1" applyAlignment="1">
      <alignment horizontal="left" vertical="center" wrapText="1"/>
    </xf>
    <xf numFmtId="170" fontId="35" fillId="37" borderId="1" xfId="0" applyNumberFormat="1" applyFont="1" applyFill="1" applyBorder="1" applyAlignment="1">
      <alignment horizontal="center" vertical="center"/>
    </xf>
    <xf numFmtId="171" fontId="35" fillId="37" borderId="1" xfId="0" applyNumberFormat="1" applyFont="1" applyFill="1" applyBorder="1" applyAlignment="1">
      <alignment horizontal="center" vertical="center"/>
    </xf>
    <xf numFmtId="170" fontId="35" fillId="36" borderId="1" xfId="0" applyNumberFormat="1" applyFont="1" applyFill="1" applyBorder="1" applyAlignment="1">
      <alignment horizontal="center" vertical="center"/>
    </xf>
    <xf numFmtId="171" fontId="35" fillId="36" borderId="1" xfId="0" applyNumberFormat="1" applyFont="1" applyFill="1" applyBorder="1" applyAlignment="1">
      <alignment horizontal="center" vertical="center"/>
    </xf>
    <xf numFmtId="0" fontId="0" fillId="33" borderId="0" xfId="0" applyFill="1" applyAlignment="1">
      <alignment horizontal="center" vertical="center"/>
    </xf>
    <xf numFmtId="166" fontId="0" fillId="33" borderId="0" xfId="0" applyNumberFormat="1" applyFill="1" applyAlignment="1">
      <alignment horizontal="center" vertical="center"/>
    </xf>
    <xf numFmtId="0" fontId="0" fillId="33" borderId="0" xfId="0" applyFill="1"/>
    <xf numFmtId="0" fontId="7" fillId="38" borderId="1" xfId="0" quotePrefix="1" applyFont="1" applyFill="1" applyBorder="1" applyAlignment="1">
      <alignment horizontal="center" vertical="center" wrapText="1"/>
    </xf>
    <xf numFmtId="0" fontId="7" fillId="39" borderId="1" xfId="0" quotePrefix="1" applyFont="1" applyFill="1" applyBorder="1" applyAlignment="1">
      <alignment horizontal="center" vertical="center" wrapText="1"/>
    </xf>
    <xf numFmtId="49" fontId="0" fillId="36" borderId="1" xfId="0" applyNumberFormat="1" applyFill="1" applyBorder="1" applyAlignment="1">
      <alignment horizontal="left" vertical="top" wrapText="1"/>
    </xf>
    <xf numFmtId="49" fontId="0" fillId="40" borderId="1" xfId="0" applyNumberFormat="1" applyFill="1" applyBorder="1" applyAlignment="1">
      <alignment horizontal="left" vertical="top" wrapText="1"/>
    </xf>
    <xf numFmtId="170" fontId="35" fillId="40" borderId="1" xfId="0" applyNumberFormat="1" applyFont="1" applyFill="1" applyBorder="1" applyAlignment="1">
      <alignment horizontal="center" vertical="center"/>
    </xf>
    <xf numFmtId="171" fontId="35" fillId="40" borderId="1" xfId="0" applyNumberFormat="1" applyFont="1" applyFill="1" applyBorder="1" applyAlignment="1">
      <alignment horizontal="center" vertical="center"/>
    </xf>
    <xf numFmtId="171" fontId="35" fillId="41" borderId="1" xfId="0" applyNumberFormat="1" applyFont="1" applyFill="1" applyBorder="1" applyAlignment="1">
      <alignment horizontal="center" vertical="center"/>
    </xf>
    <xf numFmtId="0" fontId="0" fillId="33" borderId="29" xfId="0" applyFill="1" applyBorder="1" applyAlignment="1">
      <alignment vertical="center"/>
    </xf>
    <xf numFmtId="0" fontId="0" fillId="33" borderId="29" xfId="0" applyFill="1" applyBorder="1" applyAlignment="1">
      <alignment horizontal="center" vertical="center"/>
    </xf>
    <xf numFmtId="166" fontId="0" fillId="33" borderId="29" xfId="0" applyNumberFormat="1" applyFill="1" applyBorder="1" applyAlignment="1">
      <alignment horizontal="center" vertical="center"/>
    </xf>
    <xf numFmtId="0" fontId="0" fillId="33" borderId="29" xfId="0" applyFill="1" applyBorder="1"/>
    <xf numFmtId="0" fontId="0" fillId="33" borderId="30" xfId="0" applyFill="1" applyBorder="1" applyAlignment="1">
      <alignment vertical="center"/>
    </xf>
    <xf numFmtId="0" fontId="0" fillId="33" borderId="31" xfId="0" applyFill="1" applyBorder="1" applyAlignment="1">
      <alignment vertical="center"/>
    </xf>
    <xf numFmtId="0" fontId="0" fillId="33" borderId="31" xfId="0" applyFill="1" applyBorder="1" applyAlignment="1">
      <alignment horizontal="center" vertical="center"/>
    </xf>
    <xf numFmtId="166" fontId="0" fillId="33" borderId="31" xfId="0" applyNumberFormat="1" applyFill="1" applyBorder="1" applyAlignment="1">
      <alignment horizontal="center" vertical="center"/>
    </xf>
    <xf numFmtId="0" fontId="0" fillId="33" borderId="31" xfId="0" applyFill="1" applyBorder="1"/>
    <xf numFmtId="0" fontId="6" fillId="2" borderId="0" xfId="6" quotePrefix="1" applyFill="1" applyAlignment="1">
      <alignment vertical="center" wrapText="1"/>
    </xf>
    <xf numFmtId="0" fontId="6" fillId="0" borderId="0" xfId="6" quotePrefix="1" applyAlignment="1">
      <alignment vertical="center" wrapText="1"/>
    </xf>
    <xf numFmtId="0" fontId="0" fillId="2" borderId="0" xfId="0" quotePrefix="1" applyFill="1" applyAlignment="1">
      <alignment vertical="center" wrapText="1"/>
    </xf>
    <xf numFmtId="0" fontId="7" fillId="0" borderId="0" xfId="0" applyFont="1" applyAlignment="1" applyProtection="1">
      <alignment horizontal="left" vertical="top" wrapText="1"/>
      <protection locked="0"/>
    </xf>
    <xf numFmtId="0" fontId="7" fillId="0" borderId="0" xfId="0" applyFont="1"/>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0" borderId="1"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4"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0" borderId="1" xfId="0" applyFont="1" applyBorder="1" applyAlignment="1">
      <alignment vertical="center" wrapText="1"/>
    </xf>
    <xf numFmtId="43" fontId="6" fillId="2" borderId="0" xfId="19" applyFont="1" applyFill="1" applyAlignment="1" applyProtection="1">
      <alignment vertical="center"/>
    </xf>
    <xf numFmtId="0" fontId="7" fillId="0" borderId="1" xfId="0" applyFont="1" applyBorder="1" applyAlignment="1">
      <alignment horizontal="left"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6" fillId="0" borderId="4" xfId="0" applyFont="1" applyBorder="1" applyAlignment="1">
      <alignment horizontal="center" vertical="center" wrapText="1"/>
    </xf>
    <xf numFmtId="49" fontId="10" fillId="0" borderId="0" xfId="5" quotePrefix="1" applyNumberFormat="1" applyBorder="1" applyAlignment="1" applyProtection="1">
      <alignment horizontal="left" vertical="center"/>
      <protection locked="0"/>
    </xf>
    <xf numFmtId="0" fontId="7" fillId="0" borderId="6" xfId="0" applyFont="1" applyBorder="1" applyAlignment="1">
      <alignment horizontal="center" vertical="center" wrapText="1"/>
    </xf>
    <xf numFmtId="0" fontId="6" fillId="0" borderId="15" xfId="0" applyFont="1" applyBorder="1" applyAlignment="1">
      <alignment vertical="center" wrapText="1"/>
    </xf>
    <xf numFmtId="174" fontId="18" fillId="14" borderId="3" xfId="0" applyNumberFormat="1" applyFont="1" applyFill="1" applyBorder="1" applyAlignment="1" applyProtection="1">
      <alignment horizontal="center" vertical="center" wrapText="1"/>
      <protection locked="0"/>
    </xf>
    <xf numFmtId="0" fontId="7" fillId="0" borderId="6" xfId="0" applyFont="1" applyBorder="1" applyAlignment="1">
      <alignment vertical="top" wrapText="1"/>
    </xf>
    <xf numFmtId="0" fontId="7" fillId="0" borderId="1" xfId="0" applyFont="1" applyBorder="1" applyAlignment="1">
      <alignment vertical="top" wrapText="1"/>
    </xf>
    <xf numFmtId="0" fontId="7" fillId="0" borderId="3" xfId="0" applyFont="1" applyBorder="1" applyAlignment="1">
      <alignment vertical="center" wrapText="1"/>
    </xf>
    <xf numFmtId="0" fontId="7" fillId="0" borderId="6" xfId="6" applyFont="1" applyBorder="1" applyAlignment="1">
      <alignment horizontal="center" vertical="center" wrapText="1"/>
    </xf>
    <xf numFmtId="0" fontId="15" fillId="12" borderId="0" xfId="1" applyNumberFormat="1" applyFont="1" applyFill="1" applyBorder="1" applyAlignment="1" applyProtection="1">
      <alignment vertical="center" wrapText="1"/>
    </xf>
    <xf numFmtId="0" fontId="7" fillId="7" borderId="6" xfId="0" applyFont="1" applyFill="1" applyBorder="1" applyAlignment="1">
      <alignment vertical="center" wrapText="1"/>
    </xf>
    <xf numFmtId="0" fontId="22" fillId="13" borderId="1" xfId="0" applyFont="1" applyFill="1" applyBorder="1" applyAlignment="1">
      <alignment horizontal="center" vertical="center" wrapText="1"/>
    </xf>
    <xf numFmtId="174" fontId="18" fillId="14" borderId="3" xfId="0" applyNumberFormat="1" applyFont="1" applyFill="1" applyBorder="1" applyAlignment="1">
      <alignment horizontal="center" vertical="center" wrapText="1"/>
    </xf>
    <xf numFmtId="0" fontId="22" fillId="15"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6" fillId="4" borderId="3" xfId="0" applyFont="1" applyFill="1" applyBorder="1" applyAlignment="1">
      <alignment vertical="center" wrapText="1"/>
    </xf>
    <xf numFmtId="0" fontId="15" fillId="12" borderId="12" xfId="1" applyNumberFormat="1" applyFont="1" applyFill="1" applyBorder="1" applyAlignment="1" applyProtection="1">
      <alignment horizontal="center" vertical="center" wrapText="1"/>
    </xf>
    <xf numFmtId="0" fontId="6" fillId="42" borderId="1" xfId="0" applyFont="1" applyFill="1" applyBorder="1" applyAlignment="1">
      <alignment horizontal="center" vertical="center" wrapText="1"/>
    </xf>
    <xf numFmtId="0" fontId="6" fillId="0" borderId="1" xfId="0" applyFont="1" applyBorder="1" applyAlignment="1">
      <alignment vertical="center" wrapText="1"/>
    </xf>
    <xf numFmtId="49" fontId="10" fillId="6" borderId="0" xfId="1" applyNumberFormat="1" applyFill="1" applyAlignment="1" applyProtection="1">
      <alignment horizontal="center" vertical="center" wrapText="1"/>
      <protection locked="0"/>
    </xf>
    <xf numFmtId="0" fontId="7" fillId="0" borderId="3" xfId="0" applyFont="1" applyBorder="1" applyAlignment="1">
      <alignment horizontal="left" vertical="center" wrapText="1" indent="1"/>
    </xf>
    <xf numFmtId="0" fontId="7" fillId="7" borderId="3" xfId="6" applyFont="1" applyFill="1" applyBorder="1" applyAlignment="1" applyProtection="1">
      <alignment horizontal="center" vertical="center" wrapText="1"/>
      <protection locked="0"/>
    </xf>
    <xf numFmtId="0" fontId="6" fillId="0" borderId="1" xfId="6" applyBorder="1" applyAlignment="1">
      <alignment horizontal="left" vertical="center" wrapText="1" indent="1"/>
    </xf>
    <xf numFmtId="0" fontId="12" fillId="0" borderId="0" xfId="3" quotePrefix="1" applyFill="1" applyAlignment="1" applyProtection="1">
      <alignment horizontal="left" vertical="center" indent="1"/>
    </xf>
    <xf numFmtId="0" fontId="37" fillId="0" borderId="0" xfId="0" quotePrefix="1" applyFont="1" applyAlignment="1">
      <alignment horizontal="left" vertical="center" indent="1"/>
    </xf>
    <xf numFmtId="0" fontId="12" fillId="0" borderId="0" xfId="3" quotePrefix="1" applyFill="1" applyAlignment="1" applyProtection="1">
      <alignment horizontal="left" indent="1"/>
    </xf>
    <xf numFmtId="0" fontId="13" fillId="0" borderId="0" xfId="0" quotePrefix="1" applyFont="1" applyAlignment="1">
      <alignment horizontal="left" vertical="center" wrapText="1"/>
    </xf>
    <xf numFmtId="0" fontId="12" fillId="0" borderId="0" xfId="3" applyAlignment="1" applyProtection="1">
      <alignment horizontal="left" vertical="center"/>
    </xf>
    <xf numFmtId="0" fontId="7" fillId="12" borderId="0" xfId="0" applyFont="1" applyFill="1" applyAlignment="1">
      <alignment vertical="center" wrapText="1"/>
    </xf>
    <xf numFmtId="0" fontId="7" fillId="12" borderId="0" xfId="0" applyFont="1" applyFill="1" applyAlignment="1">
      <alignment horizontal="center" vertical="center" wrapText="1"/>
    </xf>
    <xf numFmtId="0" fontId="6" fillId="12" borderId="0" xfId="0" applyFont="1" applyFill="1" applyAlignment="1">
      <alignment horizontal="center" vertical="center" wrapText="1"/>
    </xf>
    <xf numFmtId="165" fontId="6" fillId="0" borderId="3" xfId="6" applyNumberFormat="1" applyBorder="1" applyAlignment="1">
      <alignment horizontal="left" vertical="center" wrapText="1" indent="1"/>
    </xf>
    <xf numFmtId="0" fontId="7" fillId="0" borderId="1" xfId="6" applyFont="1" applyBorder="1" applyAlignment="1">
      <alignment horizontal="left" vertical="center" wrapText="1" indent="1"/>
    </xf>
    <xf numFmtId="0" fontId="6" fillId="0" borderId="1" xfId="6" applyBorder="1" applyAlignment="1">
      <alignment horizontal="left" vertical="center" wrapText="1"/>
    </xf>
    <xf numFmtId="0" fontId="0" fillId="31" borderId="1" xfId="0" applyFill="1" applyBorder="1" applyAlignment="1">
      <alignment vertical="center"/>
    </xf>
    <xf numFmtId="0" fontId="6" fillId="12" borderId="1" xfId="6" applyFill="1" applyBorder="1" applyAlignment="1">
      <alignment horizontal="left" vertical="top" wrapText="1"/>
    </xf>
    <xf numFmtId="0" fontId="6" fillId="12" borderId="1" xfId="6" applyFill="1" applyBorder="1" applyAlignment="1">
      <alignment vertical="center" wrapText="1"/>
    </xf>
    <xf numFmtId="0" fontId="21" fillId="0" borderId="0" xfId="6" applyFont="1"/>
    <xf numFmtId="0" fontId="0" fillId="0" borderId="1" xfId="0" applyBorder="1" applyAlignment="1">
      <alignment horizontal="center" vertical="center"/>
    </xf>
    <xf numFmtId="0" fontId="6" fillId="12" borderId="6" xfId="0" applyFont="1" applyFill="1" applyBorder="1" applyAlignment="1">
      <alignment horizontal="center" vertical="center" wrapText="1"/>
    </xf>
    <xf numFmtId="0" fontId="7" fillId="12" borderId="6" xfId="6" applyFont="1" applyFill="1" applyBorder="1" applyAlignment="1">
      <alignment vertical="center" wrapText="1"/>
    </xf>
    <xf numFmtId="0" fontId="7" fillId="12" borderId="1" xfId="6" applyFont="1" applyFill="1" applyBorder="1" applyAlignment="1">
      <alignment horizontal="left" vertical="center" wrapText="1" indent="1"/>
    </xf>
    <xf numFmtId="0" fontId="7" fillId="12" borderId="1" xfId="6" applyFont="1" applyFill="1" applyBorder="1" applyAlignment="1">
      <alignment vertical="center" wrapText="1"/>
    </xf>
    <xf numFmtId="0" fontId="6" fillId="31" borderId="1"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18" fillId="0" borderId="1" xfId="0" quotePrefix="1" applyFont="1" applyBorder="1" applyAlignment="1" applyProtection="1">
      <alignment horizontal="center" vertical="center" wrapText="1"/>
      <protection locked="0"/>
    </xf>
    <xf numFmtId="0" fontId="38" fillId="2" borderId="0" xfId="0" applyFont="1" applyFill="1" applyAlignment="1">
      <alignment vertical="center"/>
    </xf>
    <xf numFmtId="0" fontId="7" fillId="0" borderId="6" xfId="0" quotePrefix="1" applyFont="1" applyBorder="1" applyAlignment="1">
      <alignment horizontal="center" vertical="center" wrapText="1"/>
    </xf>
    <xf numFmtId="0" fontId="7" fillId="0" borderId="6" xfId="0" quotePrefix="1" applyFont="1" applyBorder="1" applyAlignment="1">
      <alignment vertical="center" wrapText="1"/>
    </xf>
    <xf numFmtId="184" fontId="14" fillId="5" borderId="7" xfId="2" applyNumberFormat="1" applyFont="1" applyAlignment="1" applyProtection="1">
      <alignment horizontal="center" vertical="center" wrapText="1"/>
      <protection locked="0"/>
    </xf>
    <xf numFmtId="0" fontId="14" fillId="5" borderId="7" xfId="2" applyNumberFormat="1" applyFont="1" applyAlignment="1" applyProtection="1">
      <alignment horizontal="center" vertical="center" wrapText="1"/>
      <protection locked="0"/>
    </xf>
    <xf numFmtId="2" fontId="18" fillId="10"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lignment horizontal="center" vertical="center"/>
    </xf>
    <xf numFmtId="2" fontId="18" fillId="10" borderId="1" xfId="0" applyNumberFormat="1" applyFont="1" applyFill="1" applyBorder="1" applyAlignment="1">
      <alignment horizontal="center" vertical="center"/>
    </xf>
    <xf numFmtId="49" fontId="18" fillId="43" borderId="1" xfId="0" applyNumberFormat="1" applyFont="1" applyFill="1" applyBorder="1" applyAlignment="1" applyProtection="1">
      <alignment horizontal="center" vertical="center" wrapText="1"/>
      <protection locked="0"/>
    </xf>
    <xf numFmtId="0" fontId="7" fillId="11" borderId="1" xfId="0" applyFont="1" applyFill="1" applyBorder="1" applyAlignment="1">
      <alignment vertical="center" wrapText="1"/>
    </xf>
    <xf numFmtId="0" fontId="7" fillId="7" borderId="1" xfId="0" applyFont="1" applyFill="1" applyBorder="1" applyAlignment="1">
      <alignment vertical="center" wrapText="1"/>
    </xf>
    <xf numFmtId="0" fontId="40" fillId="0" borderId="1" xfId="20" applyFont="1" applyBorder="1" applyAlignment="1">
      <alignment horizontal="center" vertical="center" wrapText="1"/>
    </xf>
    <xf numFmtId="0" fontId="18" fillId="0" borderId="1" xfId="0" applyFont="1" applyBorder="1" applyAlignment="1">
      <alignment horizontal="center" vertical="center" wrapText="1"/>
    </xf>
    <xf numFmtId="179" fontId="0" fillId="2" borderId="0" xfId="0" applyNumberFormat="1" applyFill="1" applyAlignment="1">
      <alignment vertical="center"/>
    </xf>
    <xf numFmtId="0" fontId="6" fillId="2" borderId="0" xfId="6" quotePrefix="1" applyFill="1" applyAlignment="1">
      <alignment horizontal="center" vertical="center" wrapText="1"/>
    </xf>
    <xf numFmtId="164" fontId="18" fillId="9" borderId="1" xfId="0" applyNumberFormat="1" applyFont="1" applyFill="1" applyBorder="1" applyAlignment="1" applyProtection="1">
      <alignment horizontal="center" vertical="center"/>
      <protection locked="0"/>
    </xf>
    <xf numFmtId="185" fontId="18" fillId="3" borderId="1" xfId="0" applyNumberFormat="1" applyFont="1" applyFill="1" applyBorder="1" applyAlignment="1" applyProtection="1">
      <alignment horizontal="center" vertical="center"/>
      <protection locked="0"/>
    </xf>
    <xf numFmtId="0" fontId="12" fillId="2" borderId="0" xfId="3" quotePrefix="1" applyFill="1" applyAlignment="1" applyProtection="1">
      <alignment vertical="top"/>
    </xf>
    <xf numFmtId="0" fontId="13" fillId="2" borderId="0" xfId="6" applyFont="1" applyFill="1"/>
    <xf numFmtId="179" fontId="7" fillId="44" borderId="1" xfId="0" applyNumberFormat="1" applyFont="1" applyFill="1" applyBorder="1" applyAlignment="1" applyProtection="1">
      <alignment vertical="center" wrapText="1"/>
      <protection locked="0"/>
    </xf>
    <xf numFmtId="0" fontId="7" fillId="12" borderId="3" xfId="0" applyFont="1" applyFill="1" applyBorder="1" applyAlignment="1">
      <alignment horizontal="left" vertical="center" wrapText="1" indent="1"/>
    </xf>
    <xf numFmtId="169" fontId="6" fillId="12" borderId="1" xfId="6" applyNumberFormat="1" applyFill="1" applyBorder="1" applyAlignment="1">
      <alignment horizontal="center" vertical="center" wrapText="1"/>
    </xf>
    <xf numFmtId="0" fontId="18" fillId="8" borderId="1" xfId="0" applyFont="1" applyFill="1" applyBorder="1" applyAlignment="1">
      <alignment horizontal="center" vertical="center" wrapText="1"/>
    </xf>
    <xf numFmtId="0" fontId="18" fillId="12" borderId="1" xfId="0" applyFont="1" applyFill="1" applyBorder="1" applyAlignment="1">
      <alignment horizontal="center" vertical="center" wrapText="1"/>
    </xf>
    <xf numFmtId="164" fontId="18" fillId="9" borderId="1" xfId="0" applyNumberFormat="1" applyFont="1" applyFill="1" applyBorder="1" applyAlignment="1">
      <alignment horizontal="center" vertical="center"/>
    </xf>
    <xf numFmtId="164" fontId="18" fillId="45"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0" fontId="41" fillId="2" borderId="0" xfId="6" quotePrefix="1" applyFont="1" applyFill="1" applyAlignment="1">
      <alignment vertical="center" wrapText="1"/>
    </xf>
    <xf numFmtId="0" fontId="41" fillId="2" borderId="0" xfId="0" applyFont="1" applyFill="1"/>
    <xf numFmtId="0" fontId="41" fillId="12" borderId="0" xfId="0" applyFont="1" applyFill="1"/>
    <xf numFmtId="0" fontId="18" fillId="12" borderId="1" xfId="0" applyFont="1" applyFill="1" applyBorder="1" applyAlignment="1" applyProtection="1">
      <alignment horizontal="center" vertical="center" wrapText="1"/>
      <protection locked="0"/>
    </xf>
    <xf numFmtId="164" fontId="0" fillId="2" borderId="0" xfId="0" applyNumberFormat="1" applyFill="1" applyAlignment="1">
      <alignment vertical="center"/>
    </xf>
    <xf numFmtId="186" fontId="18" fillId="9" borderId="1" xfId="0" applyNumberFormat="1" applyFont="1" applyFill="1" applyBorder="1" applyAlignment="1" applyProtection="1">
      <alignment horizontal="center" vertical="center"/>
      <protection locked="0"/>
    </xf>
    <xf numFmtId="0" fontId="21" fillId="2" borderId="0" xfId="0" applyFont="1" applyFill="1" applyAlignment="1">
      <alignment vertical="center"/>
    </xf>
    <xf numFmtId="0" fontId="21" fillId="12" borderId="0" xfId="0" applyFont="1" applyFill="1" applyAlignment="1">
      <alignment vertical="center"/>
    </xf>
    <xf numFmtId="0" fontId="7" fillId="11" borderId="0" xfId="0" applyFont="1" applyFill="1" applyAlignment="1">
      <alignment vertical="center" wrapText="1"/>
    </xf>
    <xf numFmtId="0" fontId="42" fillId="0" borderId="0" xfId="0" quotePrefix="1" applyFont="1" applyAlignment="1">
      <alignment horizontal="left" vertical="center" wrapText="1"/>
    </xf>
    <xf numFmtId="0" fontId="42" fillId="0" borderId="0" xfId="0" quotePrefix="1" applyFont="1" applyAlignment="1">
      <alignment horizontal="left" vertical="center"/>
    </xf>
    <xf numFmtId="0" fontId="43" fillId="12" borderId="0" xfId="0" applyFont="1" applyFill="1" applyAlignment="1">
      <alignment horizontal="left" vertical="top"/>
    </xf>
    <xf numFmtId="3" fontId="13" fillId="44" borderId="1" xfId="6" applyNumberFormat="1" applyFont="1" applyFill="1" applyBorder="1" applyAlignment="1" applyProtection="1">
      <alignment horizontal="center" vertical="center"/>
      <protection locked="0"/>
    </xf>
    <xf numFmtId="0" fontId="13" fillId="8" borderId="1" xfId="6" applyFont="1" applyFill="1" applyBorder="1" applyAlignment="1" applyProtection="1">
      <alignment horizontal="center" vertical="center"/>
      <protection locked="0"/>
    </xf>
    <xf numFmtId="3" fontId="13" fillId="8" borderId="1" xfId="6" applyNumberFormat="1" applyFont="1" applyFill="1" applyBorder="1" applyAlignment="1" applyProtection="1">
      <alignment horizontal="center" vertical="center"/>
      <protection locked="0"/>
    </xf>
    <xf numFmtId="0" fontId="7" fillId="7" borderId="1" xfId="6" applyFont="1" applyFill="1" applyBorder="1" applyAlignment="1" applyProtection="1">
      <alignment vertical="center"/>
      <protection locked="0"/>
    </xf>
    <xf numFmtId="0" fontId="7" fillId="7" borderId="1" xfId="6" applyFont="1" applyFill="1" applyBorder="1" applyAlignment="1" applyProtection="1">
      <alignment horizontal="center" vertical="center"/>
      <protection locked="0"/>
    </xf>
    <xf numFmtId="0" fontId="31" fillId="0" borderId="1" xfId="6" applyFont="1" applyBorder="1" applyAlignment="1">
      <alignment vertical="center"/>
    </xf>
    <xf numFmtId="0" fontId="31" fillId="46" borderId="1" xfId="6" applyFont="1" applyFill="1" applyBorder="1" applyAlignment="1">
      <alignment vertical="center"/>
    </xf>
    <xf numFmtId="0" fontId="7" fillId="0" borderId="0" xfId="0" applyFont="1" applyAlignment="1">
      <alignment horizontal="left" vertical="top"/>
    </xf>
    <xf numFmtId="0" fontId="6" fillId="0" borderId="0" xfId="0" quotePrefix="1" applyFont="1" applyAlignment="1">
      <alignment horizontal="left" wrapText="1"/>
    </xf>
    <xf numFmtId="0" fontId="17" fillId="0" borderId="0" xfId="0" quotePrefix="1" applyFont="1" applyAlignment="1">
      <alignment horizontal="left" wrapText="1"/>
    </xf>
    <xf numFmtId="0" fontId="13" fillId="0" borderId="0" xfId="0" quotePrefix="1" applyFont="1" applyAlignment="1">
      <alignment horizontal="left" vertical="center" wrapText="1"/>
    </xf>
    <xf numFmtId="0" fontId="6" fillId="0" borderId="0" xfId="0" quotePrefix="1" applyFont="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0" xfId="0" quotePrefix="1" applyFont="1" applyAlignment="1" applyProtection="1">
      <alignment horizontal="left" vertical="top" wrapText="1"/>
      <protection locked="0"/>
    </xf>
    <xf numFmtId="0" fontId="13" fillId="0" borderId="0" xfId="0" quotePrefix="1" applyFont="1" applyAlignment="1">
      <alignment horizontal="left" wrapText="1"/>
    </xf>
    <xf numFmtId="49" fontId="10" fillId="6" borderId="0" xfId="1" applyNumberFormat="1" applyFill="1" applyAlignment="1" applyProtection="1">
      <alignment horizontal="center" vertical="center" wrapText="1"/>
      <protection locked="0"/>
    </xf>
    <xf numFmtId="0" fontId="7" fillId="0" borderId="0" xfId="0" applyFont="1" applyAlignment="1" applyProtection="1">
      <alignment horizontal="left" vertical="center" wrapText="1"/>
      <protection locked="0"/>
    </xf>
    <xf numFmtId="0" fontId="7" fillId="0" borderId="0" xfId="0" applyFont="1" applyAlignment="1">
      <alignment vertical="center"/>
    </xf>
    <xf numFmtId="49" fontId="10" fillId="6" borderId="0" xfId="1" applyNumberFormat="1" applyFill="1" applyAlignment="1" applyProtection="1">
      <alignment horizontal="left" vertical="center" wrapText="1"/>
      <protection locked="0"/>
    </xf>
    <xf numFmtId="0" fontId="7" fillId="0" borderId="1"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7" fillId="0" borderId="3" xfId="0" applyFont="1" applyBorder="1" applyAlignment="1">
      <alignment horizontal="left" vertical="center" wrapText="1" indent="1"/>
    </xf>
    <xf numFmtId="0" fontId="7" fillId="0" borderId="5" xfId="0" applyFont="1" applyBorder="1" applyAlignment="1">
      <alignment horizontal="left" vertical="center" wrapText="1" indent="1"/>
    </xf>
    <xf numFmtId="174" fontId="18" fillId="14" borderId="3" xfId="0" applyNumberFormat="1" applyFont="1" applyFill="1" applyBorder="1" applyAlignment="1" applyProtection="1">
      <alignment horizontal="center" vertical="center"/>
      <protection locked="0"/>
    </xf>
    <xf numFmtId="174" fontId="18" fillId="14" borderId="5" xfId="0" applyNumberFormat="1"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2" borderId="8" xfId="6" quotePrefix="1" applyFill="1" applyBorder="1" applyAlignment="1">
      <alignment horizontal="center" vertical="center" wrapText="1"/>
    </xf>
    <xf numFmtId="0" fontId="15" fillId="6" borderId="1" xfId="1" applyNumberFormat="1" applyFont="1" applyFill="1" applyBorder="1" applyAlignment="1">
      <alignment horizontal="center" vertical="center" wrapText="1"/>
    </xf>
    <xf numFmtId="0" fontId="28" fillId="0" borderId="13" xfId="15" quotePrefix="1" applyFill="1" applyBorder="1" applyAlignment="1">
      <alignment horizontal="left" vertical="top" wrapText="1"/>
    </xf>
    <xf numFmtId="0" fontId="28" fillId="0" borderId="8" xfId="15" quotePrefix="1" applyFill="1" applyBorder="1" applyAlignment="1">
      <alignment horizontal="left" vertical="top"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5" fillId="6" borderId="3" xfId="1" applyNumberFormat="1" applyFont="1" applyFill="1" applyBorder="1" applyAlignment="1">
      <alignment horizontal="center" vertical="center" wrapText="1"/>
    </xf>
    <xf numFmtId="0" fontId="15" fillId="6" borderId="4" xfId="1" applyNumberFormat="1" applyFont="1" applyFill="1" applyBorder="1" applyAlignment="1">
      <alignment horizontal="center" vertical="center" wrapText="1"/>
    </xf>
    <xf numFmtId="0" fontId="15" fillId="6" borderId="5" xfId="1" applyNumberFormat="1" applyFont="1" applyFill="1" applyBorder="1" applyAlignment="1">
      <alignment horizontal="center" vertical="center" wrapText="1"/>
    </xf>
    <xf numFmtId="0" fontId="43" fillId="12" borderId="0" xfId="0" applyFont="1" applyFill="1" applyAlignment="1">
      <alignment horizontal="left" vertical="top" wrapText="1"/>
    </xf>
    <xf numFmtId="0" fontId="0" fillId="12" borderId="0" xfId="0" applyFill="1" applyAlignment="1">
      <alignment horizontal="left" vertical="top" wrapText="1"/>
    </xf>
    <xf numFmtId="0" fontId="0" fillId="12" borderId="0" xfId="0" applyFill="1" applyAlignment="1">
      <alignment wrapText="1"/>
    </xf>
    <xf numFmtId="174" fontId="7" fillId="14" borderId="3" xfId="0" applyNumberFormat="1" applyFont="1" applyFill="1" applyBorder="1" applyAlignment="1" applyProtection="1">
      <alignment horizontal="center" vertical="center"/>
      <protection locked="0"/>
    </xf>
    <xf numFmtId="174" fontId="7" fillId="14" borderId="5" xfId="0" applyNumberFormat="1" applyFont="1" applyFill="1" applyBorder="1" applyAlignment="1" applyProtection="1">
      <alignment horizontal="center" vertical="center"/>
      <protection locked="0"/>
    </xf>
    <xf numFmtId="0" fontId="7" fillId="0" borderId="4" xfId="0" applyFont="1" applyBorder="1" applyAlignment="1">
      <alignment horizontal="left" vertical="center" wrapText="1" indent="1"/>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8" xfId="6" quotePrefix="1" applyBorder="1" applyAlignment="1">
      <alignment horizontal="center" vertical="center" wrapText="1"/>
    </xf>
    <xf numFmtId="0" fontId="7" fillId="0" borderId="15" xfId="0" applyFont="1" applyBorder="1" applyAlignment="1">
      <alignment horizontal="left" vertical="center" wrapText="1"/>
    </xf>
    <xf numFmtId="0" fontId="6" fillId="0" borderId="15" xfId="0" applyFont="1" applyBorder="1" applyAlignment="1">
      <alignment horizontal="left"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180" fontId="6" fillId="4" borderId="3" xfId="0" applyNumberFormat="1" applyFont="1" applyFill="1" applyBorder="1" applyAlignment="1">
      <alignment horizontal="center" vertical="center" wrapText="1"/>
    </xf>
    <xf numFmtId="180" fontId="6" fillId="4" borderId="5"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4" xfId="0" applyFont="1" applyBorder="1" applyAlignment="1">
      <alignment horizontal="left" vertical="center" wrapText="1"/>
    </xf>
    <xf numFmtId="174" fontId="18" fillId="14" borderId="3" xfId="6" applyNumberFormat="1" applyFont="1" applyFill="1" applyBorder="1" applyAlignment="1" applyProtection="1">
      <alignment horizontal="center" vertical="center" wrapText="1"/>
      <protection locked="0"/>
    </xf>
    <xf numFmtId="174" fontId="18" fillId="14" borderId="5" xfId="6" applyNumberFormat="1" applyFont="1" applyFill="1" applyBorder="1" applyAlignment="1" applyProtection="1">
      <alignment horizontal="center" vertical="center" wrapText="1"/>
      <protection locked="0"/>
    </xf>
    <xf numFmtId="0" fontId="7" fillId="7" borderId="3" xfId="6" applyFont="1" applyFill="1" applyBorder="1" applyAlignment="1" applyProtection="1">
      <alignment horizontal="center" vertical="center" wrapText="1"/>
      <protection locked="0"/>
    </xf>
    <xf numFmtId="0" fontId="7" fillId="7" borderId="5" xfId="6" applyFont="1" applyFill="1" applyBorder="1" applyAlignment="1" applyProtection="1">
      <alignment horizontal="center" vertical="center" wrapText="1"/>
      <protection locked="0"/>
    </xf>
    <xf numFmtId="0" fontId="6" fillId="0" borderId="1" xfId="6" applyBorder="1" applyAlignment="1">
      <alignment horizontal="center"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4" xfId="6" applyBorder="1" applyAlignment="1">
      <alignment horizontal="center" vertical="center" wrapText="1"/>
    </xf>
    <xf numFmtId="0" fontId="6" fillId="0" borderId="5" xfId="6" applyBorder="1" applyAlignment="1">
      <alignment horizontal="center" vertical="center" wrapText="1"/>
    </xf>
    <xf numFmtId="180" fontId="6" fillId="12" borderId="3" xfId="0" applyNumberFormat="1" applyFont="1" applyFill="1" applyBorder="1" applyAlignment="1">
      <alignment horizontal="center" vertical="center" wrapText="1"/>
    </xf>
    <xf numFmtId="180" fontId="6" fillId="12" borderId="5"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9" fillId="32" borderId="3" xfId="1" applyNumberFormat="1" applyFont="1" applyFill="1" applyBorder="1" applyAlignment="1" applyProtection="1">
      <alignment horizontal="center" vertical="center" wrapText="1"/>
    </xf>
    <xf numFmtId="0" fontId="29" fillId="32" borderId="4" xfId="1" applyNumberFormat="1" applyFont="1" applyFill="1" applyBorder="1" applyAlignment="1" applyProtection="1">
      <alignment horizontal="center" vertical="center" wrapText="1"/>
    </xf>
    <xf numFmtId="0" fontId="29" fillId="32" borderId="5" xfId="1" applyNumberFormat="1" applyFont="1" applyFill="1" applyBorder="1" applyAlignment="1" applyProtection="1">
      <alignment horizontal="center" vertical="center" wrapText="1"/>
    </xf>
    <xf numFmtId="0" fontId="7" fillId="34" borderId="3" xfId="0" applyFont="1" applyFill="1" applyBorder="1" applyAlignment="1">
      <alignment horizontal="center" vertical="center" wrapText="1"/>
    </xf>
    <xf numFmtId="0" fontId="7" fillId="34" borderId="4" xfId="0" applyFont="1" applyFill="1" applyBorder="1" applyAlignment="1">
      <alignment horizontal="center" vertical="center" wrapText="1"/>
    </xf>
    <xf numFmtId="0" fontId="7" fillId="34" borderId="5" xfId="0" applyFont="1" applyFill="1" applyBorder="1" applyAlignment="1">
      <alignment horizontal="center" vertical="center" wrapText="1"/>
    </xf>
    <xf numFmtId="0" fontId="30" fillId="35" borderId="3" xfId="0" applyFont="1" applyFill="1" applyBorder="1" applyAlignment="1">
      <alignment horizontal="center" vertical="center" wrapText="1"/>
    </xf>
    <xf numFmtId="0" fontId="30" fillId="35" borderId="4" xfId="0" applyFont="1" applyFill="1" applyBorder="1" applyAlignment="1">
      <alignment horizontal="center" vertical="center" wrapText="1"/>
    </xf>
    <xf numFmtId="0" fontId="30" fillId="35" borderId="5" xfId="0" applyFont="1" applyFill="1" applyBorder="1" applyAlignment="1">
      <alignment horizontal="center" vertical="center" wrapText="1"/>
    </xf>
    <xf numFmtId="0" fontId="7" fillId="7" borderId="1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22" fillId="13" borderId="3" xfId="0" applyFont="1" applyFill="1" applyBorder="1" applyAlignment="1" applyProtection="1">
      <alignment horizontal="center" vertical="center" wrapText="1"/>
      <protection locked="0"/>
    </xf>
    <xf numFmtId="0" fontId="22" fillId="13"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6" fillId="31" borderId="1" xfId="0" applyFont="1" applyFill="1" applyBorder="1" applyAlignment="1">
      <alignment horizontal="center" vertical="center" wrapText="1"/>
    </xf>
    <xf numFmtId="0" fontId="6" fillId="2" borderId="8" xfId="6" quotePrefix="1" applyFill="1" applyBorder="1" applyAlignment="1">
      <alignment horizontal="left" vertical="center" wrapText="1"/>
    </xf>
    <xf numFmtId="0" fontId="15" fillId="6" borderId="1" xfId="1" applyNumberFormat="1" applyFont="1" applyFill="1" applyBorder="1" applyAlignment="1" applyProtection="1">
      <alignment horizontal="center" vertical="center" wrapText="1"/>
    </xf>
    <xf numFmtId="0" fontId="29" fillId="32" borderId="1" xfId="1" applyNumberFormat="1" applyFont="1" applyFill="1" applyBorder="1" applyAlignment="1" applyProtection="1">
      <alignment horizontal="center" vertical="center" wrapText="1"/>
    </xf>
    <xf numFmtId="0" fontId="7" fillId="34" borderId="11" xfId="0" applyFont="1" applyFill="1" applyBorder="1" applyAlignment="1">
      <alignment horizontal="center" vertical="center" wrapText="1"/>
    </xf>
    <xf numFmtId="0" fontId="7" fillId="34" borderId="0" xfId="0" applyFont="1" applyFill="1" applyAlignment="1">
      <alignment horizontal="center" vertical="center" wrapText="1"/>
    </xf>
    <xf numFmtId="0" fontId="30" fillId="35" borderId="1" xfId="0" applyFont="1" applyFill="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34" borderId="11" xfId="6" applyFont="1" applyFill="1" applyBorder="1" applyAlignment="1">
      <alignment horizontal="center" vertical="center" wrapText="1"/>
    </xf>
    <xf numFmtId="0" fontId="7" fillId="34" borderId="0" xfId="6" applyFont="1" applyFill="1" applyAlignment="1">
      <alignment horizontal="center" vertical="center" wrapText="1"/>
    </xf>
    <xf numFmtId="0" fontId="30" fillId="35" borderId="3" xfId="6" applyFont="1" applyFill="1" applyBorder="1" applyAlignment="1">
      <alignment horizontal="center" vertical="center" wrapText="1"/>
    </xf>
    <xf numFmtId="0" fontId="30" fillId="35" borderId="4" xfId="6" applyFont="1" applyFill="1" applyBorder="1" applyAlignment="1">
      <alignment horizontal="center" vertical="center" wrapText="1"/>
    </xf>
    <xf numFmtId="0" fontId="30" fillId="35" borderId="5" xfId="6" applyFont="1" applyFill="1" applyBorder="1" applyAlignment="1">
      <alignment horizontal="center" vertical="center" wrapText="1"/>
    </xf>
    <xf numFmtId="0" fontId="7" fillId="0" borderId="22" xfId="6" applyFont="1" applyBorder="1" applyAlignment="1">
      <alignment horizontal="left" vertical="center" wrapText="1"/>
    </xf>
    <xf numFmtId="0" fontId="6" fillId="0" borderId="22" xfId="6" applyBorder="1" applyAlignment="1">
      <alignment horizontal="center" vertical="center" wrapText="1"/>
    </xf>
    <xf numFmtId="0" fontId="7" fillId="0" borderId="4" xfId="0" applyFont="1" applyBorder="1" applyAlignment="1">
      <alignment horizontal="center" vertical="center" wrapText="1"/>
    </xf>
    <xf numFmtId="0" fontId="7" fillId="0" borderId="1" xfId="6" applyFont="1" applyBorder="1" applyAlignment="1">
      <alignment horizontal="left" vertical="center" wrapText="1"/>
    </xf>
    <xf numFmtId="0" fontId="6" fillId="0" borderId="23" xfId="6" applyBorder="1" applyAlignment="1">
      <alignment horizontal="center" vertical="center" wrapText="1"/>
    </xf>
    <xf numFmtId="0" fontId="6" fillId="0" borderId="24" xfId="6" applyBorder="1" applyAlignment="1">
      <alignment horizontal="center" vertical="center" wrapText="1"/>
    </xf>
    <xf numFmtId="0" fontId="7" fillId="0" borderId="22" xfId="0" applyFont="1" applyBorder="1" applyAlignment="1">
      <alignment horizontal="left"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7" fillId="7" borderId="1" xfId="0" applyFont="1" applyFill="1" applyBorder="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9" fillId="0" borderId="1" xfId="0" applyFont="1" applyBorder="1" applyAlignment="1">
      <alignment wrapText="1"/>
    </xf>
    <xf numFmtId="0" fontId="7" fillId="0" borderId="1" xfId="0" applyFont="1" applyBorder="1"/>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3" xfId="0" applyFont="1" applyBorder="1" applyAlignment="1">
      <alignment vertical="center" wrapText="1"/>
    </xf>
    <xf numFmtId="0" fontId="7" fillId="0" borderId="5" xfId="0" applyFont="1" applyBorder="1" applyAlignment="1">
      <alignment vertical="center" wrapText="1"/>
    </xf>
    <xf numFmtId="0" fontId="7" fillId="7" borderId="3"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6" fillId="0" borderId="19" xfId="0" applyFont="1" applyBorder="1" applyAlignment="1">
      <alignment horizontal="left"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28" fillId="0" borderId="8" xfId="15" quotePrefix="1" applyFill="1" applyBorder="1" applyAlignment="1" applyProtection="1">
      <alignment horizontal="left" vertical="center" wrapText="1"/>
    </xf>
    <xf numFmtId="0" fontId="28" fillId="0" borderId="8" xfId="15" quotePrefix="1" applyFill="1" applyBorder="1" applyAlignment="1" applyProtection="1">
      <alignment horizontal="center" vertical="center" wrapText="1"/>
    </xf>
    <xf numFmtId="0" fontId="6" fillId="0" borderId="8" xfId="6" applyBorder="1" applyAlignment="1">
      <alignment horizontal="left" vertical="center" wrapText="1"/>
    </xf>
    <xf numFmtId="0" fontId="6" fillId="0" borderId="1" xfId="6" applyBorder="1" applyAlignment="1">
      <alignment horizontal="left" vertical="center" wrapText="1" indent="1"/>
    </xf>
    <xf numFmtId="0" fontId="7" fillId="7" borderId="1" xfId="6" applyFont="1" applyFill="1" applyBorder="1" applyAlignment="1" applyProtection="1">
      <alignment horizontal="center" vertical="center" wrapText="1"/>
      <protection locked="0"/>
    </xf>
    <xf numFmtId="0" fontId="7" fillId="7" borderId="32" xfId="0" applyFont="1" applyFill="1" applyBorder="1" applyAlignment="1" applyProtection="1">
      <alignment horizontal="center" vertical="center" wrapText="1"/>
      <protection locked="0"/>
    </xf>
    <xf numFmtId="0" fontId="7" fillId="7" borderId="33"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7" borderId="34" xfId="0" applyFont="1" applyFill="1" applyBorder="1" applyAlignment="1" applyProtection="1">
      <alignment horizontal="center" vertical="center" wrapText="1"/>
      <protection locked="0"/>
    </xf>
    <xf numFmtId="0" fontId="7" fillId="12" borderId="3" xfId="0" applyFont="1" applyFill="1" applyBorder="1" applyAlignment="1">
      <alignment horizontal="left" vertical="center" wrapText="1" indent="1"/>
    </xf>
    <xf numFmtId="0" fontId="7" fillId="12" borderId="5" xfId="0" applyFont="1" applyFill="1" applyBorder="1" applyAlignment="1">
      <alignment horizontal="left" vertical="center" wrapText="1" indent="1"/>
    </xf>
    <xf numFmtId="0" fontId="7" fillId="7" borderId="4" xfId="6" applyFont="1" applyFill="1" applyBorder="1" applyAlignment="1" applyProtection="1">
      <alignment horizontal="center" vertical="center" wrapText="1"/>
      <protection locked="0"/>
    </xf>
    <xf numFmtId="0" fontId="7" fillId="7" borderId="6" xfId="0" applyFont="1" applyFill="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7" fillId="7" borderId="6" xfId="6" applyFont="1" applyFill="1" applyBorder="1" applyAlignment="1" applyProtection="1">
      <alignment horizontal="center" vertical="center" wrapText="1"/>
      <protection locked="0"/>
    </xf>
    <xf numFmtId="0" fontId="7" fillId="7" borderId="2" xfId="6" applyFont="1" applyFill="1" applyBorder="1" applyAlignment="1" applyProtection="1">
      <alignment horizontal="center" vertical="center" wrapText="1"/>
      <protection locked="0"/>
    </xf>
    <xf numFmtId="0" fontId="6" fillId="0" borderId="3" xfId="6" applyBorder="1" applyAlignment="1">
      <alignment horizontal="left" vertical="center" wrapText="1"/>
    </xf>
    <xf numFmtId="0" fontId="6" fillId="0" borderId="4" xfId="6" applyBorder="1" applyAlignment="1">
      <alignment horizontal="left" vertical="center" wrapText="1"/>
    </xf>
    <xf numFmtId="0" fontId="6" fillId="0" borderId="5" xfId="6" applyBorder="1" applyAlignment="1">
      <alignment horizontal="left" vertical="center" wrapText="1"/>
    </xf>
    <xf numFmtId="0" fontId="6" fillId="0" borderId="3" xfId="6" applyBorder="1" applyAlignment="1">
      <alignment vertical="center" wrapText="1"/>
    </xf>
    <xf numFmtId="0" fontId="6" fillId="0" borderId="4" xfId="6" applyBorder="1" applyAlignment="1">
      <alignment vertical="center" wrapText="1"/>
    </xf>
    <xf numFmtId="0" fontId="6" fillId="0" borderId="5" xfId="6" applyBorder="1" applyAlignment="1">
      <alignment vertical="center" wrapText="1"/>
    </xf>
    <xf numFmtId="0" fontId="6" fillId="0" borderId="3" xfId="6" applyBorder="1" applyAlignment="1">
      <alignment horizontal="left" vertical="center" wrapText="1" indent="1"/>
    </xf>
    <xf numFmtId="0" fontId="6" fillId="0" borderId="4" xfId="6" applyBorder="1" applyAlignment="1">
      <alignment horizontal="left" vertical="center" wrapText="1" indent="1"/>
    </xf>
    <xf numFmtId="0" fontId="6" fillId="0" borderId="5" xfId="6" applyBorder="1" applyAlignment="1">
      <alignment horizontal="left" vertical="center" wrapText="1" indent="1"/>
    </xf>
    <xf numFmtId="0" fontId="6" fillId="0" borderId="1" xfId="6" applyBorder="1" applyAlignment="1">
      <alignment horizontal="left" vertical="center" wrapText="1"/>
    </xf>
    <xf numFmtId="0" fontId="15" fillId="6" borderId="1" xfId="1" applyNumberFormat="1" applyFont="1" applyFill="1" applyBorder="1" applyAlignment="1">
      <alignment horizontal="center" vertical="center"/>
    </xf>
    <xf numFmtId="0" fontId="15" fillId="6" borderId="1" xfId="1" quotePrefix="1" applyNumberFormat="1" applyFont="1" applyFill="1" applyBorder="1" applyAlignment="1">
      <alignment horizontal="center" vertical="center" wrapText="1"/>
    </xf>
    <xf numFmtId="0" fontId="28" fillId="12" borderId="0" xfId="15" quotePrefix="1" applyFill="1" applyBorder="1" applyAlignment="1">
      <alignment horizontal="left" vertical="top" wrapText="1"/>
    </xf>
    <xf numFmtId="0" fontId="23" fillId="6" borderId="3" xfId="1"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3" fillId="6" borderId="4" xfId="1" applyNumberFormat="1" applyFont="1" applyFill="1" applyBorder="1" applyAlignment="1">
      <alignment horizontal="center" vertical="center" wrapText="1"/>
    </xf>
    <xf numFmtId="0" fontId="28" fillId="12" borderId="8" xfId="15" quotePrefix="1" applyFill="1" applyBorder="1" applyAlignment="1">
      <alignment horizontal="left" vertical="top" wrapText="1"/>
    </xf>
    <xf numFmtId="0" fontId="12" fillId="0" borderId="0" xfId="3" applyFill="1" applyAlignment="1" applyProtection="1">
      <alignment horizontal="left" vertical="center"/>
    </xf>
    <xf numFmtId="0" fontId="7" fillId="7" borderId="6" xfId="6" applyFont="1" applyFill="1" applyBorder="1" applyAlignment="1" applyProtection="1">
      <alignment vertical="center" wrapText="1"/>
      <protection locked="0"/>
    </xf>
    <xf numFmtId="0" fontId="7" fillId="7" borderId="35" xfId="6" applyFont="1" applyFill="1" applyBorder="1" applyAlignment="1" applyProtection="1">
      <alignment vertical="center" wrapText="1"/>
      <protection locked="0"/>
    </xf>
    <xf numFmtId="0" fontId="7" fillId="7" borderId="2" xfId="6" applyFont="1" applyFill="1" applyBorder="1" applyAlignment="1" applyProtection="1">
      <alignment vertical="center" wrapText="1"/>
      <protection locked="0"/>
    </xf>
    <xf numFmtId="0" fontId="7" fillId="7" borderId="6" xfId="6" applyFont="1" applyFill="1" applyBorder="1" applyAlignment="1" applyProtection="1">
      <alignment vertical="center"/>
      <protection locked="0"/>
    </xf>
    <xf numFmtId="0" fontId="7" fillId="7" borderId="35" xfId="6" applyFont="1" applyFill="1" applyBorder="1" applyAlignment="1" applyProtection="1">
      <alignment vertical="center"/>
      <protection locked="0"/>
    </xf>
    <xf numFmtId="0" fontId="7" fillId="7" borderId="2" xfId="6" applyFont="1" applyFill="1" applyBorder="1" applyAlignment="1" applyProtection="1">
      <alignment vertical="center"/>
      <protection locked="0"/>
    </xf>
    <xf numFmtId="0" fontId="15" fillId="6" borderId="11" xfId="1" applyNumberFormat="1" applyFont="1" applyFill="1" applyBorder="1" applyAlignment="1">
      <alignment horizontal="center" vertical="center" wrapText="1"/>
    </xf>
    <xf numFmtId="0" fontId="15" fillId="6" borderId="0" xfId="1" applyNumberFormat="1" applyFont="1" applyFill="1" applyBorder="1" applyAlignment="1">
      <alignment horizontal="center" vertical="center" wrapText="1"/>
    </xf>
    <xf numFmtId="0" fontId="23" fillId="6" borderId="3" xfId="1" applyNumberFormat="1" applyFont="1" applyFill="1" applyBorder="1" applyAlignment="1" applyProtection="1">
      <alignment horizontal="center" vertical="center" wrapText="1"/>
    </xf>
    <xf numFmtId="0" fontId="23" fillId="6" borderId="4" xfId="1" applyNumberFormat="1" applyFont="1" applyFill="1" applyBorder="1" applyAlignment="1" applyProtection="1">
      <alignment horizontal="center" vertical="center" wrapText="1"/>
    </xf>
    <xf numFmtId="0" fontId="23" fillId="6" borderId="5" xfId="1" applyNumberFormat="1" applyFont="1" applyFill="1" applyBorder="1" applyAlignment="1" applyProtection="1">
      <alignment horizontal="center"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23" fillId="6" borderId="3" xfId="1" applyNumberFormat="1" applyFont="1" applyFill="1" applyBorder="1" applyAlignment="1" applyProtection="1">
      <alignment horizontal="left" vertical="center" wrapText="1"/>
    </xf>
    <xf numFmtId="0" fontId="23" fillId="6" borderId="4" xfId="1" applyNumberFormat="1" applyFont="1" applyFill="1" applyBorder="1" applyAlignment="1" applyProtection="1">
      <alignment horizontal="left" vertical="center" wrapText="1"/>
    </xf>
    <xf numFmtId="0" fontId="23" fillId="6" borderId="5" xfId="1" applyNumberFormat="1" applyFont="1" applyFill="1" applyBorder="1" applyAlignment="1" applyProtection="1">
      <alignment horizontal="left" vertical="center" wrapText="1"/>
    </xf>
    <xf numFmtId="0" fontId="6" fillId="0" borderId="0" xfId="0" quotePrefix="1" applyFont="1" applyAlignment="1">
      <alignment horizontal="left" vertical="top" wrapText="1"/>
    </xf>
    <xf numFmtId="0" fontId="6" fillId="0" borderId="0" xfId="0" quotePrefix="1" applyFont="1" applyAlignment="1">
      <alignment horizontal="left"/>
    </xf>
  </cellXfs>
  <cellStyles count="21">
    <cellStyle name="40% - Accent1" xfId="9" builtinId="31"/>
    <cellStyle name="40% - Accent4" xfId="12" builtinId="43"/>
    <cellStyle name="60% - Accent2" xfId="10" builtinId="36"/>
    <cellStyle name="Accent1" xfId="8" builtinId="29"/>
    <cellStyle name="Accent4" xfId="11" builtinId="41"/>
    <cellStyle name="Accent6" xfId="13" builtinId="49"/>
    <cellStyle name="Comma" xfId="19" builtinId="3"/>
    <cellStyle name="Comma 2" xfId="7" xr:uid="{00000000-0005-0000-0000-000007000000}"/>
    <cellStyle name="Heading 2" xfId="4" builtinId="17"/>
    <cellStyle name="Heading 3" xfId="5" builtinId="18"/>
    <cellStyle name="Heading 4" xfId="1" builtinId="19"/>
    <cellStyle name="Hyperlink" xfId="3" builtinId="8"/>
    <cellStyle name="Input" xfId="2" builtinId="20"/>
    <cellStyle name="Neutral" xfId="15" builtinId="28"/>
    <cellStyle name="Normal" xfId="0" builtinId="0"/>
    <cellStyle name="Normal 2" xfId="6" xr:uid="{00000000-0005-0000-0000-00000F000000}"/>
    <cellStyle name="Normal 3" xfId="14" xr:uid="{00000000-0005-0000-0000-000010000000}"/>
    <cellStyle name="Normal 4" xfId="16" xr:uid="{00000000-0005-0000-0000-000011000000}"/>
    <cellStyle name="Normal 5" xfId="18" xr:uid="{00000000-0005-0000-0000-000012000000}"/>
    <cellStyle name="Normal_Sheet1" xfId="20" xr:uid="{B7AF37C2-75B5-47EB-9AC1-87AD70220C21}"/>
    <cellStyle name="Percent 2" xfId="17" xr:uid="{00000000-0005-0000-0000-000014000000}"/>
  </cellStyles>
  <dxfs count="79">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s>
  <tableStyles count="0" defaultTableStyle="TableStyleMedium9" defaultPivotStyle="PivotStyleLight16"/>
  <colors>
    <mruColors>
      <color rgb="FFF7F7F7"/>
      <color rgb="FFCCFFCC"/>
      <color rgb="FFBFBFBF"/>
      <color rgb="FFFFBE82"/>
      <color rgb="FFFFCC99"/>
      <color rgb="FFB4FFCC"/>
      <color rgb="FFB8D2BB"/>
      <color rgb="FF91FFCC"/>
      <color rgb="FF8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9524</xdr:rowOff>
    </xdr:from>
    <xdr:to>
      <xdr:col>5</xdr:col>
      <xdr:colOff>821531</xdr:colOff>
      <xdr:row>26</xdr:row>
      <xdr:rowOff>66674</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342899"/>
          <a:ext cx="6893719" cy="4224338"/>
        </a:xfrm>
        <a:prstGeom prst="rect">
          <a:avLst/>
        </a:prstGeom>
        <a:solidFill>
          <a:srgbClr val="CCFFFF"/>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GB" sz="900" b="1">
              <a:solidFill>
                <a:sysClr val="windowText" lastClr="000000"/>
              </a:solidFill>
            </a:rPr>
            <a:t>Notes:</a:t>
          </a:r>
        </a:p>
        <a:p>
          <a:r>
            <a:rPr lang="en-GB" sz="900">
              <a:solidFill>
                <a:sysClr val="windowText" lastClr="000000"/>
              </a:solidFill>
              <a:effectLst/>
              <a:latin typeface="+mn-lt"/>
              <a:ea typeface="+mn-ea"/>
              <a:cs typeface="+mn-cs"/>
            </a:rPr>
            <a:t>There are a few governing rules that should be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Specific notes for application to WPD areas:</a:t>
          </a:r>
        </a:p>
        <a:p>
          <a:pPr lvl="1"/>
          <a:r>
            <a:rPr lang="en-GB" sz="900">
              <a:solidFill>
                <a:sysClr val="windowText" lastClr="000000"/>
              </a:solidFill>
              <a:effectLst/>
              <a:latin typeface="+mn-lt"/>
              <a:ea typeface="+mn-ea"/>
              <a:cs typeface="+mn-cs"/>
            </a:rPr>
            <a:t>WPD East Midlands (EMEB) and WPD West Midlands (MIDE) tariffs are all delinked and set time bands are applied in place of the TPR’s timebands.</a:t>
          </a:r>
        </a:p>
        <a:p>
          <a:pPr lvl="1"/>
          <a:r>
            <a:rPr lang="en-GB" sz="900">
              <a:solidFill>
                <a:sysClr val="windowText" lastClr="000000"/>
              </a:solidFill>
              <a:effectLst/>
              <a:latin typeface="+mn-lt"/>
              <a:ea typeface="+mn-ea"/>
              <a:cs typeface="+mn-cs"/>
            </a:rPr>
            <a:t>WPD South West (SWEB) and South Wales (SWAE) do not support all SSC combinations and where indicated with ‘Unsupported’ then set time bands are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Otherwise the following rules apply to the remaining DNO areas.</a:t>
          </a:r>
        </a:p>
        <a:p>
          <a:pPr lvl="1"/>
          <a:r>
            <a:rPr lang="en-GB" sz="900">
              <a:solidFill>
                <a:sysClr val="windowText" lastClr="000000"/>
              </a:solidFill>
              <a:effectLst/>
              <a:latin typeface="+mn-lt"/>
              <a:ea typeface="+mn-ea"/>
              <a:cs typeface="+mn-cs"/>
            </a:rPr>
            <a:t>1, G and U should be applied straight to the appropriate SSC/TPRs, to identify generation and UMS tariffs.</a:t>
          </a:r>
        </a:p>
        <a:p>
          <a:pPr lvl="1"/>
          <a:r>
            <a:rPr lang="en-GB" sz="900">
              <a:solidFill>
                <a:sysClr val="windowText" lastClr="000000"/>
              </a:solidFill>
              <a:effectLst/>
              <a:latin typeface="+mn-lt"/>
              <a:ea typeface="+mn-ea"/>
              <a:cs typeface="+mn-cs"/>
            </a:rPr>
            <a:t>Then considering the SSC/TPRs alongside the PC.</a:t>
          </a:r>
        </a:p>
        <a:p>
          <a:pPr lvl="1"/>
          <a:r>
            <a:rPr lang="en-GB" sz="900">
              <a:solidFill>
                <a:sysClr val="windowText" lastClr="000000"/>
              </a:solidFill>
              <a:effectLst/>
              <a:latin typeface="+mn-lt"/>
              <a:ea typeface="+mn-ea"/>
              <a:cs typeface="+mn-cs"/>
            </a:rPr>
            <a:t>2, PC1s should be labelled Domestic Unrestricted.</a:t>
          </a:r>
        </a:p>
        <a:p>
          <a:pPr lvl="1"/>
          <a:r>
            <a:rPr lang="en-GB" sz="900">
              <a:solidFill>
                <a:sysClr val="windowText" lastClr="000000"/>
              </a:solidFill>
              <a:effectLst/>
              <a:latin typeface="+mn-lt"/>
              <a:ea typeface="+mn-ea"/>
              <a:cs typeface="+mn-cs"/>
            </a:rPr>
            <a:t>3, PC2s with a SSCs with O should be labelled Domestic Off Peak.</a:t>
          </a:r>
        </a:p>
        <a:p>
          <a:pPr lvl="1"/>
          <a:r>
            <a:rPr lang="en-GB" sz="900">
              <a:solidFill>
                <a:sysClr val="windowText" lastClr="000000"/>
              </a:solidFill>
              <a:effectLst/>
              <a:latin typeface="+mn-lt"/>
              <a:ea typeface="+mn-ea"/>
              <a:cs typeface="+mn-cs"/>
            </a:rPr>
            <a:t>4, Remaining PC2s should be labelled Domestic Two Rate with the unit as 1 or 2 as detailed.</a:t>
          </a:r>
        </a:p>
        <a:p>
          <a:pPr lvl="1"/>
          <a:r>
            <a:rPr lang="en-GB" sz="900">
              <a:solidFill>
                <a:sysClr val="windowText" lastClr="000000"/>
              </a:solidFill>
              <a:effectLst/>
              <a:latin typeface="+mn-lt"/>
              <a:ea typeface="+mn-ea"/>
              <a:cs typeface="+mn-cs"/>
            </a:rPr>
            <a:t>5, PC3s should be labelled Small Non Domestic Unrestricted.</a:t>
          </a:r>
        </a:p>
        <a:p>
          <a:pPr lvl="1"/>
          <a:r>
            <a:rPr lang="en-GB" sz="900">
              <a:solidFill>
                <a:sysClr val="windowText" lastClr="000000"/>
              </a:solidFill>
              <a:effectLst/>
              <a:latin typeface="+mn-lt"/>
              <a:ea typeface="+mn-ea"/>
              <a:cs typeface="+mn-cs"/>
            </a:rPr>
            <a:t>6, PC4s with a SSCs with O should be labelled Small Non Domestic Off Peak.</a:t>
          </a:r>
        </a:p>
        <a:p>
          <a:pPr lvl="1"/>
          <a:r>
            <a:rPr lang="en-GB" sz="900">
              <a:solidFill>
                <a:sysClr val="windowText" lastClr="000000"/>
              </a:solidFill>
              <a:effectLst/>
              <a:latin typeface="+mn-lt"/>
              <a:ea typeface="+mn-ea"/>
              <a:cs typeface="+mn-cs"/>
            </a:rPr>
            <a:t>7, Remaining PC4s should be labelled Small Non Domestic Two Rate with the unit as 1 or 2 as detailed.</a:t>
          </a:r>
        </a:p>
        <a:p>
          <a:pPr lvl="1"/>
          <a:r>
            <a:rPr lang="en-GB" sz="900">
              <a:solidFill>
                <a:sysClr val="windowText" lastClr="000000"/>
              </a:solidFill>
              <a:effectLst/>
              <a:latin typeface="+mn-lt"/>
              <a:ea typeface="+mn-ea"/>
              <a:cs typeface="+mn-cs"/>
            </a:rPr>
            <a:t>8, PC5 – 8s, depending on the voltage of connection, they should be labelled; LV Medium Non Domestic, LV Sub Medium Non Domestic or HV Medium Non Domestic with the unit as 1 or 2 as detailed.</a:t>
          </a:r>
        </a:p>
        <a:p>
          <a:r>
            <a:rPr lang="en-GB" sz="900">
              <a:solidFill>
                <a:sysClr val="windowText" lastClr="000000"/>
              </a:solidFill>
              <a:effectLst/>
              <a:latin typeface="+mn-lt"/>
              <a:ea typeface="+mn-ea"/>
              <a:cs typeface="+mn-cs"/>
            </a:rPr>
            <a:t> </a:t>
          </a:r>
        </a:p>
        <a:p>
          <a:r>
            <a:rPr lang="en-GB" sz="900">
              <a:solidFill>
                <a:sysClr val="windowText" lastClr="000000"/>
              </a:solidFill>
              <a:effectLst/>
              <a:latin typeface="+mn-lt"/>
              <a:ea typeface="+mn-ea"/>
              <a:cs typeface="+mn-cs"/>
            </a:rPr>
            <a:t>Common decode:</a:t>
          </a:r>
        </a:p>
        <a:p>
          <a:pPr lvl="1"/>
          <a:r>
            <a:rPr lang="en-GB" sz="900">
              <a:solidFill>
                <a:sysClr val="windowText" lastClr="000000"/>
              </a:solidFill>
              <a:effectLst/>
              <a:latin typeface="+mn-lt"/>
              <a:ea typeface="+mn-ea"/>
              <a:cs typeface="+mn-cs"/>
            </a:rPr>
            <a:t>1: Unit 1 (Day)</a:t>
          </a:r>
        </a:p>
        <a:p>
          <a:pPr lvl="1"/>
          <a:r>
            <a:rPr lang="en-GB" sz="900">
              <a:solidFill>
                <a:sysClr val="windowText" lastClr="000000"/>
              </a:solidFill>
              <a:effectLst/>
              <a:latin typeface="+mn-lt"/>
              <a:ea typeface="+mn-ea"/>
              <a:cs typeface="+mn-cs"/>
            </a:rPr>
            <a:t>2: Unit 2 (Night)</a:t>
          </a:r>
        </a:p>
        <a:p>
          <a:pPr lvl="1"/>
          <a:r>
            <a:rPr lang="en-GB" sz="900">
              <a:solidFill>
                <a:sysClr val="windowText" lastClr="000000"/>
              </a:solidFill>
              <a:effectLst/>
              <a:latin typeface="+mn-lt"/>
              <a:ea typeface="+mn-ea"/>
              <a:cs typeface="+mn-cs"/>
            </a:rPr>
            <a:t>O: Off Peak</a:t>
          </a:r>
        </a:p>
        <a:p>
          <a:pPr lvl="1"/>
          <a:r>
            <a:rPr lang="en-GB" sz="900">
              <a:solidFill>
                <a:sysClr val="windowText" lastClr="000000"/>
              </a:solidFill>
              <a:effectLst/>
              <a:latin typeface="+mn-lt"/>
              <a:ea typeface="+mn-ea"/>
              <a:cs typeface="+mn-cs"/>
            </a:rPr>
            <a:t>G: Generation</a:t>
          </a:r>
        </a:p>
        <a:p>
          <a:pPr lvl="1"/>
          <a:r>
            <a:rPr lang="en-GB" sz="900">
              <a:solidFill>
                <a:sysClr val="windowText" lastClr="000000"/>
              </a:solidFill>
              <a:effectLst/>
              <a:latin typeface="+mn-lt"/>
              <a:ea typeface="+mn-ea"/>
              <a:cs typeface="+mn-cs"/>
            </a:rPr>
            <a:t>U: UMS</a:t>
          </a:r>
        </a:p>
        <a:p>
          <a:pPr lvl="1"/>
          <a:r>
            <a:rPr lang="en-GB" sz="900">
              <a:solidFill>
                <a:sysClr val="windowText" lastClr="000000"/>
              </a:solidFill>
              <a:effectLst/>
              <a:latin typeface="+mn-lt"/>
              <a:ea typeface="+mn-ea"/>
              <a:cs typeface="+mn-cs"/>
            </a:rPr>
            <a:t>Unsupported: WPD South West (SWEB) or South Wales (SWAE) default TPRs applied</a:t>
          </a:r>
        </a:p>
        <a:p>
          <a:pPr lvl="1"/>
          <a:r>
            <a:rPr lang="en-GB" sz="900">
              <a:solidFill>
                <a:sysClr val="windowText" lastClr="000000"/>
              </a:solidFill>
              <a:effectLst/>
              <a:latin typeface="+mn-lt"/>
              <a:ea typeface="+mn-ea"/>
              <a:cs typeface="+mn-cs"/>
            </a:rPr>
            <a:t>EMEB or MIDE only: only exists in those areas (either or both) as delinked.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25401</xdr:colOff>
      <xdr:row>24</xdr:row>
      <xdr:rowOff>117476</xdr:rowOff>
    </xdr:from>
    <xdr:to>
      <xdr:col>9</xdr:col>
      <xdr:colOff>92076</xdr:colOff>
      <xdr:row>31</xdr:row>
      <xdr:rowOff>73026</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84151" y="8769351"/>
          <a:ext cx="8242300" cy="1066800"/>
        </a:xfrm>
        <a:prstGeom prst="rect">
          <a:avLst/>
        </a:prstGeom>
        <a:solidFill>
          <a:srgbClr val="CCFFCC"/>
        </a:solidFill>
        <a:ln/>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t"/>
        <a:lstStyle/>
        <a:p>
          <a:r>
            <a:rPr lang="en-GB" sz="1100">
              <a:solidFill>
                <a:sysClr val="windowText" lastClr="000000"/>
              </a:solidFill>
            </a:rPr>
            <a:t>Note:</a:t>
          </a:r>
        </a:p>
        <a:p>
          <a:r>
            <a:rPr lang="en-GB" sz="1100" i="1">
              <a:solidFill>
                <a:schemeClr val="dk1"/>
              </a:solidFill>
              <a:effectLst/>
              <a:latin typeface="+mn-lt"/>
              <a:ea typeface="+mn-ea"/>
              <a:cs typeface="+mn-cs"/>
            </a:rPr>
            <a:t>For the purpose of forecasting the exceeded capacity charge, the input in this calculator uses the average daily exceeded capacity as this reduces the calculators complexity, however as per the Use of System Charging Statement, the exceeded portion of the capacity will be charged at the exceeded capacity charge p/kVA/day rate, based on the difference between the MIC/MEC and the actual capacity used.  This will be charged for the full duration of the month in which the breach occurs.”</a:t>
          </a:r>
          <a:endParaRPr lang="en-GB" sz="1100">
            <a:solidFill>
              <a:schemeClr val="dk1"/>
            </a:solidFill>
            <a:effectLst/>
            <a:latin typeface="+mn-lt"/>
            <a:ea typeface="+mn-ea"/>
            <a:cs typeface="+mn-cs"/>
          </a:endParaRPr>
        </a:p>
        <a:p>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M83"/>
  <sheetViews>
    <sheetView tabSelected="1" zoomScaleNormal="100" workbookViewId="0">
      <selection activeCell="B25" sqref="B25:E25"/>
    </sheetView>
  </sheetViews>
  <sheetFormatPr defaultRowHeight="12.75" x14ac:dyDescent="0.2"/>
  <cols>
    <col min="1" max="1" width="70.28515625" customWidth="1"/>
    <col min="2" max="2" width="53.7109375" customWidth="1"/>
    <col min="3" max="3" width="28" customWidth="1"/>
    <col min="4" max="4" width="18.140625" customWidth="1"/>
    <col min="5" max="5" width="21.5703125" customWidth="1"/>
  </cols>
  <sheetData>
    <row r="1" spans="1:13" x14ac:dyDescent="0.2">
      <c r="A1" s="15"/>
      <c r="B1" s="15"/>
      <c r="C1" s="15"/>
      <c r="D1" s="15"/>
      <c r="E1" s="15"/>
    </row>
    <row r="2" spans="1:13" ht="16.5" x14ac:dyDescent="0.2">
      <c r="A2" s="88" t="s">
        <v>356</v>
      </c>
      <c r="B2" s="33"/>
      <c r="C2" s="33"/>
      <c r="D2" s="33"/>
      <c r="E2" s="33"/>
    </row>
    <row r="3" spans="1:13" ht="15" x14ac:dyDescent="0.2">
      <c r="A3" s="33"/>
      <c r="B3" s="86" t="s">
        <v>357</v>
      </c>
      <c r="C3" s="285" t="s">
        <v>358</v>
      </c>
      <c r="D3" s="285" t="s">
        <v>22</v>
      </c>
      <c r="E3" s="285" t="s">
        <v>21</v>
      </c>
    </row>
    <row r="4" spans="1:13" ht="15" x14ac:dyDescent="0.2">
      <c r="A4" s="34" t="s">
        <v>356</v>
      </c>
      <c r="B4" s="20" t="s">
        <v>402</v>
      </c>
      <c r="C4" s="316" t="str">
        <f>YEAR($D$4)&amp;"/"&amp;RIGHT(YEAR($D$4)+1,2)</f>
        <v>2027/28</v>
      </c>
      <c r="D4" s="315">
        <v>46478</v>
      </c>
      <c r="E4" s="20" t="s">
        <v>355</v>
      </c>
    </row>
    <row r="5" spans="1:13" x14ac:dyDescent="0.2">
      <c r="A5" s="33"/>
      <c r="B5" s="33"/>
      <c r="C5" s="33"/>
      <c r="D5" s="33"/>
      <c r="E5" s="33"/>
    </row>
    <row r="6" spans="1:13" ht="16.5" x14ac:dyDescent="0.2">
      <c r="A6" s="36" t="s">
        <v>16</v>
      </c>
      <c r="B6" s="33"/>
      <c r="C6" s="33"/>
      <c r="D6" s="33"/>
      <c r="E6" s="33"/>
    </row>
    <row r="7" spans="1:13" ht="15" x14ac:dyDescent="0.2">
      <c r="A7" s="37" t="s">
        <v>17</v>
      </c>
      <c r="B7" s="370" t="s">
        <v>18</v>
      </c>
      <c r="C7" s="370"/>
      <c r="D7" s="370"/>
      <c r="E7" s="370"/>
    </row>
    <row r="8" spans="1:13" ht="30" customHeight="1" x14ac:dyDescent="0.2">
      <c r="A8" t="s">
        <v>270</v>
      </c>
      <c r="B8" s="366" t="s">
        <v>396</v>
      </c>
      <c r="C8" s="366"/>
      <c r="D8" s="366"/>
      <c r="E8" s="366"/>
    </row>
    <row r="9" spans="1:13" ht="14.25" x14ac:dyDescent="0.2">
      <c r="A9" s="289" t="s">
        <v>403</v>
      </c>
      <c r="B9" s="290" t="str">
        <f>"Charges in "&amp;RIGHT('Annex 1 LV and HV charges_A'!$A$2,LEN('Annex 1 LV and HV charges_A'!$A$2)-(FIND("charges",TEXT('Annex 1 LV and HV charges_A'!$A$2,0))+LEN("charges in ")-1))</f>
        <v>Charges in UKPN EPN Area (GSP Group _A)</v>
      </c>
      <c r="C9" s="349"/>
      <c r="D9" s="292"/>
      <c r="E9" s="292"/>
    </row>
    <row r="10" spans="1:13" ht="14.25" x14ac:dyDescent="0.2">
      <c r="A10" s="289" t="s">
        <v>404</v>
      </c>
      <c r="B10" s="290" t="str">
        <f>"Charges in "&amp;RIGHT('Annex 1 LV and HV charges_B'!$A$2,LEN('Annex 1 LV and HV charges_B'!$A$2)-(FIND("charges",TEXT('Annex 1 LV and HV charges_B'!$A$2,0))+LEN("charges in ")-1))</f>
        <v>Charges in WPD EM Area (GSP Group _B)</v>
      </c>
      <c r="C10" s="350"/>
      <c r="D10" s="292"/>
      <c r="E10" s="292"/>
    </row>
    <row r="11" spans="1:13" ht="14.25" x14ac:dyDescent="0.2">
      <c r="A11" s="289" t="s">
        <v>405</v>
      </c>
      <c r="B11" s="290" t="str">
        <f>"Charges in "&amp;RIGHT('Annex 1 LV and HV charges_C'!$A$2,LEN('Annex 1 LV and HV charges_C'!$A$2)-(FIND("charges",TEXT('Annex 1 LV and HV charges_C'!$A$2,0))+LEN("charges in ")-1))</f>
        <v>Charges in UKPN LPN Area (GSP Group _C)</v>
      </c>
      <c r="C11" s="350"/>
      <c r="D11" s="292"/>
      <c r="E11" s="292"/>
      <c r="H11" s="359"/>
      <c r="I11" s="359"/>
      <c r="J11" s="359"/>
      <c r="K11" s="359"/>
      <c r="L11" s="359"/>
      <c r="M11" s="359"/>
    </row>
    <row r="12" spans="1:13" ht="14.25" x14ac:dyDescent="0.2">
      <c r="A12" s="289" t="s">
        <v>406</v>
      </c>
      <c r="B12" s="290" t="str">
        <f>"Charges in "&amp;RIGHT('Annex 1 LV and HV charges_D'!$A$2,LEN('Annex 1 LV and HV charges_D'!$A$2)-(FIND("charges",TEXT('Annex 1 LV and HV charges_D'!$A$2,0))+LEN("charges in ")-1))</f>
        <v>Charges in SP Manweb Area (GSP Group _D)</v>
      </c>
      <c r="C12" s="349"/>
      <c r="D12" s="292"/>
      <c r="E12" s="292"/>
      <c r="H12" s="359"/>
      <c r="I12" s="359"/>
      <c r="J12" s="359"/>
      <c r="K12" s="359"/>
      <c r="L12" s="359"/>
      <c r="M12" s="359"/>
    </row>
    <row r="13" spans="1:13" ht="14.25" x14ac:dyDescent="0.2">
      <c r="A13" s="289" t="s">
        <v>407</v>
      </c>
      <c r="B13" s="290" t="str">
        <f>"Charges in "&amp;RIGHT('Annex 1 LV and HV charges_E'!$A$2,LEN('Annex 1 LV and HV charges_E'!$A$2)-(FIND("charges",TEXT('Annex 1 LV and HV charges_E'!$A$2,0))+LEN("charges in ")-1))</f>
        <v>Charges in WPD West Midlands Area (GSP Group _E)</v>
      </c>
      <c r="C13" s="350"/>
      <c r="D13" s="292"/>
      <c r="E13" s="292"/>
      <c r="H13" s="359"/>
      <c r="I13" s="359"/>
      <c r="J13" s="359"/>
      <c r="K13" s="359"/>
      <c r="L13" s="359"/>
      <c r="M13" s="359"/>
    </row>
    <row r="14" spans="1:13" ht="14.25" x14ac:dyDescent="0.2">
      <c r="A14" s="289" t="s">
        <v>408</v>
      </c>
      <c r="B14" s="290" t="str">
        <f>"Charges in "&amp;RIGHT('Annex 1 LV and HV charges_F'!$A$2,LEN('Annex 1 LV and HV charges_F'!$A$2)-(FIND("charges",TEXT('Annex 1 LV and HV charges_F'!$A$2,0))+LEN("charges in ")-1))</f>
        <v>Charges in NPG Northeast Area (GSP Group _F)</v>
      </c>
      <c r="C14" s="350"/>
      <c r="D14" s="292"/>
      <c r="E14" s="292"/>
      <c r="H14" s="65"/>
      <c r="I14" s="65"/>
      <c r="J14" s="65"/>
      <c r="K14" s="65"/>
      <c r="L14" s="65"/>
    </row>
    <row r="15" spans="1:13" ht="14.25" x14ac:dyDescent="0.2">
      <c r="A15" s="289" t="s">
        <v>409</v>
      </c>
      <c r="B15" s="290" t="str">
        <f>"Charges in "&amp;RIGHT('Annex 1 LV and HV charges_G'!$A$2,LEN('Annex 1 LV and HV charges_G'!$A$2)-(FIND("charges",TEXT('Annex 1 LV and HV charges_G'!$A$2,0))+LEN("charges in ")-1))</f>
        <v>Charges in Electricity North West Area (GSP Group _G)</v>
      </c>
      <c r="C15" s="350"/>
      <c r="D15" s="292"/>
      <c r="E15" s="292"/>
      <c r="H15" s="65"/>
      <c r="I15" s="65"/>
      <c r="J15" s="65"/>
      <c r="K15" s="65"/>
      <c r="L15" s="65"/>
    </row>
    <row r="16" spans="1:13" ht="14.25" x14ac:dyDescent="0.2">
      <c r="A16" s="289" t="s">
        <v>410</v>
      </c>
      <c r="B16" s="290" t="str">
        <f>"Charges in "&amp;RIGHT('Annex 1 LV and HV charges_H'!$A$2,LEN('Annex 1 LV and HV charges_H'!$A$2)-(FIND("charges",TEXT('Annex 1 LV and HV charges_H'!$A$2,0))+LEN("charges in ")-1))</f>
        <v>Charges in SSE SEPD Area (GSP Group _H)</v>
      </c>
      <c r="C16" s="350"/>
      <c r="D16" s="292"/>
      <c r="E16" s="292"/>
      <c r="H16" s="65"/>
      <c r="I16" s="65"/>
      <c r="J16" s="65"/>
      <c r="K16" s="65"/>
      <c r="L16" s="65"/>
    </row>
    <row r="17" spans="1:12" ht="14.25" x14ac:dyDescent="0.2">
      <c r="A17" s="289" t="s">
        <v>411</v>
      </c>
      <c r="B17" s="290" t="str">
        <f>"Charges in "&amp;RIGHT('Annex 1 LV and HV charges_J'!$A$2,LEN('Annex 1 LV and HV charges_J'!$A$2)-(FIND("charges",TEXT('Annex 1 LV and HV charges_J'!$A$2,0))+LEN("charges in ")-1))</f>
        <v>Charges in UKPN SPN Area (GSP Group _J)</v>
      </c>
      <c r="C17" s="349"/>
      <c r="D17" s="292"/>
      <c r="E17" s="292"/>
      <c r="H17" s="65"/>
      <c r="I17" s="65"/>
      <c r="J17" s="65"/>
      <c r="K17" s="65"/>
      <c r="L17" s="65"/>
    </row>
    <row r="18" spans="1:12" ht="14.25" x14ac:dyDescent="0.2">
      <c r="A18" s="289" t="s">
        <v>412</v>
      </c>
      <c r="B18" s="290" t="str">
        <f>"Charges in "&amp;RIGHT('Annex 1 LV and HV charges_K'!$A$2,LEN('Annex 1 LV and HV charges_K'!$A$2)-(FIND("charges",TEXT('Annex 1 LV and HV charges_K'!$A$2,0))+LEN("charges in ")-1))</f>
        <v>Charges in WPD South Wales Area (GSP Group _K)</v>
      </c>
      <c r="C18" s="349"/>
      <c r="D18" s="292"/>
      <c r="E18" s="292"/>
    </row>
    <row r="19" spans="1:12" ht="14.25" x14ac:dyDescent="0.2">
      <c r="A19" s="289" t="s">
        <v>413</v>
      </c>
      <c r="B19" s="290" t="str">
        <f>"Charges in "&amp;RIGHT('Annex 1 LV and HV charges_L'!$A$2,LEN('Annex 1 LV and HV charges_L'!$A$2)-(FIND("charges",TEXT('Annex 1 LV and HV charges_L'!$A$2,0))+LEN("charges in ")-1))</f>
        <v>Charges in WPD South West Area (GSP Group _L)</v>
      </c>
      <c r="C19" s="349"/>
      <c r="D19" s="292"/>
      <c r="E19" s="292"/>
    </row>
    <row r="20" spans="1:12" ht="14.25" x14ac:dyDescent="0.2">
      <c r="A20" s="289" t="s">
        <v>414</v>
      </c>
      <c r="B20" s="290" t="str">
        <f>"Charges in "&amp;RIGHT('Annex 1 LV and HV charges_M'!$A$2,LEN('Annex 1 LV and HV charges_M'!$A$2)-(FIND("charges",TEXT('Annex 1 LV and HV charges_M'!$A$2,0))+LEN("charges in ")-1))</f>
        <v>Charges in NPG Yorkshire Area (GSP Group _M)</v>
      </c>
      <c r="C20" s="349"/>
      <c r="D20" s="292"/>
      <c r="E20" s="292"/>
    </row>
    <row r="21" spans="1:12" ht="14.25" x14ac:dyDescent="0.2">
      <c r="A21" s="289" t="s">
        <v>415</v>
      </c>
      <c r="B21" s="290" t="str">
        <f>"Charges in "&amp;RIGHT('Annex 1 LV and HV charges_N'!$A$2,LEN('Annex 1 LV and HV charges_N'!$A$2)-(FIND("charges",TEXT('Annex 1 LV and HV charges_N'!$A$2,0))+LEN("charges in ")-1))</f>
        <v>Charges in SP Distribution Area (GSP Group _N)</v>
      </c>
      <c r="C21" s="349"/>
      <c r="D21" s="292"/>
      <c r="E21" s="292"/>
    </row>
    <row r="22" spans="1:12" ht="14.25" x14ac:dyDescent="0.2">
      <c r="A22" s="289" t="s">
        <v>416</v>
      </c>
      <c r="B22" s="290" t="str">
        <f>"Charges in "&amp;RIGHT('Annex 1 LV and HV charges_P'!$A$2,LEN('Annex 1 LV and HV charges_P'!$A$2)-(FIND("charges",TEXT('Annex 1 LV and HV charges_P'!$A$2,0))+LEN("charges in ")-1))</f>
        <v>Charges in SSE SHEPD Area (GSP Group_P)</v>
      </c>
      <c r="C22" s="350"/>
      <c r="D22" s="292"/>
      <c r="E22" s="292"/>
    </row>
    <row r="23" spans="1:12" ht="30" customHeight="1" x14ac:dyDescent="0.2">
      <c r="A23" s="293" t="s">
        <v>271</v>
      </c>
      <c r="B23" s="362" t="str">
        <f>"Annex 2 contains the charges to EHV Properties and charges applied to LDNOs with EHV Properties/end-users embedded in networks within the " &amp;B4 &amp;" Licence area."</f>
        <v>Annex 2 contains the charges to EHV Properties and charges applied to LDNOs with EHV Properties/end-users embedded in networks within the Leep Electricity Networks Limited Licence area.</v>
      </c>
      <c r="C23" s="362"/>
      <c r="D23" s="362"/>
      <c r="E23" s="362"/>
    </row>
    <row r="24" spans="1:12" ht="30" customHeight="1" x14ac:dyDescent="0.2">
      <c r="A24" s="293" t="s">
        <v>272</v>
      </c>
      <c r="B24" s="362" t="s">
        <v>20</v>
      </c>
      <c r="C24" s="362"/>
      <c r="D24" s="362"/>
      <c r="E24" s="362"/>
    </row>
    <row r="25" spans="1:12" ht="72.75" customHeight="1" x14ac:dyDescent="0.2">
      <c r="A25" t="s">
        <v>273</v>
      </c>
      <c r="B25" s="366" t="str">
        <f>"Annex 4 contains charges that are levied on the owner of an embedded network within the "&amp;B4&amp;" Licence area. "&amp;"Electricity suppliers and consumers who have properties connected to an embedded network should contact the embedded network owner to determine their distribution charges."&amp;" The charges listed in this table are not payable by domestic consumers, business consumers or electricity suppliers."</f>
        <v>Annex 4 contains charges that are levied on the owner of an embedded network within the Leep Electricity Networks Limited Licence area. Electricity suppliers and consumers who have properties connected to an embedded network should contact the embedded network owner to determine their distribution charges. The charges listed in this table are not payable by domestic consumers, business consumers or electricity suppliers.</v>
      </c>
      <c r="C25" s="366"/>
      <c r="D25" s="366"/>
      <c r="E25" s="366"/>
      <c r="F25" s="361"/>
      <c r="G25" s="361"/>
      <c r="H25" s="361"/>
    </row>
    <row r="26" spans="1:12" ht="14.25" x14ac:dyDescent="0.2">
      <c r="A26" s="289" t="s">
        <v>417</v>
      </c>
      <c r="B26" s="290" t="str">
        <f>"Tariffs in "&amp;RIGHT('Annex 4 LDNO charges_A'!$A$2,LEN('Annex 4 LDNO charges_A'!$A$2)-(FIND("tariffs",TEXT('Annex 4 LDNO charges_A'!$A$2,0))+LEN("tariffs in ")-1))</f>
        <v>Tariffs in UKPN EPN Area (GSP Group_A)</v>
      </c>
      <c r="C26" s="349"/>
      <c r="D26" s="292"/>
      <c r="E26" s="292"/>
    </row>
    <row r="27" spans="1:12" ht="14.25" x14ac:dyDescent="0.2">
      <c r="A27" s="291" t="s">
        <v>418</v>
      </c>
      <c r="B27" s="290" t="str">
        <f>"Tariffs in "&amp;RIGHT('Annex 4 LDNO charges_B'!$A$2,LEN('Annex 4 LDNO charges_B'!$A$2)-(FIND("tariffs",TEXT('Annex 4 LDNO charges_B'!$A$2,0))+LEN("tariffs in ")-1))</f>
        <v>Tariffs in WPD EM Area (GSP Group_B)</v>
      </c>
      <c r="C27" s="350"/>
      <c r="D27" s="292"/>
      <c r="E27" s="292"/>
    </row>
    <row r="28" spans="1:12" ht="14.25" x14ac:dyDescent="0.2">
      <c r="A28" s="291" t="s">
        <v>419</v>
      </c>
      <c r="B28" s="290" t="str">
        <f>"Tariffs in "&amp;RIGHT('Annex 4 LDNO charges_C'!$A$2,LEN('Annex 4 LDNO charges_C'!$A$2)-(FIND("tariffs",TEXT('Annex 4 LDNO charges_C'!$A$2,0))+LEN("tariffs in ")-1))</f>
        <v>Tariffs in UKPN LPN Area (GSP Group_C)</v>
      </c>
      <c r="C28" s="350"/>
      <c r="D28" s="292"/>
      <c r="E28" s="292"/>
    </row>
    <row r="29" spans="1:12" ht="14.25" x14ac:dyDescent="0.2">
      <c r="A29" s="291" t="s">
        <v>420</v>
      </c>
      <c r="B29" s="290" t="str">
        <f>"Tariffs in "&amp;RIGHT('Annex 4 LDNO charges_D'!$A$2,LEN('Annex 4 LDNO charges_D'!$A$2)-(FIND("tariffs",TEXT('Annex 4 LDNO charges_D'!$A$2,0))+LEN("tariffs in ")-1))</f>
        <v>Tariffs in SP Manweb Area (GSP Group_D)</v>
      </c>
      <c r="C29" s="349"/>
      <c r="D29" s="292"/>
      <c r="E29" s="292"/>
    </row>
    <row r="30" spans="1:12" ht="14.25" x14ac:dyDescent="0.2">
      <c r="A30" s="291" t="s">
        <v>421</v>
      </c>
      <c r="B30" s="290" t="str">
        <f>"Tariffs in "&amp;RIGHT('Annex 4 LDNO charges_E'!$A$2,LEN('Annex 4 LDNO charges_E'!$A$2)-(FIND("tariffs",TEXT('Annex 4 LDNO charges_E'!$A$2,0))+LEN("tariffs in ")-1))</f>
        <v>Tariffs in WPD West Midlands Area (GSP Group_E)</v>
      </c>
      <c r="C30" s="350"/>
      <c r="D30" s="292"/>
      <c r="E30" s="292"/>
    </row>
    <row r="31" spans="1:12" ht="14.25" x14ac:dyDescent="0.2">
      <c r="A31" s="291" t="s">
        <v>422</v>
      </c>
      <c r="B31" s="290" t="str">
        <f>"Tariffs in "&amp;RIGHT('Annex 4 LDNO charges_F'!$A$2,LEN('Annex 4 LDNO charges_F'!$A$2)-(FIND("tariffs",TEXT('Annex 4 LDNO charges_F'!$A$2,0))+LEN("tariffs in ")-1))</f>
        <v>Tariffs in NPG Northeast Area (GSP Group_F)</v>
      </c>
      <c r="C31" s="350"/>
      <c r="D31" s="292"/>
      <c r="E31" s="292"/>
    </row>
    <row r="32" spans="1:12" ht="14.25" x14ac:dyDescent="0.2">
      <c r="A32" s="291" t="s">
        <v>423</v>
      </c>
      <c r="B32" s="290" t="str">
        <f>"Tariffs in "&amp;RIGHT('Annex 4 LDNO charges_G'!$A$2,LEN('Annex 4 LDNO charges_G'!$A$2)-(FIND("tariffs",TEXT('Annex 4 LDNO charges_G'!$A$2,0))+LEN("tariffs in ")-1))</f>
        <v>Tariffs in Electricity North West Area (GSP Group_G)</v>
      </c>
      <c r="C32" s="350"/>
      <c r="D32" s="292"/>
      <c r="E32" s="292"/>
    </row>
    <row r="33" spans="1:5" ht="14.25" x14ac:dyDescent="0.2">
      <c r="A33" s="291" t="s">
        <v>424</v>
      </c>
      <c r="B33" s="290" t="str">
        <f>"Tariffs in "&amp;RIGHT('Annex 4 LDNO charges_H'!$A$2,LEN('Annex 4 LDNO charges_H'!$A$2)-(FIND("tariffs",TEXT('Annex 4 LDNO charges_H'!$A$2,0))+LEN("tariffs in ")-1))</f>
        <v>Tariffs in SSE SEPD Area (GSP Group_H)</v>
      </c>
      <c r="C33" s="350"/>
      <c r="D33" s="292"/>
      <c r="E33" s="292"/>
    </row>
    <row r="34" spans="1:5" ht="14.25" x14ac:dyDescent="0.2">
      <c r="A34" s="291" t="s">
        <v>425</v>
      </c>
      <c r="B34" s="290" t="str">
        <f>"Tariffs in "&amp;RIGHT('Annex 4 LDNO charges_J'!$A$2,LEN('Annex 4 LDNO charges_J'!$A$2)-(FIND("tariffs",TEXT('Annex 4 LDNO charges_J'!$A$2,0))+LEN("tariffs in ")-1))</f>
        <v>Tariffs in UKPN SPN Area (GSP Group_J)</v>
      </c>
      <c r="C34" s="349"/>
      <c r="D34" s="292"/>
      <c r="E34" s="292"/>
    </row>
    <row r="35" spans="1:5" ht="14.25" x14ac:dyDescent="0.2">
      <c r="A35" s="291" t="s">
        <v>426</v>
      </c>
      <c r="B35" s="290" t="str">
        <f>"Tariffs in "&amp;RIGHT('Annex 4 LDNO charges_K'!$A$2,LEN('Annex 4 LDNO charges_K'!$A$2)-(FIND("tariffs",TEXT('Annex 4 LDNO charges_K'!$A$2,0))+LEN("tariffs in ")-1))</f>
        <v>Tariffs in WPD South Wales Area (GSP Group_K)</v>
      </c>
      <c r="C35" s="349"/>
      <c r="D35" s="292"/>
      <c r="E35" s="292"/>
    </row>
    <row r="36" spans="1:5" ht="14.25" x14ac:dyDescent="0.2">
      <c r="A36" s="291" t="s">
        <v>427</v>
      </c>
      <c r="B36" s="290" t="str">
        <f>"Tariffs in "&amp;RIGHT('Annex 4 LDNO charges_L'!$A$2,LEN('Annex 4 LDNO charges_L'!$A$2)-(FIND("tariffs",TEXT('Annex 4 LDNO charges_L'!$A$2,0))+LEN("tariffs in ")-1))</f>
        <v>Tariffs in WPD South West Area (GSP Group_L)</v>
      </c>
      <c r="C36" s="349"/>
      <c r="D36" s="292"/>
      <c r="E36" s="292"/>
    </row>
    <row r="37" spans="1:5" ht="14.25" x14ac:dyDescent="0.2">
      <c r="A37" s="291" t="s">
        <v>428</v>
      </c>
      <c r="B37" s="290" t="str">
        <f>"Tariffs in "&amp;RIGHT('Annex 4 LDNO charges_M'!$A$2,LEN('Annex 4 LDNO charges_M'!$A$2)-(FIND("tariffs",TEXT('Annex 4 LDNO charges_M'!$A$2,0))+LEN("tariffs in ")-1))</f>
        <v>Tariffs in NPG Yorkshire Area (GSP Group_M)</v>
      </c>
      <c r="C37" s="349"/>
      <c r="D37" s="292"/>
      <c r="E37" s="292"/>
    </row>
    <row r="38" spans="1:5" ht="14.25" x14ac:dyDescent="0.2">
      <c r="A38" s="291" t="s">
        <v>429</v>
      </c>
      <c r="B38" s="290" t="str">
        <f>"Tariffs in "&amp;RIGHT('Annex 4 LDNO charges_N'!$A$2,LEN('Annex 4 LDNO charges_N'!$A$2)-(FIND("tariffs",TEXT('Annex 4 LDNO charges_N'!$A$2,0))+LEN("tariffs in ")-1))</f>
        <v>Tariffs in SP Distribution Area (GSP Group _N)</v>
      </c>
      <c r="C38" s="349"/>
      <c r="D38" s="292"/>
      <c r="E38" s="292"/>
    </row>
    <row r="39" spans="1:5" ht="14.25" x14ac:dyDescent="0.2">
      <c r="A39" s="291" t="s">
        <v>430</v>
      </c>
      <c r="B39" s="290" t="str">
        <f>"Tariffs in "&amp;RIGHT('Annex 4 LDNO charges_P'!$A$2,LEN('Annex 4 LDNO charges_P'!$A$2)-(FIND("tariffs",TEXT('Annex 4 LDNO charges_P'!$A$2,0))+LEN("tariffs in ")-1))</f>
        <v>Tariffs in SSE SHEPD Area (GSP Group_P)</v>
      </c>
      <c r="C39" s="350"/>
      <c r="D39" s="292"/>
      <c r="E39" s="292"/>
    </row>
    <row r="40" spans="1:5" ht="60" customHeight="1" x14ac:dyDescent="0.2">
      <c r="A40" t="s">
        <v>28</v>
      </c>
      <c r="B40" s="366" t="s">
        <v>368</v>
      </c>
      <c r="C40" s="366"/>
      <c r="D40" s="366"/>
      <c r="E40" s="366"/>
    </row>
    <row r="41" spans="1:5" ht="14.25" x14ac:dyDescent="0.2">
      <c r="A41" s="289" t="s">
        <v>431</v>
      </c>
      <c r="B41" s="290" t="str">
        <f>"LLFs in "&amp;RIGHT('Annex 5 LLFs_A'!$A$3,LEN('Annex 5 LLFs_A'!$A$3)-(FIND("LLFs",TEXT('Annex 5 LLFs_A'!$A$3,0))+LEN("LLFs in ")-1))</f>
        <v>LLFs in UKPN EPN Area (GSP Group_A) for year beginning 1 April 2027</v>
      </c>
      <c r="C41" s="292"/>
      <c r="D41" s="292"/>
      <c r="E41" s="292"/>
    </row>
    <row r="42" spans="1:5" ht="14.25" x14ac:dyDescent="0.2">
      <c r="A42" s="289" t="s">
        <v>432</v>
      </c>
      <c r="B42" s="290" t="str">
        <f>"LLFs in "&amp;RIGHT('Annex 5 LLFs_B'!$A$3,LEN('Annex 5 LLFs_B'!$A$3)-(FIND("LLFs",TEXT('Annex 5 LLFs_B'!$A$3,0))+LEN("LLFs in ")-1))</f>
        <v>LLFs in WPD EM Area (GSP Group_B) for year beginning 1 April 2027</v>
      </c>
      <c r="C42" s="292"/>
      <c r="D42" s="292"/>
      <c r="E42" s="292"/>
    </row>
    <row r="43" spans="1:5" ht="14.25" x14ac:dyDescent="0.2">
      <c r="A43" s="289" t="s">
        <v>433</v>
      </c>
      <c r="B43" s="290" t="str">
        <f>"LLFs in "&amp;RIGHT('Annex 5 LLFs_C'!$A$3,LEN('Annex 5 LLFs_C'!$A$3)-(FIND("LLFs",TEXT('Annex 5 LLFs_C'!$A$3,0))+LEN("LLFs in ")-1))</f>
        <v>LLFs in UKPN LPN Area (GSP Group_C) for year beginning 1 April 2027</v>
      </c>
      <c r="C43" s="292"/>
      <c r="D43" s="292"/>
      <c r="E43" s="292"/>
    </row>
    <row r="44" spans="1:5" ht="14.25" x14ac:dyDescent="0.2">
      <c r="A44" s="289" t="s">
        <v>434</v>
      </c>
      <c r="B44" s="290" t="str">
        <f>"LLFs in "&amp;RIGHT('Annex 5 LLFs_D'!$A$3,LEN('Annex 5 LLFs_D'!$A$3)-(FIND("LLFs",TEXT('Annex 5 LLFs_D'!$A$3,0))+LEN("LLFs in ")-1))</f>
        <v>LLFs in SP Manweb Area (GSP Group_D) for year beginning 1 April 2027</v>
      </c>
      <c r="C44" s="292"/>
      <c r="D44" s="292"/>
      <c r="E44" s="292"/>
    </row>
    <row r="45" spans="1:5" ht="14.25" x14ac:dyDescent="0.2">
      <c r="A45" s="289" t="s">
        <v>435</v>
      </c>
      <c r="B45" s="290" t="str">
        <f>"LLFs in "&amp;RIGHT('Annex 5 LLFs_E'!$A$3,LEN('Annex 5 LLFs_E'!$A$3)-(FIND("LLFs",TEXT('Annex 5 LLFs_E'!$A$3,0))+LEN("LLFs in ")-1))</f>
        <v>LLFs in WPD West Midlands Area (GSP Group_E) for year beginning 1 April 2027</v>
      </c>
      <c r="C45" s="292"/>
      <c r="D45" s="292"/>
      <c r="E45" s="292"/>
    </row>
    <row r="46" spans="1:5" ht="14.25" x14ac:dyDescent="0.2">
      <c r="A46" s="289" t="s">
        <v>436</v>
      </c>
      <c r="B46" s="290" t="str">
        <f>"LLFs in "&amp;RIGHT('Annex 5 LLFs_F'!$A$3,LEN('Annex 5 LLFs_F'!$A$3)-(FIND("LLFs",TEXT('Annex 5 LLFs_F'!$A$3,0))+LEN("LLFs in ")-1))</f>
        <v>LLFs in NPG Northeast Area (GSP Group_F) for year beginning 1 April 2027</v>
      </c>
      <c r="C46" s="292"/>
      <c r="D46" s="292"/>
      <c r="E46" s="292"/>
    </row>
    <row r="47" spans="1:5" ht="14.25" x14ac:dyDescent="0.2">
      <c r="A47" s="289" t="s">
        <v>437</v>
      </c>
      <c r="B47" s="290" t="str">
        <f>"LLFs in "&amp;RIGHT('Annex 5 LLFs_G'!$A$3,LEN('Annex 5 LLFs_G'!$A$3)-(FIND("LLFs",TEXT('Annex 5 LLFs_G'!$A$3,0))+LEN("LLFs in ")-1))</f>
        <v>LLFs in Electricity North West Area (GSP Group_G) for year beginning 1 April 2027</v>
      </c>
      <c r="C47" s="292"/>
      <c r="D47" s="292"/>
      <c r="E47" s="292"/>
    </row>
    <row r="48" spans="1:5" ht="14.25" x14ac:dyDescent="0.2">
      <c r="A48" s="289" t="s">
        <v>438</v>
      </c>
      <c r="B48" s="290" t="str">
        <f>"LLFs in "&amp;RIGHT('Annex 5 LLFs_H'!$A$3,LEN('Annex 5 LLFs_H'!$A$3)-(FIND("LLFs",TEXT('Annex 5 LLFs_H'!$A$3,0))+LEN("LLFs in ")-1))</f>
        <v>LLFs in SSE SEPD Area (GSP Group_H) for year beginning 1 April 2027</v>
      </c>
      <c r="C48" s="292"/>
      <c r="D48" s="292"/>
      <c r="E48" s="292"/>
    </row>
    <row r="49" spans="1:5" ht="14.25" x14ac:dyDescent="0.2">
      <c r="A49" s="289" t="s">
        <v>439</v>
      </c>
      <c r="B49" s="290" t="str">
        <f>"LLFs in "&amp;RIGHT('Annex 5 LLFs_J'!$A$3,LEN('Annex 5 LLFs_J'!$A$3)-(FIND("LLFs",TEXT('Annex 5 LLFs_J'!$A$3,0))+LEN("LLFs in ")-1))</f>
        <v>LLFs in UKPN SPN Area (GSP Group_J) for year beginning 1 April 2027</v>
      </c>
      <c r="C49" s="292"/>
      <c r="D49" s="292"/>
      <c r="E49" s="292"/>
    </row>
    <row r="50" spans="1:5" ht="14.25" x14ac:dyDescent="0.2">
      <c r="A50" s="289" t="s">
        <v>440</v>
      </c>
      <c r="B50" s="290" t="str">
        <f>"LLFs in "&amp;RIGHT('Annex 5 LLFs_K'!$A$3,LEN('Annex 5 LLFs_K'!$A$3)-(FIND("LLFs",TEXT('Annex 5 LLFs_K'!$A$3,0))+LEN("LLFs in ")-1))</f>
        <v>LLFs in WPD South Wales Area (GSP Group_K) for year beginning 1 April 2027</v>
      </c>
      <c r="C50" s="292"/>
      <c r="D50" s="292"/>
      <c r="E50" s="292"/>
    </row>
    <row r="51" spans="1:5" ht="14.25" x14ac:dyDescent="0.2">
      <c r="A51" s="289" t="s">
        <v>441</v>
      </c>
      <c r="B51" s="290" t="str">
        <f>"LLFs in "&amp;RIGHT('Annex 5 LLFs_L'!$A$3,LEN('Annex 5 LLFs_L'!$A$3)-(FIND("LLFs",TEXT('Annex 5 LLFs_L'!$A$3,0))+LEN("LLFs in ")-1))</f>
        <v>LLFs in WPD South West Area (GSP Group_L) for year beginning 1 April 2027</v>
      </c>
      <c r="C51" s="292"/>
      <c r="D51" s="292"/>
      <c r="E51" s="292"/>
    </row>
    <row r="52" spans="1:5" ht="14.25" x14ac:dyDescent="0.2">
      <c r="A52" s="289" t="s">
        <v>442</v>
      </c>
      <c r="B52" s="290" t="str">
        <f>"LLFs in "&amp;RIGHT('Annex 5 LLFs_M'!$A$3,LEN('Annex 5 LLFs_M'!$A$3)-(FIND("LLFs",TEXT('Annex 5 LLFs_M'!$A$3,0))+LEN("LLFs in ")-1))</f>
        <v>LLFs in NPG Yorkshire Area (GSP Group_M) for year beginning 1 April 2027</v>
      </c>
      <c r="C52" s="292"/>
      <c r="D52" s="292"/>
      <c r="E52" s="292"/>
    </row>
    <row r="53" spans="1:5" ht="14.25" x14ac:dyDescent="0.2">
      <c r="A53" s="291" t="s">
        <v>443</v>
      </c>
      <c r="B53" s="290" t="str">
        <f>"LLFs in "&amp;RIGHT('Annex 5 LLFs_N'!$A$3,LEN('Annex 5 LLFs_N'!$A$3)-(FIND("LLFs",TEXT('Annex 5 LLFs_N'!$A$3,0))+LEN("LLFs in ")-1))</f>
        <v>LLFs in SP Distribution Area (GSP Group _N) for year beginning 1 April 2027</v>
      </c>
      <c r="C53" s="292"/>
      <c r="D53" s="292"/>
      <c r="E53" s="292"/>
    </row>
    <row r="54" spans="1:5" ht="14.25" x14ac:dyDescent="0.2">
      <c r="A54" s="291" t="s">
        <v>444</v>
      </c>
      <c r="B54" s="290" t="str">
        <f>"LLFs in "&amp;RIGHT('Annex 5 LLFs_P'!$A$3,LEN('Annex 5 LLFs_P'!$A$3)-(FIND("LLFs",TEXT('Annex 5 LLFs_P'!$A$3,0))+LEN("LLFs in ")-1))</f>
        <v>LLFs in SSE SHEPD Area (GSP Group_P) for year beginning 1 April 2027</v>
      </c>
      <c r="C54" s="292"/>
      <c r="D54" s="292"/>
      <c r="E54" s="292"/>
    </row>
    <row r="55" spans="1:5" ht="42.75" customHeight="1" x14ac:dyDescent="0.2">
      <c r="A55" s="293" t="s">
        <v>399</v>
      </c>
      <c r="B55" s="362" t="str">
        <f>"Annex 6 contains the charges for new or amended EHV Properties and charges applied to LDNOs with new or amended EHV Properties/end-users embedded in networks within the " &amp;B4 &amp;" Licence area."</f>
        <v>Annex 6 contains the charges for new or amended EHV Properties and charges applied to LDNOs with new or amended EHV Properties/end-users embedded in networks within the Leep Electricity Networks Limited Licence area.</v>
      </c>
      <c r="C55" s="362"/>
      <c r="D55" s="362"/>
      <c r="E55" s="362"/>
    </row>
    <row r="56" spans="1:5" ht="30" customHeight="1" x14ac:dyDescent="0.2">
      <c r="A56" t="s">
        <v>648</v>
      </c>
      <c r="B56" s="366" t="s">
        <v>649</v>
      </c>
      <c r="C56" s="366"/>
      <c r="D56" s="366"/>
      <c r="E56" s="366"/>
    </row>
    <row r="57" spans="1:5" ht="14.25" x14ac:dyDescent="0.2">
      <c r="A57" s="289" t="s">
        <v>650</v>
      </c>
      <c r="B57" s="290" t="str">
        <f>MID('Annex 7 Pass-Through Costs_A'!$A$2,FIND("Final",'Annex 7 Pass-Through Costs_A'!$A$2),LEN('Annex 7 Pass-Through Costs_A'!$A$2)-FIND("Final",'Annex 7 Pass-Through Costs_A'!$A$2)+1)</f>
        <v>Final Supplier of Last Resort and Eligible Bad Debt Pass-Through Costs in UKPN EPN Area (GSP Group_A)</v>
      </c>
      <c r="C57" s="292"/>
      <c r="D57" s="292"/>
      <c r="E57" s="349"/>
    </row>
    <row r="58" spans="1:5" ht="14.25" x14ac:dyDescent="0.2">
      <c r="A58" s="289" t="s">
        <v>651</v>
      </c>
      <c r="B58" s="290" t="str">
        <f>MID('Annex 7 Pass-Through Costs_B'!$A$2,FIND("Final",'Annex 7 Pass-Through Costs_B'!$A$2),LEN('Annex 7 Pass-Through Costs_B'!$A$2)-FIND("Final",'Annex 7 Pass-Through Costs_B'!$A$2)+1)</f>
        <v>Final Supplier of Last Resort and Eligible Bad Debt Pass-Through Costs in WPD EM Area (GSP Group_B)</v>
      </c>
      <c r="C58" s="292"/>
      <c r="D58" s="292"/>
      <c r="E58" s="350"/>
    </row>
    <row r="59" spans="1:5" ht="14.25" x14ac:dyDescent="0.2">
      <c r="A59" s="289" t="s">
        <v>652</v>
      </c>
      <c r="B59" s="290" t="str">
        <f>MID('Annex 7 Pass-Through Costs_C'!$A$2,FIND("Final",'Annex 7 Pass-Through Costs_C'!$A$2),LEN('Annex 7 Pass-Through Costs_C'!$A$2)-FIND("Final",'Annex 7 Pass-Through Costs_C'!$A$2)+1)</f>
        <v>Final Supplier of Last Resort and Eligible Bad Debt Pass-Through Costs in UKPN LPN Area (GSP Group_C)</v>
      </c>
      <c r="C59" s="292"/>
      <c r="D59" s="292"/>
      <c r="E59" s="350"/>
    </row>
    <row r="60" spans="1:5" ht="14.25" x14ac:dyDescent="0.2">
      <c r="A60" s="289" t="s">
        <v>653</v>
      </c>
      <c r="B60" s="290" t="str">
        <f>MID('Annex 7 Pass-Through Costs_D'!$A$2,FIND("Final",'Annex 7 Pass-Through Costs_D'!$A$2),LEN('Annex 7 Pass-Through Costs_D'!$A$2)-FIND("Final",'Annex 7 Pass-Through Costs_D'!$A$2)+1)</f>
        <v>Final Supplier of Last Resort and Eligible Bad Debt Pass-Through Costs in SP Manweb Area (GSP Group_D)</v>
      </c>
      <c r="C60" s="292"/>
      <c r="D60" s="292"/>
      <c r="E60" s="349"/>
    </row>
    <row r="61" spans="1:5" ht="14.25" x14ac:dyDescent="0.2">
      <c r="A61" s="289" t="s">
        <v>654</v>
      </c>
      <c r="B61" s="290" t="str">
        <f>MID('Annex 7 Pass-Through Costs_E'!$A$2,FIND("Final",'Annex 7 Pass-Through Costs_E'!$A$2),LEN('Annex 7 Pass-Through Costs_E'!$A$2)-FIND("Final",'Annex 7 Pass-Through Costs_E'!$A$2)+1)</f>
        <v>Final Supplier of Last Resort and Eligible Bad Debt Pass-Through Costs in WPD West Midlands Area (GSP Group_E)</v>
      </c>
      <c r="C61" s="292"/>
      <c r="D61" s="292"/>
      <c r="E61" s="350"/>
    </row>
    <row r="62" spans="1:5" ht="14.25" x14ac:dyDescent="0.2">
      <c r="A62" s="289" t="s">
        <v>655</v>
      </c>
      <c r="B62" s="290" t="str">
        <f>MID('Annex 7 Pass-Through Costs_F'!$A$2,FIND("Final",'Annex 7 Pass-Through Costs_F'!$A$2),LEN('Annex 7 Pass-Through Costs_F'!$A$2)-FIND("Final",'Annex 7 Pass-Through Costs_F'!$A$2)+1)</f>
        <v>Final Supplier of Last Resort and Eligible Bad Debt Pass-Through Costs in NPG Northeast Area (GSP Group_F)</v>
      </c>
      <c r="C62" s="292"/>
      <c r="D62" s="292"/>
      <c r="E62" s="350"/>
    </row>
    <row r="63" spans="1:5" ht="14.25" x14ac:dyDescent="0.2">
      <c r="A63" s="289" t="s">
        <v>656</v>
      </c>
      <c r="B63" s="290" t="str">
        <f>MID('Annex 7 Pass-Through Costs_G'!$A$2,FIND("Final",'Annex 7 Pass-Through Costs_G'!$A$2),LEN('Annex 7 Pass-Through Costs_G'!$A$2)-FIND("Final",'Annex 7 Pass-Through Costs_G'!$A$2)+1)</f>
        <v>Final Supplier of Last Resort and Eligible Bad Debt Pass-Through Costs in Electricity North West Area (GSP Group_G)</v>
      </c>
      <c r="C63" s="292"/>
      <c r="D63" s="292"/>
      <c r="E63" s="350"/>
    </row>
    <row r="64" spans="1:5" ht="14.25" x14ac:dyDescent="0.2">
      <c r="A64" s="289" t="s">
        <v>657</v>
      </c>
      <c r="B64" s="290" t="str">
        <f>MID('Annex 7 Pass-Through Costs_H'!$A$2,FIND("Final",'Annex 7 Pass-Through Costs_H'!$A$2),LEN('Annex 7 Pass-Through Costs_H'!$A$2)-FIND("Final",'Annex 7 Pass-Through Costs_H'!$A$2)+1)</f>
        <v>Final Supplier of Last Resort and Eligible Bad Debt Pass-Through Costs in SSE SEPD Area (GSP Group_H)</v>
      </c>
      <c r="C64" s="292"/>
      <c r="D64" s="292"/>
      <c r="E64" s="350"/>
    </row>
    <row r="65" spans="1:6" ht="14.25" x14ac:dyDescent="0.2">
      <c r="A65" s="289" t="s">
        <v>658</v>
      </c>
      <c r="B65" s="290" t="str">
        <f>MID('Annex 7 Pass-Through Costs_J'!$A$2,FIND("Final",'Annex 7 Pass-Through Costs_J'!$A$2),LEN('Annex 7 Pass-Through Costs_J'!$A$2)-FIND("Final",'Annex 7 Pass-Through Costs_J'!$A$2)+1)</f>
        <v>Final Supplier of Last Resort and Eligible Bad Debt Pass-Through Costs in UKPN SPN Area (GSP Group_J)</v>
      </c>
      <c r="C65" s="292"/>
      <c r="D65" s="292"/>
      <c r="E65" s="349"/>
    </row>
    <row r="66" spans="1:6" ht="14.25" x14ac:dyDescent="0.2">
      <c r="A66" s="289" t="s">
        <v>659</v>
      </c>
      <c r="B66" s="290" t="str">
        <f>MID('Annex 7 Pass-Through Costs_K'!$A$2,FIND("Final",'Annex 7 Pass-Through Costs_K'!$A$2),LEN('Annex 7 Pass-Through Costs_K'!$A$2)-FIND("Final",'Annex 7 Pass-Through Costs_K'!$A$2)+1)</f>
        <v>Final Supplier of Last Resort and Eligible Bad Debt Pass-Through Costs in WPD South Wales Area (GSP Group_K)</v>
      </c>
      <c r="C66" s="292"/>
      <c r="D66" s="292"/>
      <c r="E66" s="349"/>
    </row>
    <row r="67" spans="1:6" ht="14.25" x14ac:dyDescent="0.2">
      <c r="A67" s="289" t="s">
        <v>660</v>
      </c>
      <c r="B67" s="290" t="str">
        <f>MID('Annex 7 Pass-Through Costs_L'!$A$2,FIND("Final",'Annex 7 Pass-Through Costs_L'!$A$2),LEN('Annex 7 Pass-Through Costs_L'!$A$2)-FIND("Final",'Annex 7 Pass-Through Costs_L'!$A$2)+1)</f>
        <v>Final Supplier of Last Resort and Eligible Bad Debt Pass-Through Costs in WPD South West Area (GSP Group_L)</v>
      </c>
      <c r="C67" s="292"/>
      <c r="D67" s="292"/>
      <c r="E67" s="349"/>
    </row>
    <row r="68" spans="1:6" ht="14.25" x14ac:dyDescent="0.2">
      <c r="A68" s="289" t="s">
        <v>661</v>
      </c>
      <c r="B68" s="290" t="str">
        <f>MID('Annex 7 Pass-Through Costs_M'!$A$2,FIND("Final",'Annex 7 Pass-Through Costs_M'!$A$2),LEN('Annex 7 Pass-Through Costs_M'!$A$2)-FIND("Final",'Annex 7 Pass-Through Costs_M'!$A$2)+1)</f>
        <v>Final Supplier of Last Resort and Eligible Bad Debt Pass-Through Costs in NPG Yorkshire Area (GSP Group_M)</v>
      </c>
      <c r="C68" s="292"/>
      <c r="D68" s="292"/>
      <c r="E68" s="349"/>
    </row>
    <row r="69" spans="1:6" ht="14.25" x14ac:dyDescent="0.2">
      <c r="A69" s="289" t="s">
        <v>662</v>
      </c>
      <c r="B69" s="290" t="str">
        <f>MID('Annex 7 Pass-Through Costs_N'!$A$2,FIND("Final",'Annex 7 Pass-Through Costs_N'!$A$2),LEN('Annex 7 Pass-Through Costs_N'!$A$2)-FIND("Final",'Annex 7 Pass-Through Costs_N'!$A$2)+1)</f>
        <v>Final Supplier of Last Resort and Eligible Bad Debt Pass-Through Costs in SP Distribution Area (GSP Group _N)</v>
      </c>
      <c r="C69" s="292"/>
      <c r="D69" s="292"/>
      <c r="E69" s="349"/>
    </row>
    <row r="70" spans="1:6" ht="14.25" x14ac:dyDescent="0.2">
      <c r="A70" s="289" t="s">
        <v>663</v>
      </c>
      <c r="B70" s="290" t="str">
        <f>MID('Annex 7 Pass-Through Costs_P'!$A$2,FIND("Final",'Annex 7 Pass-Through Costs_P'!$A$2),LEN('Annex 7 Pass-Through Costs_P'!$A$2)-FIND("Final",'Annex 7 Pass-Through Costs_P'!$A$2)+1)</f>
        <v>Final Supplier of Last Resort and Eligible Bad Debt Pass-Through Costs in SSE SHEPD Area (GSP Group_P)</v>
      </c>
      <c r="C70" s="292"/>
      <c r="D70" s="292"/>
      <c r="E70" s="350"/>
    </row>
    <row r="71" spans="1:6" ht="29.25" customHeight="1" x14ac:dyDescent="0.2">
      <c r="A71" s="293" t="s">
        <v>258</v>
      </c>
      <c r="B71" s="362" t="s">
        <v>347</v>
      </c>
      <c r="C71" s="362"/>
      <c r="D71" s="362"/>
      <c r="E71" s="362"/>
    </row>
    <row r="72" spans="1:6" ht="30" customHeight="1" x14ac:dyDescent="0.2">
      <c r="A72" s="293" t="s">
        <v>256</v>
      </c>
      <c r="B72" s="362" t="s">
        <v>257</v>
      </c>
      <c r="C72" s="362"/>
      <c r="D72" s="362"/>
      <c r="E72" s="362"/>
    </row>
    <row r="73" spans="1:6" ht="30" customHeight="1" x14ac:dyDescent="0.2">
      <c r="A73" s="293" t="s">
        <v>315</v>
      </c>
      <c r="B73" s="362" t="s">
        <v>314</v>
      </c>
      <c r="C73" s="362"/>
      <c r="D73" s="362"/>
      <c r="E73" s="362"/>
    </row>
    <row r="74" spans="1:6" x14ac:dyDescent="0.2">
      <c r="A74" s="33"/>
      <c r="B74" s="33"/>
      <c r="C74" s="33"/>
      <c r="D74" s="33"/>
      <c r="E74" s="33"/>
    </row>
    <row r="75" spans="1:6" ht="15" x14ac:dyDescent="0.2">
      <c r="A75" s="38" t="s">
        <v>27</v>
      </c>
      <c r="B75" s="33"/>
      <c r="C75" s="33"/>
      <c r="D75" s="33"/>
      <c r="E75" s="33"/>
    </row>
    <row r="76" spans="1:6" ht="15" x14ac:dyDescent="0.2">
      <c r="A76" s="37"/>
      <c r="B76" s="367"/>
      <c r="C76" s="367"/>
      <c r="D76" s="367"/>
      <c r="E76" s="367"/>
    </row>
    <row r="77" spans="1:6" s="64" customFormat="1" ht="21" customHeight="1" x14ac:dyDescent="0.2">
      <c r="A77" s="363" t="s">
        <v>299</v>
      </c>
      <c r="B77" s="364"/>
      <c r="C77" s="364"/>
      <c r="D77" s="364"/>
      <c r="E77" s="364"/>
    </row>
    <row r="78" spans="1:6" s="64" customFormat="1" ht="21" customHeight="1" x14ac:dyDescent="0.2">
      <c r="A78" s="368" t="s">
        <v>369</v>
      </c>
      <c r="B78" s="369"/>
      <c r="C78" s="369"/>
      <c r="D78" s="369"/>
      <c r="E78" s="369"/>
      <c r="F78" s="369"/>
    </row>
    <row r="79" spans="1:6" x14ac:dyDescent="0.2">
      <c r="A79" s="244"/>
      <c r="B79" s="245"/>
      <c r="C79" s="245"/>
      <c r="D79" s="245"/>
      <c r="E79" s="245"/>
      <c r="F79" s="245"/>
    </row>
    <row r="80" spans="1:6" ht="15" x14ac:dyDescent="0.2">
      <c r="A80" s="266" t="s">
        <v>401</v>
      </c>
      <c r="B80" s="245"/>
      <c r="C80" s="245"/>
      <c r="D80" s="245"/>
      <c r="E80" s="245"/>
      <c r="F80" s="245"/>
    </row>
    <row r="81" spans="1:5" ht="15" x14ac:dyDescent="0.2">
      <c r="A81" s="35"/>
      <c r="B81" s="367"/>
      <c r="C81" s="367"/>
      <c r="D81" s="367"/>
      <c r="E81" s="367"/>
    </row>
    <row r="82" spans="1:5" ht="28.5" customHeight="1" x14ac:dyDescent="0.2">
      <c r="A82" s="365" t="s">
        <v>274</v>
      </c>
      <c r="B82" s="365"/>
      <c r="C82" s="365"/>
      <c r="D82" s="365"/>
      <c r="E82" s="365"/>
    </row>
    <row r="83" spans="1:5" ht="28.5" customHeight="1" x14ac:dyDescent="0.2">
      <c r="A83" s="360"/>
      <c r="B83" s="360"/>
      <c r="C83" s="360"/>
      <c r="D83" s="360"/>
      <c r="E83" s="360"/>
    </row>
  </sheetData>
  <customSheetViews>
    <customSheetView guid="{5032A364-B81A-48DA-88DA-AB3B86B47EE9}">
      <selection activeCell="A12" sqref="A12"/>
      <pageMargins left="0.7" right="0.7" top="0.75" bottom="0.75" header="0.3" footer="0.3"/>
    </customSheetView>
  </customSheetViews>
  <mergeCells count="18">
    <mergeCell ref="B8:E8"/>
    <mergeCell ref="B23:E23"/>
    <mergeCell ref="B24:E24"/>
    <mergeCell ref="B25:E25"/>
    <mergeCell ref="B7:E7"/>
    <mergeCell ref="A83:E83"/>
    <mergeCell ref="F25:H25"/>
    <mergeCell ref="B72:E72"/>
    <mergeCell ref="A77:E77"/>
    <mergeCell ref="A82:E82"/>
    <mergeCell ref="B40:E40"/>
    <mergeCell ref="B71:E71"/>
    <mergeCell ref="B55:E55"/>
    <mergeCell ref="B73:E73"/>
    <mergeCell ref="B76:E76"/>
    <mergeCell ref="B81:E81"/>
    <mergeCell ref="A78:F78"/>
    <mergeCell ref="B56:E56"/>
  </mergeCells>
  <hyperlinks>
    <hyperlink ref="A23" location="'Annex 2 EHV charges'!A1" display="Annex 2 EHV charges" xr:uid="{00000000-0004-0000-0000-000001000000}"/>
    <hyperlink ref="A24" location="'Annex 3 Preserved charges'!A1" display="Annex 3 Preserved charges" xr:uid="{00000000-0004-0000-0000-000002000000}"/>
    <hyperlink ref="A71" location="'Nodal prices'!A1" display="Nodal prices" xr:uid="{00000000-0004-0000-0000-000005000000}"/>
    <hyperlink ref="A55" location="'Annex 6 new or amended EHV'!Print_Area" display="Annex 6  Charges for New or Amended Designated EHV Properties" xr:uid="{00000000-0004-0000-0000-000006000000}"/>
    <hyperlink ref="A72" location="'SSC TPR unit rate lookup'!A1" display="SSC TPR to unit rate lookup table" xr:uid="{00000000-0004-0000-0000-000007000000}"/>
    <hyperlink ref="A73" location="'Charge Calculator'!B10" display="Charge calculator" xr:uid="{00000000-0004-0000-0000-000008000000}"/>
    <hyperlink ref="A9" location="'Annex 1 LV and HV charges_A'!A1" display="Annex 1 LV and HV charges_A" xr:uid="{CDC20D71-A10E-4A07-AF17-0EFB0D8FC345}"/>
    <hyperlink ref="A10" location="'Annex 1 LV and HV charges_B'!A1" display="Annex 1 LV and HV charges_B" xr:uid="{6C7B04B3-7406-47A9-87E5-31EF6E06E450}"/>
    <hyperlink ref="A11" location="'Annex 1 LV and HV charges_C'!A1" display="Annex 1 LV and HV charges_C" xr:uid="{85273B80-4E81-4796-AA6B-D160B038B662}"/>
    <hyperlink ref="A12" location="'Annex 1 LV and HV charges_D'!A1" display="Annex 1 LV and HV charges_D" xr:uid="{C1CDD0B0-FF86-4978-9043-AD8189AA1CF2}"/>
    <hyperlink ref="A13" location="'Annex 1 LV and HV charges_E'!A1" display="Annex 1 LV and HV charges_E" xr:uid="{C4423B51-8A81-4E4F-BBA0-864CC0A705E7}"/>
    <hyperlink ref="A14" location="'Annex 1 LV and HV charges_F'!A1" display="Annex 1 LV and HV charges_F" xr:uid="{32A11DC7-A9AA-482E-B0F4-BF86355BA6DF}"/>
    <hyperlink ref="A15" location="'Annex 1 LV and HV charges_G'!A1" display="Annex 1 LV and HV charges_G" xr:uid="{C4C37B06-01A2-4B9D-8629-EA842602B553}"/>
    <hyperlink ref="A16" location="'Annex 1 LV and HV charges_H'!A1" display="Annex 1 LV and HV charges_H" xr:uid="{D56BCCE6-C086-43B2-A4E7-A430C0749D02}"/>
    <hyperlink ref="A17" location="'Annex 1 LV and HV charges_J'!A1" display="Annex 1 LV and HV charges_J" xr:uid="{5FDA7C79-9D7E-4E4D-AEDD-5D795F424033}"/>
    <hyperlink ref="A18" location="'Annex 1 LV and HV charges_K'!A1" display="Annex 1 LV and HV charges_K" xr:uid="{F019B889-6295-4750-A9CE-2D7B72EFD7B9}"/>
    <hyperlink ref="A19" location="'Annex 1 LV and HV charges_L'!A1" display="Annex 1 LV and HV charges_L" xr:uid="{6E3055EC-036B-4A91-8BE9-B2A1C4516AD6}"/>
    <hyperlink ref="A20" location="'Annex 1 LV and HV charges_M'!A1" display="Annex 1 LV and HV charges_M" xr:uid="{02609F73-DF4C-44A0-9B52-B3055F7AD615}"/>
    <hyperlink ref="A26" location="'Annex 4 LDNO charges_A'!A1" display="Annex 4 LDNO charges_A" xr:uid="{1D191FC6-8AC5-4794-B59F-7C6E394B1A36}"/>
    <hyperlink ref="A27" location="'Annex 4 LDNO charges_B'!A1" display="Annex 4 LDNO charges_B" xr:uid="{2AB873B9-8EB9-4F0B-A4A1-7ECC6DB167C1}"/>
    <hyperlink ref="A28" location="'Annex 4 LDNO charges_C'!A1" display="Annex 4 LDNO charges_C" xr:uid="{9FC20FEA-C15A-4DFE-BD43-AEC1C39FFA58}"/>
    <hyperlink ref="A29" location="'Annex 4 LDNO charges_D'!A1" display="Annex 4 LDNO charges_D" xr:uid="{33A226CE-B550-4C99-AA35-49D641F0EB9A}"/>
    <hyperlink ref="A30" location="'Annex 4 LDNO charges_E'!A1" display="Annex 4 LDNO charges_E" xr:uid="{4AAD7806-1666-4937-920D-6917C86C409E}"/>
    <hyperlink ref="A31" location="'Annex 4 LDNO charges_F'!A1" display="Annex 4 LDNO charges_F" xr:uid="{3C6880AC-8017-4339-B5E6-4ACE2399D618}"/>
    <hyperlink ref="A32" location="'Annex 4 LDNO charges_G'!A1" display="Annex 4 LDNO charges_G" xr:uid="{F5407D23-C399-44E5-8382-AD2B69F72A79}"/>
    <hyperlink ref="A33" location="'Annex 4 LDNO charges_H'!A1" display="Annex 4 LDNO charges_H" xr:uid="{2AE93056-92FE-4BF8-A943-5DEE59EF0AE7}"/>
    <hyperlink ref="A34" location="'Annex 5 LLFs_J'!A1" display="Annex 4 LDNO charges_J" xr:uid="{40A09035-93C0-47C2-BC0E-D281C8756858}"/>
    <hyperlink ref="A35" location="'Annex 4 LDNO charges_K'!A1" display="Annex 4 LDNO charges_K" xr:uid="{C72C4984-DFFF-4E52-A72D-3DB988CB2D51}"/>
    <hyperlink ref="A36" location="'Annex 4 LDNO charges_L'!A1" display="Annex 4 LDNO charges_L" xr:uid="{A7C1D33B-CB1C-4171-8555-60D54E43A1D4}"/>
    <hyperlink ref="A37" location="'Annex 4 LDNO charges_M'!A1" display="Annex 4 LDNO charges_M" xr:uid="{11831FCC-39BB-4CBF-A975-0ADF49482815}"/>
    <hyperlink ref="A41" location="'Annex 5 LLFs_A'!A1" display="Annex 5 LLFs_A" xr:uid="{133C80AC-1FBC-486F-8AA4-3F30482BB54E}"/>
    <hyperlink ref="A42:A52" location="'Annex 5 LLFs_A'!A1" display="Annex 5 LLFs_A" xr:uid="{4BA03CF8-B13D-4FD8-B027-D22511576F1F}"/>
    <hyperlink ref="A42" location="'Annex 5 LLFs_B'!A1" display="Annex 5 LLFs_B" xr:uid="{3C2E125C-6650-4691-9E2A-37A124D91839}"/>
    <hyperlink ref="A43" location="'Annex 5 LLFs_C'!A1" display="Annex 5 LLFs_C" xr:uid="{0CDC8239-A7CD-43BA-B5E0-8979508F503A}"/>
    <hyperlink ref="A44" location="'Annex 5 LLFs_D'!A1" display="Annex 5 LLFs_D" xr:uid="{1A1BBC36-7F09-4FFE-BBCD-E12B359BC2A4}"/>
    <hyperlink ref="A45" location="'Annex 5 LLFs_E'!A1" display="Annex 5 LLFs_E" xr:uid="{E04E4B20-D505-40E4-B8FA-B0788CE16AFE}"/>
    <hyperlink ref="A46" location="'Annex 5 LLFs_F'!A1" display="Annex 5 LLFs_F" xr:uid="{E1948ED6-FE94-41BC-8C7B-027B429010DF}"/>
    <hyperlink ref="A47" location="'Annex 5 LLFs_G'!A1" display="Annex 5 LLFs_G" xr:uid="{685A18BF-D6A9-490F-A11C-F23A48DA93DB}"/>
    <hyperlink ref="A48" location="'Annex 5 LLFs_H'!A1" display="Annex 5 LLFs_H" xr:uid="{8E014653-F582-4AAC-AA8B-889CB7BB7123}"/>
    <hyperlink ref="A49" location="'Annex 5 LLFs_J'!A1" display="Annex 5 LLFs_J" xr:uid="{C783689B-10A6-49F1-97CD-847836897FF5}"/>
    <hyperlink ref="A50" location="'Annex 5 LLFs_K'!A1" display="Annex 5 LLFs_K" xr:uid="{983143ED-8B9E-4FA2-8608-6A5DC810B994}"/>
    <hyperlink ref="A51" location="'Annex 5 LLFs_L'!A1" display="Annex 5 LLFs_L" xr:uid="{8D718715-AEEF-4C79-B0D6-FE6C7DB5EE00}"/>
    <hyperlink ref="A52" location="'Annex 5 LLFs_M'!A1" display="Annex 5 LLFs_M" xr:uid="{595BBB09-49ED-476E-9D40-ABC0754A2883}"/>
    <hyperlink ref="A21" location="'Annex 4 LDNO charges_N'!A1" display="Annex 1 LV and HV charges_N" xr:uid="{E0DDE8D2-77F5-4FDF-AE1C-DB70AD66E357}"/>
    <hyperlink ref="A22" location="'Annex 1 LV and HV charges_P'!A1" display="Annex 1 LV and HV charges_P" xr:uid="{51741227-8521-4631-86F5-3F4FB6DF9CB2}"/>
    <hyperlink ref="A38" location="'Annex 4 LDNO charges_N'!A1" display="Annex 4 LDNO charges_N" xr:uid="{EEB863AA-EBF0-4232-BD76-5FD44846B2A3}"/>
    <hyperlink ref="A39" location="'Annex 4 LDNO charges_P'!A1" display="Annex 4 LDNO charges_P" xr:uid="{929EB9E5-0890-4660-88E8-28504CCE0387}"/>
    <hyperlink ref="A53" location="'Annex 5 LLFs_N'!A1" display="Annex 5 LLFs_N" xr:uid="{0F1FBFF7-BA5B-44DA-A91F-45E40B377CC5}"/>
    <hyperlink ref="A54" location="'Annex 5 LLFs_P'!A1" display="Annex 5 LLFs_P" xr:uid="{F04876BE-6D4D-46FB-9DEA-E4D74238A5C5}"/>
    <hyperlink ref="A57" location="'Annex 7 Pass-Through Costs_A'!A1" display="Annex 7 Pass-Through Costs_A" xr:uid="{22DF4FF2-A25C-406D-A0D6-766CA8A29CA0}"/>
    <hyperlink ref="A58:A70" location="'Annex 7 Pass-Through Costs_A'!A1" display="Annex 7 Pass-Through Costs_A" xr:uid="{1D4A5340-4F3B-4F5C-B713-44B5FFE8D072}"/>
    <hyperlink ref="A58" location="'Annex 7 Pass-Through Costs_B'!A1" display="Annex 7 Pass-Through Costs_B" xr:uid="{280FE79C-2CFD-44B4-BE72-B4B9E6146A23}"/>
    <hyperlink ref="A59" location="'Annex 7 Pass-Through Costs_C'!A1" display="Annex 7 Pass-Through Costs_C" xr:uid="{DB1B66A7-883E-481A-B224-7C256BAED6EE}"/>
    <hyperlink ref="A60" location="'Annex 7 Pass-Through Costs_D'!A1" display="Annex 7 Pass-Through Costs_D" xr:uid="{74FBE047-8DCD-4583-9071-C431B74D91C1}"/>
    <hyperlink ref="A61" location="'Annex 7 Pass-Through Costs_E'!A1" display="Annex 7 Pass-Through Costs_E" xr:uid="{6FF2D3C0-B9C6-443C-A911-E2169D6667D8}"/>
    <hyperlink ref="A62" location="'Annex 7 Pass-Through Costs_F'!A1" display="Annex 7 Pass-Through Costs_F" xr:uid="{2CF554F1-A516-4BAF-97D5-D8C175CFF944}"/>
    <hyperlink ref="A63" location="'Annex 7 Pass-Through Costs_G'!A1" display="Annex 7 Pass-Through Costs_G" xr:uid="{ECDB27B5-1647-4A83-B477-40B0FB5623CF}"/>
    <hyperlink ref="A64" location="'Annex 7 Pass-Through Costs_H'!A1" display="Annex 7 Pass-Through Costs_H" xr:uid="{3399659F-9BB7-4DD0-8E2B-5472519EE5AC}"/>
    <hyperlink ref="A65" location="'Annex 7 Pass-Through Costs_J'!A1" display="Annex 7 Pass-Through Costs_J" xr:uid="{9B252A34-8DAF-453C-BDBA-4B94F08E58DE}"/>
    <hyperlink ref="A66" location="'Annex 7 Pass-Through Costs_K'!A1" display="Annex 7 Pass-Through Costs_K" xr:uid="{6110B32A-E498-48DC-BCD9-AF91240AFE09}"/>
    <hyperlink ref="A67" location="'Annex 7 Pass-Through Costs_L'!A1" display="Annex 7 Pass-Through Costs_L" xr:uid="{BC5D0BA6-B608-49FF-AF9C-2CA169B1626B}"/>
    <hyperlink ref="A68" location="'Annex 7 Pass-Through Costs_M'!A1" display="Annex 7 Pass-Through Costs_M" xr:uid="{5BAC4087-A9E9-40F7-AB14-B356C218C46E}"/>
    <hyperlink ref="A69" location="'Annex 7 Pass-Through Costs_N'!A1" display="Annex 7 Pass-Through Costs_N" xr:uid="{27FC1118-3537-429B-B85C-4F61269F2E53}"/>
    <hyperlink ref="A70" location="'Annex 1 LV and HV charges_P'!Print_Area" display="Annex 7 Pass-Through Costs_P" xr:uid="{2A2EA906-3779-4154-9665-2634E5EC48E8}"/>
  </hyperlinks>
  <pageMargins left="0.70866141732283472" right="0.70866141732283472" top="0.74803149606299213" bottom="0.74803149606299213" header="0.31496062992125984" footer="0.31496062992125984"/>
  <pageSetup paperSize="9"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6" ht="27.75" customHeight="1" x14ac:dyDescent="0.2">
      <c r="A1" s="31" t="s">
        <v>19</v>
      </c>
      <c r="B1" s="45"/>
      <c r="C1" s="45"/>
      <c r="D1" s="45"/>
      <c r="E1" s="383" t="s">
        <v>367</v>
      </c>
      <c r="F1" s="383"/>
      <c r="G1" s="383"/>
      <c r="H1" s="383"/>
      <c r="I1" s="383"/>
      <c r="J1" s="383"/>
      <c r="K1" s="383"/>
      <c r="L1" s="241"/>
      <c r="M1" s="340"/>
      <c r="N1" s="241"/>
      <c r="O1" s="241"/>
    </row>
    <row r="2" spans="1:16" ht="27" customHeight="1" x14ac:dyDescent="0.2">
      <c r="A2" s="384" t="str">
        <f>Overview!B4&amp;" - Effective from "&amp;TEXT(Overview!$D$4,"d mmmm yyyy")&amp;" - Final LV and HV charges in UKPN SPN Area (GSP Group _J)"</f>
        <v>Leep Electricity Networks Limited - Effective from 1 April 2027 - Final LV and HV charges in UKPN SPN Area (GSP Group _J)</v>
      </c>
      <c r="B2" s="384"/>
      <c r="C2" s="384"/>
      <c r="D2" s="384"/>
      <c r="E2" s="384"/>
      <c r="F2" s="384"/>
      <c r="G2" s="384"/>
      <c r="H2" s="384"/>
      <c r="I2" s="384"/>
      <c r="J2" s="384"/>
      <c r="K2" s="384"/>
    </row>
    <row r="3" spans="1:16" s="40" customFormat="1" ht="15" customHeight="1" x14ac:dyDescent="0.2">
      <c r="A3" s="45"/>
      <c r="B3" s="45"/>
      <c r="C3" s="45"/>
      <c r="D3" s="45"/>
      <c r="E3" s="45"/>
      <c r="F3" s="45"/>
      <c r="G3" s="45"/>
      <c r="H3" s="45"/>
      <c r="I3" s="45"/>
      <c r="J3" s="45"/>
      <c r="K3" s="45"/>
      <c r="L3" s="98"/>
      <c r="M3" s="342"/>
    </row>
    <row r="4" spans="1:16" ht="27" customHeight="1" x14ac:dyDescent="0.2">
      <c r="A4" s="396" t="s">
        <v>290</v>
      </c>
      <c r="B4" s="397"/>
      <c r="C4" s="397"/>
      <c r="D4" s="397"/>
      <c r="E4" s="398"/>
      <c r="F4" s="45"/>
      <c r="G4" s="396" t="s">
        <v>289</v>
      </c>
      <c r="H4" s="397"/>
      <c r="I4" s="397"/>
      <c r="J4" s="397"/>
      <c r="K4" s="398"/>
    </row>
    <row r="5" spans="1:16" ht="28.5" customHeight="1" x14ac:dyDescent="0.2">
      <c r="A5" s="39" t="s">
        <v>13</v>
      </c>
      <c r="B5" s="256" t="s">
        <v>281</v>
      </c>
      <c r="C5" s="402" t="s">
        <v>282</v>
      </c>
      <c r="D5" s="403"/>
      <c r="E5" s="41" t="s">
        <v>283</v>
      </c>
      <c r="F5" s="45"/>
      <c r="G5" s="381"/>
      <c r="H5" s="382"/>
      <c r="I5" s="43" t="s">
        <v>287</v>
      </c>
      <c r="J5" s="44" t="s">
        <v>288</v>
      </c>
      <c r="K5" s="41" t="s">
        <v>283</v>
      </c>
      <c r="L5" s="45"/>
      <c r="N5" s="3"/>
    </row>
    <row r="6" spans="1:16" ht="65.25" customHeight="1" x14ac:dyDescent="0.2">
      <c r="A6" s="42" t="s">
        <v>794</v>
      </c>
      <c r="B6" s="13" t="s">
        <v>370</v>
      </c>
      <c r="C6" s="391" t="s">
        <v>795</v>
      </c>
      <c r="D6" s="393"/>
      <c r="E6" s="95" t="s">
        <v>796</v>
      </c>
      <c r="F6" s="45" t="s">
        <v>797</v>
      </c>
      <c r="G6" s="377" t="s">
        <v>285</v>
      </c>
      <c r="H6" s="378"/>
      <c r="I6" s="13" t="s">
        <v>370</v>
      </c>
      <c r="J6" s="248" t="s">
        <v>795</v>
      </c>
      <c r="K6" s="95" t="s">
        <v>796</v>
      </c>
      <c r="L6" s="45"/>
      <c r="N6" s="3"/>
    </row>
    <row r="7" spans="1:16" ht="65.25" customHeight="1" x14ac:dyDescent="0.2">
      <c r="A7" s="42" t="s">
        <v>798</v>
      </c>
      <c r="B7" s="250" t="s">
        <v>797</v>
      </c>
      <c r="C7" s="394" t="s">
        <v>797</v>
      </c>
      <c r="D7" s="395"/>
      <c r="E7" s="248" t="s">
        <v>799</v>
      </c>
      <c r="F7" s="45" t="s">
        <v>797</v>
      </c>
      <c r="G7" s="377" t="s">
        <v>800</v>
      </c>
      <c r="H7" s="378"/>
      <c r="I7" s="250" t="s">
        <v>797</v>
      </c>
      <c r="J7" s="248" t="s">
        <v>801</v>
      </c>
      <c r="K7" s="95" t="s">
        <v>796</v>
      </c>
      <c r="L7" s="45"/>
      <c r="N7" s="3"/>
    </row>
    <row r="8" spans="1:16" ht="43.5" customHeight="1" x14ac:dyDescent="0.2">
      <c r="A8" s="257" t="s">
        <v>14</v>
      </c>
      <c r="B8" s="377" t="s">
        <v>15</v>
      </c>
      <c r="C8" s="404"/>
      <c r="D8" s="404"/>
      <c r="E8" s="378"/>
      <c r="F8" s="45" t="s">
        <v>797</v>
      </c>
      <c r="G8" s="377" t="s">
        <v>798</v>
      </c>
      <c r="H8" s="378"/>
      <c r="I8" s="250" t="s">
        <v>797</v>
      </c>
      <c r="J8" s="250" t="s">
        <v>797</v>
      </c>
      <c r="K8" s="248" t="s">
        <v>799</v>
      </c>
      <c r="L8" s="45"/>
      <c r="N8" s="3"/>
    </row>
    <row r="9" spans="1:16" s="40" customFormat="1" ht="33" customHeight="1" x14ac:dyDescent="0.2">
      <c r="A9" s="45" t="s">
        <v>797</v>
      </c>
      <c r="B9" s="45" t="s">
        <v>797</v>
      </c>
      <c r="C9" s="45" t="s">
        <v>797</v>
      </c>
      <c r="D9" s="45" t="s">
        <v>797</v>
      </c>
      <c r="E9" s="45" t="s">
        <v>797</v>
      </c>
      <c r="F9" s="45" t="s">
        <v>797</v>
      </c>
      <c r="G9" s="405" t="s">
        <v>14</v>
      </c>
      <c r="H9" s="406"/>
      <c r="I9" s="405" t="s">
        <v>15</v>
      </c>
      <c r="J9" s="423"/>
      <c r="K9" s="406"/>
      <c r="L9" s="45"/>
      <c r="M9" s="342"/>
    </row>
    <row r="10" spans="1:16" s="40" customFormat="1" ht="13.5" customHeight="1" x14ac:dyDescent="0.2">
      <c r="A10" s="45"/>
      <c r="B10" s="45"/>
      <c r="C10" s="45"/>
      <c r="D10" s="45"/>
      <c r="E10" s="45"/>
      <c r="F10" s="45"/>
      <c r="G10" s="48"/>
      <c r="H10" s="48"/>
      <c r="I10" s="48"/>
      <c r="J10" s="48"/>
      <c r="K10" s="48"/>
      <c r="L10" s="45"/>
      <c r="M10" s="342"/>
    </row>
    <row r="11" spans="1:16" s="40" customFormat="1" ht="13.5" customHeight="1" x14ac:dyDescent="0.2">
      <c r="A11" s="45"/>
      <c r="B11" s="45"/>
      <c r="C11" s="45"/>
      <c r="D11" s="45"/>
      <c r="E11" s="45"/>
      <c r="F11" s="45"/>
      <c r="G11" s="48"/>
      <c r="H11" s="48"/>
      <c r="I11" s="48"/>
      <c r="J11" s="48"/>
      <c r="K11" s="48"/>
      <c r="L11" s="45"/>
      <c r="M11" s="342"/>
    </row>
    <row r="12" spans="1:16" s="40" customFormat="1" ht="13.5" customHeight="1" x14ac:dyDescent="0.2">
      <c r="A12" s="45"/>
      <c r="B12" s="45"/>
      <c r="C12" s="45"/>
      <c r="D12" s="45"/>
      <c r="E12" s="45"/>
      <c r="F12" s="45"/>
      <c r="G12" s="45"/>
      <c r="H12" s="45"/>
      <c r="I12" s="45"/>
      <c r="J12" s="45"/>
      <c r="K12" s="45"/>
      <c r="L12" s="98"/>
      <c r="M12" s="342"/>
    </row>
    <row r="13" spans="1:16"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40"/>
      <c r="O13" s="40"/>
      <c r="P13" s="40"/>
    </row>
    <row r="14" spans="1:16" ht="30.2" customHeight="1" x14ac:dyDescent="0.2">
      <c r="A14" s="10" t="s">
        <v>674</v>
      </c>
      <c r="B14" s="332" t="s">
        <v>1027</v>
      </c>
      <c r="C14" s="311" t="s">
        <v>802</v>
      </c>
      <c r="D14" s="90">
        <v>21.462</v>
      </c>
      <c r="E14" s="91">
        <v>0.98</v>
      </c>
      <c r="F14" s="92">
        <v>0.33600000000000002</v>
      </c>
      <c r="G14" s="28">
        <v>13.94</v>
      </c>
      <c r="H14" s="29" t="s">
        <v>797</v>
      </c>
      <c r="I14" s="29" t="s">
        <v>797</v>
      </c>
      <c r="J14" s="26" t="s">
        <v>797</v>
      </c>
      <c r="K14" s="27"/>
      <c r="N14" s="40"/>
      <c r="O14" s="40"/>
      <c r="P14" s="40"/>
    </row>
    <row r="15" spans="1:16" ht="30.2" customHeight="1" x14ac:dyDescent="0.2">
      <c r="A15" s="10" t="s">
        <v>495</v>
      </c>
      <c r="B15" s="332" t="s">
        <v>797</v>
      </c>
      <c r="C15" s="311">
        <v>2</v>
      </c>
      <c r="D15" s="90">
        <v>21.462</v>
      </c>
      <c r="E15" s="91">
        <v>0.98</v>
      </c>
      <c r="F15" s="92">
        <v>0.33600000000000002</v>
      </c>
      <c r="G15" s="29" t="s">
        <v>797</v>
      </c>
      <c r="H15" s="29" t="s">
        <v>797</v>
      </c>
      <c r="I15" s="29" t="s">
        <v>797</v>
      </c>
      <c r="J15" s="26" t="s">
        <v>797</v>
      </c>
      <c r="K15" s="27"/>
    </row>
    <row r="16" spans="1:16" ht="30.2" customHeight="1" x14ac:dyDescent="0.2">
      <c r="A16" s="10" t="s">
        <v>675</v>
      </c>
      <c r="B16" s="332" t="s">
        <v>1028</v>
      </c>
      <c r="C16" s="311" t="s">
        <v>803</v>
      </c>
      <c r="D16" s="90">
        <v>17.108000000000001</v>
      </c>
      <c r="E16" s="91">
        <v>0.78100000000000003</v>
      </c>
      <c r="F16" s="92">
        <v>0.26800000000000002</v>
      </c>
      <c r="G16" s="28">
        <v>9.69</v>
      </c>
      <c r="H16" s="29" t="s">
        <v>797</v>
      </c>
      <c r="I16" s="29" t="s">
        <v>797</v>
      </c>
      <c r="J16" s="26" t="s">
        <v>797</v>
      </c>
      <c r="K16" s="27"/>
    </row>
    <row r="17" spans="1:11" ht="30.2" customHeight="1" x14ac:dyDescent="0.2">
      <c r="A17" s="10" t="s">
        <v>676</v>
      </c>
      <c r="B17" s="332" t="s">
        <v>1029</v>
      </c>
      <c r="C17" s="311" t="s">
        <v>803</v>
      </c>
      <c r="D17" s="90">
        <v>17.108000000000001</v>
      </c>
      <c r="E17" s="91">
        <v>0.78100000000000003</v>
      </c>
      <c r="F17" s="92">
        <v>0.26800000000000002</v>
      </c>
      <c r="G17" s="28">
        <v>13.89</v>
      </c>
      <c r="H17" s="29" t="s">
        <v>797</v>
      </c>
      <c r="I17" s="29" t="s">
        <v>797</v>
      </c>
      <c r="J17" s="26" t="s">
        <v>797</v>
      </c>
      <c r="K17" s="27"/>
    </row>
    <row r="18" spans="1:11" ht="30.2" customHeight="1" x14ac:dyDescent="0.2">
      <c r="A18" s="10" t="s">
        <v>677</v>
      </c>
      <c r="B18" s="332" t="s">
        <v>1030</v>
      </c>
      <c r="C18" s="311" t="s">
        <v>803</v>
      </c>
      <c r="D18" s="90">
        <v>17.108000000000001</v>
      </c>
      <c r="E18" s="91">
        <v>0.78100000000000003</v>
      </c>
      <c r="F18" s="92">
        <v>0.26800000000000002</v>
      </c>
      <c r="G18" s="28">
        <v>21.84</v>
      </c>
      <c r="H18" s="29" t="s">
        <v>797</v>
      </c>
      <c r="I18" s="29" t="s">
        <v>797</v>
      </c>
      <c r="J18" s="26" t="s">
        <v>797</v>
      </c>
      <c r="K18" s="27"/>
    </row>
    <row r="19" spans="1:11" ht="30.2" customHeight="1" x14ac:dyDescent="0.2">
      <c r="A19" s="10" t="s">
        <v>678</v>
      </c>
      <c r="B19" s="332" t="s">
        <v>1031</v>
      </c>
      <c r="C19" s="311" t="s">
        <v>803</v>
      </c>
      <c r="D19" s="90">
        <v>17.108000000000001</v>
      </c>
      <c r="E19" s="91">
        <v>0.78100000000000003</v>
      </c>
      <c r="F19" s="92">
        <v>0.26800000000000002</v>
      </c>
      <c r="G19" s="28">
        <v>34.21</v>
      </c>
      <c r="H19" s="29" t="s">
        <v>797</v>
      </c>
      <c r="I19" s="29" t="s">
        <v>797</v>
      </c>
      <c r="J19" s="26" t="s">
        <v>797</v>
      </c>
      <c r="K19" s="27"/>
    </row>
    <row r="20" spans="1:11" ht="30.2" customHeight="1" x14ac:dyDescent="0.2">
      <c r="A20" s="10" t="s">
        <v>679</v>
      </c>
      <c r="B20" s="332" t="s">
        <v>1032</v>
      </c>
      <c r="C20" s="311" t="s">
        <v>803</v>
      </c>
      <c r="D20" s="90">
        <v>17.108000000000001</v>
      </c>
      <c r="E20" s="91">
        <v>0.78100000000000003</v>
      </c>
      <c r="F20" s="92">
        <v>0.26800000000000002</v>
      </c>
      <c r="G20" s="28">
        <v>77.36</v>
      </c>
      <c r="H20" s="29" t="s">
        <v>797</v>
      </c>
      <c r="I20" s="29" t="s">
        <v>797</v>
      </c>
      <c r="J20" s="26" t="s">
        <v>797</v>
      </c>
      <c r="K20" s="27"/>
    </row>
    <row r="21" spans="1:11" ht="30.2" customHeight="1" x14ac:dyDescent="0.2">
      <c r="A21" s="10" t="s">
        <v>476</v>
      </c>
      <c r="B21" s="332" t="s">
        <v>797</v>
      </c>
      <c r="C21" s="311">
        <v>4</v>
      </c>
      <c r="D21" s="90">
        <v>17.108000000000001</v>
      </c>
      <c r="E21" s="91">
        <v>0.78100000000000003</v>
      </c>
      <c r="F21" s="92">
        <v>0.26800000000000002</v>
      </c>
      <c r="G21" s="29" t="s">
        <v>797</v>
      </c>
      <c r="H21" s="29" t="s">
        <v>797</v>
      </c>
      <c r="I21" s="29" t="s">
        <v>797</v>
      </c>
      <c r="J21" s="26" t="s">
        <v>797</v>
      </c>
      <c r="K21" s="27"/>
    </row>
    <row r="22" spans="1:11" ht="30.2" customHeight="1" x14ac:dyDescent="0.2">
      <c r="A22" s="10" t="s">
        <v>496</v>
      </c>
      <c r="B22" s="332" t="s">
        <v>1033</v>
      </c>
      <c r="C22" s="311">
        <v>0</v>
      </c>
      <c r="D22" s="90">
        <v>12.691000000000001</v>
      </c>
      <c r="E22" s="91">
        <v>0.54200000000000004</v>
      </c>
      <c r="F22" s="92">
        <v>0.189</v>
      </c>
      <c r="G22" s="28">
        <v>22.54</v>
      </c>
      <c r="H22" s="28">
        <v>9.33</v>
      </c>
      <c r="I22" s="89">
        <v>9.33</v>
      </c>
      <c r="J22" s="25">
        <v>0.42399999999999999</v>
      </c>
      <c r="K22" s="27"/>
    </row>
    <row r="23" spans="1:11" ht="30.2" customHeight="1" x14ac:dyDescent="0.2">
      <c r="A23" s="10" t="s">
        <v>497</v>
      </c>
      <c r="B23" s="332" t="s">
        <v>1034</v>
      </c>
      <c r="C23" s="311">
        <v>0</v>
      </c>
      <c r="D23" s="90">
        <v>12.691000000000001</v>
      </c>
      <c r="E23" s="91">
        <v>0.54200000000000004</v>
      </c>
      <c r="F23" s="92">
        <v>0.189</v>
      </c>
      <c r="G23" s="28">
        <v>186.5</v>
      </c>
      <c r="H23" s="28">
        <v>9.33</v>
      </c>
      <c r="I23" s="89">
        <v>9.33</v>
      </c>
      <c r="J23" s="25">
        <v>0.42399999999999999</v>
      </c>
      <c r="K23" s="27"/>
    </row>
    <row r="24" spans="1:11" ht="30.2" customHeight="1" x14ac:dyDescent="0.2">
      <c r="A24" s="10" t="s">
        <v>498</v>
      </c>
      <c r="B24" s="332" t="s">
        <v>1035</v>
      </c>
      <c r="C24" s="311">
        <v>0</v>
      </c>
      <c r="D24" s="90">
        <v>12.691000000000001</v>
      </c>
      <c r="E24" s="91">
        <v>0.54200000000000004</v>
      </c>
      <c r="F24" s="92">
        <v>0.189</v>
      </c>
      <c r="G24" s="28">
        <v>308.19</v>
      </c>
      <c r="H24" s="28">
        <v>9.33</v>
      </c>
      <c r="I24" s="89">
        <v>9.33</v>
      </c>
      <c r="J24" s="25">
        <v>0.42399999999999999</v>
      </c>
      <c r="K24" s="27"/>
    </row>
    <row r="25" spans="1:11" ht="30.2" customHeight="1" x14ac:dyDescent="0.2">
      <c r="A25" s="10" t="s">
        <v>499</v>
      </c>
      <c r="B25" s="332" t="s">
        <v>1036</v>
      </c>
      <c r="C25" s="311">
        <v>0</v>
      </c>
      <c r="D25" s="90">
        <v>12.691000000000001</v>
      </c>
      <c r="E25" s="91">
        <v>0.54200000000000004</v>
      </c>
      <c r="F25" s="92">
        <v>0.189</v>
      </c>
      <c r="G25" s="28">
        <v>443.84</v>
      </c>
      <c r="H25" s="28">
        <v>9.33</v>
      </c>
      <c r="I25" s="89">
        <v>9.33</v>
      </c>
      <c r="J25" s="25">
        <v>0.42399999999999999</v>
      </c>
      <c r="K25" s="27"/>
    </row>
    <row r="26" spans="1:11" ht="30.2" customHeight="1" x14ac:dyDescent="0.2">
      <c r="A26" s="10" t="s">
        <v>500</v>
      </c>
      <c r="B26" s="332" t="s">
        <v>1037</v>
      </c>
      <c r="C26" s="311">
        <v>0</v>
      </c>
      <c r="D26" s="90">
        <v>12.691000000000001</v>
      </c>
      <c r="E26" s="91">
        <v>0.54200000000000004</v>
      </c>
      <c r="F26" s="92">
        <v>0.189</v>
      </c>
      <c r="G26" s="28">
        <v>983.43</v>
      </c>
      <c r="H26" s="28">
        <v>9.33</v>
      </c>
      <c r="I26" s="89">
        <v>9.33</v>
      </c>
      <c r="J26" s="25">
        <v>0.42399999999999999</v>
      </c>
      <c r="K26" s="27"/>
    </row>
    <row r="27" spans="1:11" ht="30.2" customHeight="1" x14ac:dyDescent="0.2">
      <c r="A27" s="10" t="s">
        <v>501</v>
      </c>
      <c r="B27" s="332" t="s">
        <v>1038</v>
      </c>
      <c r="C27" s="311">
        <v>0</v>
      </c>
      <c r="D27" s="90">
        <v>8.1170000000000009</v>
      </c>
      <c r="E27" s="91">
        <v>0.30499999999999999</v>
      </c>
      <c r="F27" s="92">
        <v>0.11</v>
      </c>
      <c r="G27" s="28">
        <v>18.97</v>
      </c>
      <c r="H27" s="28">
        <v>7.72</v>
      </c>
      <c r="I27" s="89">
        <v>7.72</v>
      </c>
      <c r="J27" s="25">
        <v>0.25900000000000001</v>
      </c>
      <c r="K27" s="27"/>
    </row>
    <row r="28" spans="1:11" ht="30.2" customHeight="1" x14ac:dyDescent="0.2">
      <c r="A28" s="10" t="s">
        <v>502</v>
      </c>
      <c r="B28" s="332" t="s">
        <v>1039</v>
      </c>
      <c r="C28" s="311">
        <v>0</v>
      </c>
      <c r="D28" s="90">
        <v>8.1170000000000009</v>
      </c>
      <c r="E28" s="91">
        <v>0.30499999999999999</v>
      </c>
      <c r="F28" s="92">
        <v>0.11</v>
      </c>
      <c r="G28" s="28">
        <v>182.93</v>
      </c>
      <c r="H28" s="28">
        <v>7.72</v>
      </c>
      <c r="I28" s="89">
        <v>7.72</v>
      </c>
      <c r="J28" s="25">
        <v>0.25900000000000001</v>
      </c>
      <c r="K28" s="27"/>
    </row>
    <row r="29" spans="1:11" ht="30.2" customHeight="1" x14ac:dyDescent="0.2">
      <c r="A29" s="10" t="s">
        <v>503</v>
      </c>
      <c r="B29" s="332" t="s">
        <v>1040</v>
      </c>
      <c r="C29" s="311">
        <v>0</v>
      </c>
      <c r="D29" s="90">
        <v>8.1170000000000009</v>
      </c>
      <c r="E29" s="91">
        <v>0.30499999999999999</v>
      </c>
      <c r="F29" s="92">
        <v>0.11</v>
      </c>
      <c r="G29" s="28">
        <v>304.62</v>
      </c>
      <c r="H29" s="28">
        <v>7.72</v>
      </c>
      <c r="I29" s="89">
        <v>7.72</v>
      </c>
      <c r="J29" s="25">
        <v>0.25900000000000001</v>
      </c>
      <c r="K29" s="27"/>
    </row>
    <row r="30" spans="1:11" ht="30.2" customHeight="1" x14ac:dyDescent="0.2">
      <c r="A30" s="10" t="s">
        <v>504</v>
      </c>
      <c r="B30" s="332" t="s">
        <v>1041</v>
      </c>
      <c r="C30" s="311">
        <v>0</v>
      </c>
      <c r="D30" s="90">
        <v>8.1170000000000009</v>
      </c>
      <c r="E30" s="91">
        <v>0.30499999999999999</v>
      </c>
      <c r="F30" s="92">
        <v>0.11</v>
      </c>
      <c r="G30" s="28">
        <v>440.27</v>
      </c>
      <c r="H30" s="28">
        <v>7.72</v>
      </c>
      <c r="I30" s="89">
        <v>7.72</v>
      </c>
      <c r="J30" s="25">
        <v>0.25900000000000001</v>
      </c>
      <c r="K30" s="27"/>
    </row>
    <row r="31" spans="1:11" ht="30.2" customHeight="1" x14ac:dyDescent="0.2">
      <c r="A31" s="10" t="s">
        <v>505</v>
      </c>
      <c r="B31" s="332" t="s">
        <v>1042</v>
      </c>
      <c r="C31" s="311">
        <v>0</v>
      </c>
      <c r="D31" s="90">
        <v>8.1170000000000009</v>
      </c>
      <c r="E31" s="91">
        <v>0.30499999999999999</v>
      </c>
      <c r="F31" s="92">
        <v>0.11</v>
      </c>
      <c r="G31" s="28">
        <v>979.86</v>
      </c>
      <c r="H31" s="28">
        <v>7.72</v>
      </c>
      <c r="I31" s="89">
        <v>7.72</v>
      </c>
      <c r="J31" s="25">
        <v>0.25900000000000001</v>
      </c>
      <c r="K31" s="27"/>
    </row>
    <row r="32" spans="1:11" ht="30.2" customHeight="1" x14ac:dyDescent="0.2">
      <c r="A32" s="10" t="s">
        <v>506</v>
      </c>
      <c r="B32" s="332" t="s">
        <v>1043</v>
      </c>
      <c r="C32" s="311">
        <v>0</v>
      </c>
      <c r="D32" s="90">
        <v>6.64</v>
      </c>
      <c r="E32" s="91">
        <v>0.22900000000000001</v>
      </c>
      <c r="F32" s="92">
        <v>8.5000000000000006E-2</v>
      </c>
      <c r="G32" s="28">
        <v>201.09</v>
      </c>
      <c r="H32" s="28">
        <v>6.96</v>
      </c>
      <c r="I32" s="89">
        <v>6.96</v>
      </c>
      <c r="J32" s="25">
        <v>0.21299999999999999</v>
      </c>
      <c r="K32" s="27"/>
    </row>
    <row r="33" spans="1:11" ht="30.2" customHeight="1" x14ac:dyDescent="0.2">
      <c r="A33" s="10" t="s">
        <v>507</v>
      </c>
      <c r="B33" s="332" t="s">
        <v>1044</v>
      </c>
      <c r="C33" s="311">
        <v>0</v>
      </c>
      <c r="D33" s="90">
        <v>6.64</v>
      </c>
      <c r="E33" s="91">
        <v>0.22900000000000001</v>
      </c>
      <c r="F33" s="92">
        <v>8.5000000000000006E-2</v>
      </c>
      <c r="G33" s="28">
        <v>1435.1</v>
      </c>
      <c r="H33" s="28">
        <v>6.96</v>
      </c>
      <c r="I33" s="89">
        <v>6.96</v>
      </c>
      <c r="J33" s="25">
        <v>0.21299999999999999</v>
      </c>
      <c r="K33" s="27"/>
    </row>
    <row r="34" spans="1:11" ht="30.2" customHeight="1" x14ac:dyDescent="0.2">
      <c r="A34" s="10" t="s">
        <v>508</v>
      </c>
      <c r="B34" s="332" t="s">
        <v>1045</v>
      </c>
      <c r="C34" s="311">
        <v>0</v>
      </c>
      <c r="D34" s="90">
        <v>6.64</v>
      </c>
      <c r="E34" s="91">
        <v>0.22900000000000001</v>
      </c>
      <c r="F34" s="92">
        <v>8.5000000000000006E-2</v>
      </c>
      <c r="G34" s="28">
        <v>3333.99</v>
      </c>
      <c r="H34" s="28">
        <v>6.96</v>
      </c>
      <c r="I34" s="89">
        <v>6.96</v>
      </c>
      <c r="J34" s="25">
        <v>0.21299999999999999</v>
      </c>
      <c r="K34" s="27"/>
    </row>
    <row r="35" spans="1:11" ht="30.2" customHeight="1" x14ac:dyDescent="0.2">
      <c r="A35" s="10" t="s">
        <v>509</v>
      </c>
      <c r="B35" s="332" t="s">
        <v>1046</v>
      </c>
      <c r="C35" s="311">
        <v>0</v>
      </c>
      <c r="D35" s="90">
        <v>6.64</v>
      </c>
      <c r="E35" s="91">
        <v>0.22900000000000001</v>
      </c>
      <c r="F35" s="92">
        <v>8.5000000000000006E-2</v>
      </c>
      <c r="G35" s="28">
        <v>4268.57</v>
      </c>
      <c r="H35" s="28">
        <v>6.96</v>
      </c>
      <c r="I35" s="89">
        <v>6.96</v>
      </c>
      <c r="J35" s="25">
        <v>0.21299999999999999</v>
      </c>
      <c r="K35" s="27"/>
    </row>
    <row r="36" spans="1:11" ht="30.2" customHeight="1" x14ac:dyDescent="0.2">
      <c r="A36" s="10" t="s">
        <v>510</v>
      </c>
      <c r="B36" s="332" t="s">
        <v>1047</v>
      </c>
      <c r="C36" s="311">
        <v>0</v>
      </c>
      <c r="D36" s="90">
        <v>6.64</v>
      </c>
      <c r="E36" s="91">
        <v>0.22900000000000001</v>
      </c>
      <c r="F36" s="92">
        <v>8.5000000000000006E-2</v>
      </c>
      <c r="G36" s="28">
        <v>12178.6</v>
      </c>
      <c r="H36" s="28">
        <v>6.96</v>
      </c>
      <c r="I36" s="89">
        <v>6.96</v>
      </c>
      <c r="J36" s="25">
        <v>0.21299999999999999</v>
      </c>
      <c r="K36" s="27"/>
    </row>
    <row r="37" spans="1:11" ht="30.2" customHeight="1" x14ac:dyDescent="0.2">
      <c r="A37" s="10" t="s">
        <v>477</v>
      </c>
      <c r="B37" s="332" t="s">
        <v>1048</v>
      </c>
      <c r="C37" s="311" t="s">
        <v>804</v>
      </c>
      <c r="D37" s="93">
        <v>59.984000000000002</v>
      </c>
      <c r="E37" s="94">
        <v>3.3839999999999999</v>
      </c>
      <c r="F37" s="92">
        <v>2.7450000000000001</v>
      </c>
      <c r="G37" s="29" t="s">
        <v>797</v>
      </c>
      <c r="H37" s="29" t="s">
        <v>797</v>
      </c>
      <c r="I37" s="29" t="s">
        <v>797</v>
      </c>
      <c r="J37" s="26" t="s">
        <v>797</v>
      </c>
      <c r="K37" s="27"/>
    </row>
    <row r="38" spans="1:11" ht="30.2" customHeight="1" x14ac:dyDescent="0.2">
      <c r="A38" s="10" t="s">
        <v>666</v>
      </c>
      <c r="B38" s="332" t="s">
        <v>1049</v>
      </c>
      <c r="C38" s="311" t="s">
        <v>805</v>
      </c>
      <c r="D38" s="90">
        <v>-13.185</v>
      </c>
      <c r="E38" s="91">
        <v>-0.60199999999999998</v>
      </c>
      <c r="F38" s="92">
        <v>-0.20599999999999999</v>
      </c>
      <c r="G38" s="28" t="s">
        <v>797</v>
      </c>
      <c r="H38" s="29" t="s">
        <v>797</v>
      </c>
      <c r="I38" s="29" t="s">
        <v>797</v>
      </c>
      <c r="J38" s="26" t="s">
        <v>797</v>
      </c>
      <c r="K38" s="27"/>
    </row>
    <row r="39" spans="1:11" ht="30.2" customHeight="1" x14ac:dyDescent="0.2">
      <c r="A39" s="10" t="s">
        <v>667</v>
      </c>
      <c r="B39" s="332" t="s">
        <v>1050</v>
      </c>
      <c r="C39" s="311">
        <v>0</v>
      </c>
      <c r="D39" s="90">
        <v>-10.608000000000001</v>
      </c>
      <c r="E39" s="91">
        <v>-0.46300000000000002</v>
      </c>
      <c r="F39" s="92">
        <v>-0.161</v>
      </c>
      <c r="G39" s="28" t="s">
        <v>797</v>
      </c>
      <c r="H39" s="29" t="s">
        <v>797</v>
      </c>
      <c r="I39" s="29" t="s">
        <v>797</v>
      </c>
      <c r="J39" s="26" t="s">
        <v>797</v>
      </c>
      <c r="K39" s="27"/>
    </row>
    <row r="40" spans="1:11" ht="30.2" customHeight="1" x14ac:dyDescent="0.2">
      <c r="A40" s="10" t="s">
        <v>668</v>
      </c>
      <c r="B40" s="332" t="s">
        <v>1051</v>
      </c>
      <c r="C40" s="311">
        <v>0</v>
      </c>
      <c r="D40" s="90">
        <v>-13.185</v>
      </c>
      <c r="E40" s="91">
        <v>-0.60199999999999998</v>
      </c>
      <c r="F40" s="92">
        <v>-0.20599999999999999</v>
      </c>
      <c r="G40" s="28" t="s">
        <v>797</v>
      </c>
      <c r="H40" s="29" t="s">
        <v>797</v>
      </c>
      <c r="I40" s="29" t="s">
        <v>797</v>
      </c>
      <c r="J40" s="25">
        <v>0.46400000000000002</v>
      </c>
      <c r="K40" s="27"/>
    </row>
    <row r="41" spans="1:11" ht="30.2" customHeight="1" x14ac:dyDescent="0.2">
      <c r="A41" s="10" t="s">
        <v>669</v>
      </c>
      <c r="B41" s="332" t="s">
        <v>797</v>
      </c>
      <c r="C41" s="311">
        <v>0</v>
      </c>
      <c r="D41" s="90">
        <v>-13.185</v>
      </c>
      <c r="E41" s="91">
        <v>-0.60199999999999998</v>
      </c>
      <c r="F41" s="92">
        <v>-0.20599999999999999</v>
      </c>
      <c r="G41" s="28" t="s">
        <v>797</v>
      </c>
      <c r="H41" s="29" t="s">
        <v>797</v>
      </c>
      <c r="I41" s="29" t="s">
        <v>797</v>
      </c>
      <c r="J41" s="26" t="s">
        <v>797</v>
      </c>
      <c r="K41" s="27"/>
    </row>
    <row r="42" spans="1:11" ht="30.2" customHeight="1" x14ac:dyDescent="0.2">
      <c r="A42" s="10" t="s">
        <v>670</v>
      </c>
      <c r="B42" s="332" t="s">
        <v>797</v>
      </c>
      <c r="C42" s="311">
        <v>0</v>
      </c>
      <c r="D42" s="90">
        <v>-10.608000000000001</v>
      </c>
      <c r="E42" s="91">
        <v>-0.46300000000000002</v>
      </c>
      <c r="F42" s="92">
        <v>-0.161</v>
      </c>
      <c r="G42" s="28" t="s">
        <v>797</v>
      </c>
      <c r="H42" s="29" t="s">
        <v>797</v>
      </c>
      <c r="I42" s="29" t="s">
        <v>797</v>
      </c>
      <c r="J42" s="25">
        <v>0.34799999999999998</v>
      </c>
      <c r="K42" s="27"/>
    </row>
    <row r="43" spans="1:11" ht="30.2" customHeight="1" x14ac:dyDescent="0.2">
      <c r="A43" s="10" t="s">
        <v>671</v>
      </c>
      <c r="B43" s="332" t="s">
        <v>797</v>
      </c>
      <c r="C43" s="311">
        <v>0</v>
      </c>
      <c r="D43" s="90">
        <v>-10.608000000000001</v>
      </c>
      <c r="E43" s="91">
        <v>-0.46300000000000002</v>
      </c>
      <c r="F43" s="92">
        <v>-0.161</v>
      </c>
      <c r="G43" s="28" t="s">
        <v>797</v>
      </c>
      <c r="H43" s="29" t="s">
        <v>797</v>
      </c>
      <c r="I43" s="29" t="s">
        <v>797</v>
      </c>
      <c r="J43" s="26" t="s">
        <v>797</v>
      </c>
      <c r="K43" s="27"/>
    </row>
    <row r="44" spans="1:11" ht="30.2" customHeight="1" x14ac:dyDescent="0.2">
      <c r="A44" s="10" t="s">
        <v>672</v>
      </c>
      <c r="B44" s="332" t="s">
        <v>1052</v>
      </c>
      <c r="C44" s="311">
        <v>0</v>
      </c>
      <c r="D44" s="90">
        <v>-7.4740000000000002</v>
      </c>
      <c r="E44" s="91">
        <v>-0.28000000000000003</v>
      </c>
      <c r="F44" s="92">
        <v>-0.10100000000000001</v>
      </c>
      <c r="G44" s="28">
        <v>14.11</v>
      </c>
      <c r="H44" s="29" t="s">
        <v>797</v>
      </c>
      <c r="I44" s="29" t="s">
        <v>797</v>
      </c>
      <c r="J44" s="25">
        <v>0.30199999999999999</v>
      </c>
      <c r="K44" s="27"/>
    </row>
    <row r="45" spans="1:11" ht="30.2" customHeight="1" x14ac:dyDescent="0.2">
      <c r="A45" s="10" t="s">
        <v>673</v>
      </c>
      <c r="B45" s="332" t="s">
        <v>797</v>
      </c>
      <c r="C45" s="311">
        <v>0</v>
      </c>
      <c r="D45" s="90">
        <v>-7.4740000000000002</v>
      </c>
      <c r="E45" s="91">
        <v>-0.28000000000000003</v>
      </c>
      <c r="F45" s="92">
        <v>-0.10100000000000001</v>
      </c>
      <c r="G45" s="28">
        <v>14.11</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charges_J'; based on connection level, credits may therefore be lower than stated above.</v>
      </c>
    </row>
    <row r="47" spans="1:11" ht="27.75" customHeight="1" x14ac:dyDescent="0.2">
      <c r="A47" s="330" t="s">
        <v>425</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740CFB3D-BB6B-4460-BE04-82B4CFB5B8C1}"/>
    <hyperlink ref="A47" location="'Annex 4 LDNO charges_J'!A1" display="Annex 4 LDNO charges_J" xr:uid="{FE0513CF-A77D-4BF2-A556-F0A11DC2C285}"/>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83" t="s">
        <v>367</v>
      </c>
      <c r="F1" s="383"/>
      <c r="G1" s="383"/>
      <c r="H1" s="383"/>
      <c r="I1" s="383"/>
      <c r="J1" s="383"/>
      <c r="K1" s="383"/>
      <c r="L1" s="241"/>
      <c r="M1" s="340"/>
      <c r="N1" s="241"/>
      <c r="O1" s="241"/>
    </row>
    <row r="2" spans="1:15" ht="27" customHeight="1" x14ac:dyDescent="0.2">
      <c r="A2" s="396" t="str">
        <f>Overview!B4&amp;" - Effective from "&amp;TEXT(Overview!$D$4,"d mmmm yyyy")&amp;" - Final LV and HV charges in WPD South Wales Area (GSP Group _K)"</f>
        <v>Leep Electricity Networks Limited - Effective from 1 April 2027 - Final LV and HV charges in WPD South Wales Area (GSP Group _K)</v>
      </c>
      <c r="B2" s="397"/>
      <c r="C2" s="397"/>
      <c r="D2" s="397"/>
      <c r="E2" s="397"/>
      <c r="F2" s="397"/>
      <c r="G2" s="397"/>
      <c r="H2" s="397"/>
      <c r="I2" s="397"/>
      <c r="J2" s="397"/>
      <c r="K2" s="398"/>
    </row>
    <row r="3" spans="1:15" s="40" customFormat="1" ht="15" customHeight="1" x14ac:dyDescent="0.2">
      <c r="A3" s="45"/>
      <c r="B3" s="45"/>
      <c r="C3" s="45"/>
      <c r="D3" s="45"/>
      <c r="E3" s="45"/>
      <c r="F3" s="45"/>
      <c r="G3" s="45"/>
      <c r="H3" s="45"/>
      <c r="I3" s="45"/>
      <c r="J3" s="45"/>
      <c r="K3" s="45"/>
      <c r="L3" s="98"/>
      <c r="M3" s="342"/>
    </row>
    <row r="4" spans="1:15" ht="18" customHeight="1" x14ac:dyDescent="0.2">
      <c r="A4" s="396" t="s">
        <v>290</v>
      </c>
      <c r="B4" s="397"/>
      <c r="C4" s="397"/>
      <c r="D4" s="397"/>
      <c r="E4" s="398"/>
      <c r="F4" s="45"/>
      <c r="G4" s="396" t="s">
        <v>289</v>
      </c>
      <c r="H4" s="397"/>
      <c r="I4" s="397"/>
      <c r="J4" s="397"/>
      <c r="K4" s="398"/>
    </row>
    <row r="5" spans="1:15" ht="36.75" customHeight="1" x14ac:dyDescent="0.2">
      <c r="A5" s="100" t="s">
        <v>13</v>
      </c>
      <c r="B5" s="101" t="s">
        <v>281</v>
      </c>
      <c r="C5" s="424" t="s">
        <v>282</v>
      </c>
      <c r="D5" s="425"/>
      <c r="E5" s="102" t="s">
        <v>283</v>
      </c>
      <c r="F5" s="45"/>
      <c r="G5" s="426"/>
      <c r="H5" s="427"/>
      <c r="I5" s="103" t="s">
        <v>287</v>
      </c>
      <c r="J5" s="104" t="s">
        <v>288</v>
      </c>
      <c r="K5" s="102" t="s">
        <v>283</v>
      </c>
      <c r="L5" s="45"/>
      <c r="N5" s="3"/>
    </row>
    <row r="6" spans="1:15" ht="50.25" customHeight="1" x14ac:dyDescent="0.2">
      <c r="A6" s="273" t="s">
        <v>794</v>
      </c>
      <c r="B6" s="105" t="s">
        <v>2081</v>
      </c>
      <c r="C6" s="428" t="s">
        <v>2082</v>
      </c>
      <c r="D6" s="428"/>
      <c r="E6" s="106" t="s">
        <v>2083</v>
      </c>
      <c r="F6" s="45" t="s">
        <v>797</v>
      </c>
      <c r="G6" s="429" t="s">
        <v>2084</v>
      </c>
      <c r="H6" s="429"/>
      <c r="I6" s="105" t="s">
        <v>2081</v>
      </c>
      <c r="J6" s="107" t="s">
        <v>2082</v>
      </c>
      <c r="K6" s="107" t="s">
        <v>2083</v>
      </c>
      <c r="L6" s="45"/>
      <c r="N6" s="3"/>
    </row>
    <row r="7" spans="1:15" ht="51.75" customHeight="1" x14ac:dyDescent="0.2">
      <c r="A7" s="273" t="s">
        <v>798</v>
      </c>
      <c r="B7" s="108" t="s">
        <v>797</v>
      </c>
      <c r="C7" s="428" t="s">
        <v>2085</v>
      </c>
      <c r="D7" s="428"/>
      <c r="E7" s="107" t="s">
        <v>2086</v>
      </c>
      <c r="F7" s="45" t="s">
        <v>797</v>
      </c>
      <c r="G7" s="429" t="s">
        <v>2087</v>
      </c>
      <c r="H7" s="429"/>
      <c r="I7" s="108" t="s">
        <v>797</v>
      </c>
      <c r="J7" s="107" t="s">
        <v>2088</v>
      </c>
      <c r="K7" s="107" t="s">
        <v>2083</v>
      </c>
      <c r="L7" s="45"/>
      <c r="N7" s="3"/>
    </row>
    <row r="8" spans="1:15" ht="38.25" x14ac:dyDescent="0.2">
      <c r="A8" s="260" t="s">
        <v>14</v>
      </c>
      <c r="B8" s="428" t="s">
        <v>15</v>
      </c>
      <c r="C8" s="428"/>
      <c r="D8" s="428"/>
      <c r="E8" s="428"/>
      <c r="F8" s="45" t="s">
        <v>797</v>
      </c>
      <c r="G8" s="429" t="s">
        <v>2030</v>
      </c>
      <c r="H8" s="429"/>
      <c r="I8" s="108" t="s">
        <v>797</v>
      </c>
      <c r="J8" s="107" t="s">
        <v>2085</v>
      </c>
      <c r="K8" s="107" t="s">
        <v>2089</v>
      </c>
      <c r="L8" s="45"/>
      <c r="N8" s="3"/>
    </row>
    <row r="9" spans="1:15" s="40" customFormat="1" ht="36" customHeight="1" x14ac:dyDescent="0.2">
      <c r="A9" s="261" t="s">
        <v>797</v>
      </c>
      <c r="B9" s="261" t="s">
        <v>797</v>
      </c>
      <c r="C9" s="430" t="s">
        <v>797</v>
      </c>
      <c r="D9" s="430"/>
      <c r="E9" s="261" t="s">
        <v>797</v>
      </c>
      <c r="F9" s="45" t="s">
        <v>797</v>
      </c>
      <c r="G9" s="429" t="s">
        <v>14</v>
      </c>
      <c r="H9" s="429"/>
      <c r="I9" s="431" t="s">
        <v>15</v>
      </c>
      <c r="J9" s="432"/>
      <c r="K9" s="433"/>
      <c r="L9" s="45"/>
      <c r="M9" s="342"/>
      <c r="N9" s="30"/>
    </row>
    <row r="10" spans="1:15" s="40" customFormat="1" ht="10.5" customHeight="1" x14ac:dyDescent="0.2">
      <c r="A10" s="118"/>
      <c r="B10" s="415"/>
      <c r="C10" s="415"/>
      <c r="D10" s="415"/>
      <c r="E10" s="415"/>
      <c r="F10" s="45"/>
      <c r="G10" s="416"/>
      <c r="H10" s="416"/>
      <c r="I10" s="255"/>
      <c r="J10" s="255"/>
      <c r="K10" s="255"/>
      <c r="L10" s="45"/>
      <c r="M10" s="342"/>
      <c r="N10" s="30"/>
    </row>
    <row r="11" spans="1:15" s="40" customFormat="1" ht="10.5" customHeight="1" x14ac:dyDescent="0.2">
      <c r="A11" s="45"/>
      <c r="B11" s="45"/>
      <c r="C11" s="45"/>
      <c r="D11" s="45"/>
      <c r="E11" s="45"/>
      <c r="F11" s="45"/>
      <c r="G11" s="411"/>
      <c r="H11" s="411"/>
      <c r="I11" s="412"/>
      <c r="J11" s="412"/>
      <c r="K11" s="412"/>
      <c r="L11" s="45"/>
      <c r="M11" s="342"/>
    </row>
    <row r="12" spans="1:15" s="40" customFormat="1" ht="10.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1053</v>
      </c>
      <c r="C14" s="311" t="s">
        <v>802</v>
      </c>
      <c r="D14" s="90">
        <v>19.172000000000001</v>
      </c>
      <c r="E14" s="91">
        <v>1.7689999999999999</v>
      </c>
      <c r="F14" s="92">
        <v>0.34399999999999997</v>
      </c>
      <c r="G14" s="28">
        <v>16.23</v>
      </c>
      <c r="H14" s="29" t="s">
        <v>797</v>
      </c>
      <c r="I14" s="29" t="s">
        <v>797</v>
      </c>
      <c r="J14" s="26" t="s">
        <v>797</v>
      </c>
      <c r="K14" s="27"/>
    </row>
    <row r="15" spans="1:15" ht="30.2" customHeight="1" x14ac:dyDescent="0.2">
      <c r="A15" s="10" t="s">
        <v>495</v>
      </c>
      <c r="B15" s="332" t="s">
        <v>797</v>
      </c>
      <c r="C15" s="311" t="s">
        <v>2031</v>
      </c>
      <c r="D15" s="90">
        <v>19.172000000000001</v>
      </c>
      <c r="E15" s="91">
        <v>1.7689999999999999</v>
      </c>
      <c r="F15" s="92">
        <v>0.34399999999999997</v>
      </c>
      <c r="G15" s="29" t="s">
        <v>797</v>
      </c>
      <c r="H15" s="29" t="s">
        <v>797</v>
      </c>
      <c r="I15" s="29" t="s">
        <v>797</v>
      </c>
      <c r="J15" s="26" t="s">
        <v>797</v>
      </c>
      <c r="K15" s="27"/>
    </row>
    <row r="16" spans="1:15" ht="30.2" customHeight="1" x14ac:dyDescent="0.2">
      <c r="A16" s="10" t="s">
        <v>675</v>
      </c>
      <c r="B16" s="332" t="s">
        <v>1054</v>
      </c>
      <c r="C16" s="311" t="s">
        <v>803</v>
      </c>
      <c r="D16" s="90">
        <v>19.843</v>
      </c>
      <c r="E16" s="91">
        <v>1.831</v>
      </c>
      <c r="F16" s="92">
        <v>0.35599999999999998</v>
      </c>
      <c r="G16" s="28">
        <v>16.350000000000001</v>
      </c>
      <c r="H16" s="29" t="s">
        <v>797</v>
      </c>
      <c r="I16" s="29" t="s">
        <v>797</v>
      </c>
      <c r="J16" s="26" t="s">
        <v>797</v>
      </c>
      <c r="K16" s="27"/>
    </row>
    <row r="17" spans="1:11" ht="30.2" customHeight="1" x14ac:dyDescent="0.2">
      <c r="A17" s="10" t="s">
        <v>676</v>
      </c>
      <c r="B17" s="332" t="s">
        <v>1055</v>
      </c>
      <c r="C17" s="311" t="s">
        <v>803</v>
      </c>
      <c r="D17" s="90">
        <v>19.843</v>
      </c>
      <c r="E17" s="91">
        <v>1.831</v>
      </c>
      <c r="F17" s="92">
        <v>0.35599999999999998</v>
      </c>
      <c r="G17" s="28">
        <v>22.49</v>
      </c>
      <c r="H17" s="29" t="s">
        <v>797</v>
      </c>
      <c r="I17" s="29" t="s">
        <v>797</v>
      </c>
      <c r="J17" s="26" t="s">
        <v>797</v>
      </c>
      <c r="K17" s="27"/>
    </row>
    <row r="18" spans="1:11" ht="30.2" customHeight="1" x14ac:dyDescent="0.2">
      <c r="A18" s="10" t="s">
        <v>677</v>
      </c>
      <c r="B18" s="332" t="s">
        <v>1056</v>
      </c>
      <c r="C18" s="311" t="s">
        <v>803</v>
      </c>
      <c r="D18" s="90">
        <v>19.843</v>
      </c>
      <c r="E18" s="91">
        <v>1.831</v>
      </c>
      <c r="F18" s="92">
        <v>0.35599999999999998</v>
      </c>
      <c r="G18" s="28">
        <v>33.369999999999997</v>
      </c>
      <c r="H18" s="29" t="s">
        <v>797</v>
      </c>
      <c r="I18" s="29" t="s">
        <v>797</v>
      </c>
      <c r="J18" s="26" t="s">
        <v>797</v>
      </c>
      <c r="K18" s="27"/>
    </row>
    <row r="19" spans="1:11" ht="30.2" customHeight="1" x14ac:dyDescent="0.2">
      <c r="A19" s="10" t="s">
        <v>678</v>
      </c>
      <c r="B19" s="332" t="s">
        <v>1057</v>
      </c>
      <c r="C19" s="311" t="s">
        <v>803</v>
      </c>
      <c r="D19" s="90">
        <v>19.843</v>
      </c>
      <c r="E19" s="91">
        <v>1.831</v>
      </c>
      <c r="F19" s="92">
        <v>0.35599999999999998</v>
      </c>
      <c r="G19" s="28">
        <v>52.17</v>
      </c>
      <c r="H19" s="29" t="s">
        <v>797</v>
      </c>
      <c r="I19" s="29" t="s">
        <v>797</v>
      </c>
      <c r="J19" s="26" t="s">
        <v>797</v>
      </c>
      <c r="K19" s="27"/>
    </row>
    <row r="20" spans="1:11" ht="30.2" customHeight="1" x14ac:dyDescent="0.2">
      <c r="A20" s="10" t="s">
        <v>679</v>
      </c>
      <c r="B20" s="332" t="s">
        <v>1058</v>
      </c>
      <c r="C20" s="311" t="s">
        <v>803</v>
      </c>
      <c r="D20" s="90">
        <v>19.843</v>
      </c>
      <c r="E20" s="91">
        <v>1.831</v>
      </c>
      <c r="F20" s="92">
        <v>0.35599999999999998</v>
      </c>
      <c r="G20" s="28">
        <v>108.73</v>
      </c>
      <c r="H20" s="29" t="s">
        <v>797</v>
      </c>
      <c r="I20" s="29" t="s">
        <v>797</v>
      </c>
      <c r="J20" s="26" t="s">
        <v>797</v>
      </c>
      <c r="K20" s="27"/>
    </row>
    <row r="21" spans="1:11" ht="30.2" customHeight="1" x14ac:dyDescent="0.2">
      <c r="A21" s="10" t="s">
        <v>476</v>
      </c>
      <c r="B21" s="332" t="s">
        <v>797</v>
      </c>
      <c r="C21" s="311" t="s">
        <v>2032</v>
      </c>
      <c r="D21" s="90">
        <v>19.843</v>
      </c>
      <c r="E21" s="91">
        <v>1.831</v>
      </c>
      <c r="F21" s="92">
        <v>0.35599999999999998</v>
      </c>
      <c r="G21" s="29" t="s">
        <v>797</v>
      </c>
      <c r="H21" s="29" t="s">
        <v>797</v>
      </c>
      <c r="I21" s="29" t="s">
        <v>797</v>
      </c>
      <c r="J21" s="26" t="s">
        <v>797</v>
      </c>
      <c r="K21" s="27"/>
    </row>
    <row r="22" spans="1:11" ht="30.2" customHeight="1" x14ac:dyDescent="0.2">
      <c r="A22" s="10" t="s">
        <v>496</v>
      </c>
      <c r="B22" s="332" t="s">
        <v>1059</v>
      </c>
      <c r="C22" s="311">
        <v>0</v>
      </c>
      <c r="D22" s="90">
        <v>12.754</v>
      </c>
      <c r="E22" s="91">
        <v>1.111</v>
      </c>
      <c r="F22" s="92">
        <v>0.23200000000000001</v>
      </c>
      <c r="G22" s="28">
        <v>18.62</v>
      </c>
      <c r="H22" s="28">
        <v>11.06</v>
      </c>
      <c r="I22" s="89">
        <v>11.06</v>
      </c>
      <c r="J22" s="25">
        <v>0.309</v>
      </c>
      <c r="K22" s="27"/>
    </row>
    <row r="23" spans="1:11" ht="30.2" customHeight="1" x14ac:dyDescent="0.2">
      <c r="A23" s="10" t="s">
        <v>497</v>
      </c>
      <c r="B23" s="332" t="s">
        <v>1060</v>
      </c>
      <c r="C23" s="311">
        <v>0</v>
      </c>
      <c r="D23" s="90">
        <v>12.754</v>
      </c>
      <c r="E23" s="91">
        <v>1.111</v>
      </c>
      <c r="F23" s="92">
        <v>0.23200000000000001</v>
      </c>
      <c r="G23" s="28">
        <v>178.79</v>
      </c>
      <c r="H23" s="28">
        <v>11.06</v>
      </c>
      <c r="I23" s="89">
        <v>11.06</v>
      </c>
      <c r="J23" s="25">
        <v>0.309</v>
      </c>
      <c r="K23" s="27"/>
    </row>
    <row r="24" spans="1:11" ht="30.2" customHeight="1" x14ac:dyDescent="0.2">
      <c r="A24" s="10" t="s">
        <v>498</v>
      </c>
      <c r="B24" s="332" t="s">
        <v>1061</v>
      </c>
      <c r="C24" s="311">
        <v>0</v>
      </c>
      <c r="D24" s="90">
        <v>12.754</v>
      </c>
      <c r="E24" s="91">
        <v>1.111</v>
      </c>
      <c r="F24" s="92">
        <v>0.23200000000000001</v>
      </c>
      <c r="G24" s="28">
        <v>326.94</v>
      </c>
      <c r="H24" s="28">
        <v>11.06</v>
      </c>
      <c r="I24" s="89">
        <v>11.06</v>
      </c>
      <c r="J24" s="25">
        <v>0.309</v>
      </c>
      <c r="K24" s="27"/>
    </row>
    <row r="25" spans="1:11" ht="30.2" customHeight="1" x14ac:dyDescent="0.2">
      <c r="A25" s="10" t="s">
        <v>499</v>
      </c>
      <c r="B25" s="332" t="s">
        <v>1062</v>
      </c>
      <c r="C25" s="311">
        <v>0</v>
      </c>
      <c r="D25" s="90">
        <v>12.754</v>
      </c>
      <c r="E25" s="91">
        <v>1.111</v>
      </c>
      <c r="F25" s="92">
        <v>0.23200000000000001</v>
      </c>
      <c r="G25" s="28">
        <v>539.01</v>
      </c>
      <c r="H25" s="28">
        <v>11.06</v>
      </c>
      <c r="I25" s="89">
        <v>11.06</v>
      </c>
      <c r="J25" s="25">
        <v>0.309</v>
      </c>
      <c r="K25" s="27"/>
    </row>
    <row r="26" spans="1:11" ht="30.2" customHeight="1" x14ac:dyDescent="0.2">
      <c r="A26" s="10" t="s">
        <v>500</v>
      </c>
      <c r="B26" s="332" t="s">
        <v>1063</v>
      </c>
      <c r="C26" s="311">
        <v>0</v>
      </c>
      <c r="D26" s="90">
        <v>12.754</v>
      </c>
      <c r="E26" s="91">
        <v>1.111</v>
      </c>
      <c r="F26" s="92">
        <v>0.23200000000000001</v>
      </c>
      <c r="G26" s="28">
        <v>1243.0999999999999</v>
      </c>
      <c r="H26" s="28">
        <v>11.06</v>
      </c>
      <c r="I26" s="89">
        <v>11.06</v>
      </c>
      <c r="J26" s="25">
        <v>0.309</v>
      </c>
      <c r="K26" s="27"/>
    </row>
    <row r="27" spans="1:11" ht="30.2" customHeight="1" x14ac:dyDescent="0.2">
      <c r="A27" s="10" t="s">
        <v>501</v>
      </c>
      <c r="B27" s="332" t="s">
        <v>1064</v>
      </c>
      <c r="C27" s="311">
        <v>0</v>
      </c>
      <c r="D27" s="90">
        <v>8.2759999999999998</v>
      </c>
      <c r="E27" s="91">
        <v>0.60699999999999998</v>
      </c>
      <c r="F27" s="92">
        <v>0.157</v>
      </c>
      <c r="G27" s="28">
        <v>14.54</v>
      </c>
      <c r="H27" s="28">
        <v>10.38</v>
      </c>
      <c r="I27" s="89">
        <v>10.38</v>
      </c>
      <c r="J27" s="25">
        <v>0.188</v>
      </c>
      <c r="K27" s="27"/>
    </row>
    <row r="28" spans="1:11" ht="30.2" customHeight="1" x14ac:dyDescent="0.2">
      <c r="A28" s="10" t="s">
        <v>502</v>
      </c>
      <c r="B28" s="332" t="s">
        <v>1065</v>
      </c>
      <c r="C28" s="311">
        <v>0</v>
      </c>
      <c r="D28" s="90">
        <v>8.2759999999999998</v>
      </c>
      <c r="E28" s="91">
        <v>0.60699999999999998</v>
      </c>
      <c r="F28" s="92">
        <v>0.157</v>
      </c>
      <c r="G28" s="28">
        <v>174.7</v>
      </c>
      <c r="H28" s="28">
        <v>10.38</v>
      </c>
      <c r="I28" s="89">
        <v>10.38</v>
      </c>
      <c r="J28" s="25">
        <v>0.188</v>
      </c>
      <c r="K28" s="27"/>
    </row>
    <row r="29" spans="1:11" ht="30.2" customHeight="1" x14ac:dyDescent="0.2">
      <c r="A29" s="10" t="s">
        <v>503</v>
      </c>
      <c r="B29" s="332" t="s">
        <v>1066</v>
      </c>
      <c r="C29" s="311">
        <v>0</v>
      </c>
      <c r="D29" s="90">
        <v>8.2759999999999998</v>
      </c>
      <c r="E29" s="91">
        <v>0.60699999999999998</v>
      </c>
      <c r="F29" s="92">
        <v>0.157</v>
      </c>
      <c r="G29" s="28">
        <v>322.85000000000002</v>
      </c>
      <c r="H29" s="28">
        <v>10.38</v>
      </c>
      <c r="I29" s="89">
        <v>10.38</v>
      </c>
      <c r="J29" s="25">
        <v>0.188</v>
      </c>
      <c r="K29" s="27"/>
    </row>
    <row r="30" spans="1:11" ht="30.2" customHeight="1" x14ac:dyDescent="0.2">
      <c r="A30" s="10" t="s">
        <v>504</v>
      </c>
      <c r="B30" s="332" t="s">
        <v>1067</v>
      </c>
      <c r="C30" s="311">
        <v>0</v>
      </c>
      <c r="D30" s="90">
        <v>8.2759999999999998</v>
      </c>
      <c r="E30" s="91">
        <v>0.60699999999999998</v>
      </c>
      <c r="F30" s="92">
        <v>0.157</v>
      </c>
      <c r="G30" s="28">
        <v>534.91999999999996</v>
      </c>
      <c r="H30" s="28">
        <v>10.38</v>
      </c>
      <c r="I30" s="89">
        <v>10.38</v>
      </c>
      <c r="J30" s="25">
        <v>0.188</v>
      </c>
      <c r="K30" s="27"/>
    </row>
    <row r="31" spans="1:11" ht="30.2" customHeight="1" x14ac:dyDescent="0.2">
      <c r="A31" s="10" t="s">
        <v>505</v>
      </c>
      <c r="B31" s="332" t="s">
        <v>1068</v>
      </c>
      <c r="C31" s="311">
        <v>0</v>
      </c>
      <c r="D31" s="90">
        <v>8.2759999999999998</v>
      </c>
      <c r="E31" s="91">
        <v>0.60699999999999998</v>
      </c>
      <c r="F31" s="92">
        <v>0.157</v>
      </c>
      <c r="G31" s="28">
        <v>1239.01</v>
      </c>
      <c r="H31" s="28">
        <v>10.38</v>
      </c>
      <c r="I31" s="89">
        <v>10.38</v>
      </c>
      <c r="J31" s="25">
        <v>0.188</v>
      </c>
      <c r="K31" s="27"/>
    </row>
    <row r="32" spans="1:11" ht="30.2" customHeight="1" x14ac:dyDescent="0.2">
      <c r="A32" s="10" t="s">
        <v>506</v>
      </c>
      <c r="B32" s="332" t="s">
        <v>1069</v>
      </c>
      <c r="C32" s="311">
        <v>0</v>
      </c>
      <c r="D32" s="90">
        <v>5.5010000000000003</v>
      </c>
      <c r="E32" s="91">
        <v>0.36799999999999999</v>
      </c>
      <c r="F32" s="92">
        <v>0.104</v>
      </c>
      <c r="G32" s="28">
        <v>134.19999999999999</v>
      </c>
      <c r="H32" s="28">
        <v>10.74</v>
      </c>
      <c r="I32" s="89">
        <v>10.74</v>
      </c>
      <c r="J32" s="25">
        <v>0.11899999999999999</v>
      </c>
      <c r="K32" s="27"/>
    </row>
    <row r="33" spans="1:11" ht="30.2" customHeight="1" x14ac:dyDescent="0.2">
      <c r="A33" s="10" t="s">
        <v>507</v>
      </c>
      <c r="B33" s="332" t="s">
        <v>1070</v>
      </c>
      <c r="C33" s="311">
        <v>0</v>
      </c>
      <c r="D33" s="90">
        <v>5.5010000000000003</v>
      </c>
      <c r="E33" s="91">
        <v>0.36799999999999999</v>
      </c>
      <c r="F33" s="92">
        <v>0.104</v>
      </c>
      <c r="G33" s="28">
        <v>1270.02</v>
      </c>
      <c r="H33" s="28">
        <v>10.74</v>
      </c>
      <c r="I33" s="89">
        <v>10.74</v>
      </c>
      <c r="J33" s="25">
        <v>0.11899999999999999</v>
      </c>
      <c r="K33" s="27"/>
    </row>
    <row r="34" spans="1:11" ht="30.2" customHeight="1" x14ac:dyDescent="0.2">
      <c r="A34" s="10" t="s">
        <v>508</v>
      </c>
      <c r="B34" s="332" t="s">
        <v>1071</v>
      </c>
      <c r="C34" s="311">
        <v>0</v>
      </c>
      <c r="D34" s="90">
        <v>5.5010000000000003</v>
      </c>
      <c r="E34" s="91">
        <v>0.36799999999999999</v>
      </c>
      <c r="F34" s="92">
        <v>0.104</v>
      </c>
      <c r="G34" s="28">
        <v>3093.63</v>
      </c>
      <c r="H34" s="28">
        <v>10.74</v>
      </c>
      <c r="I34" s="89">
        <v>10.74</v>
      </c>
      <c r="J34" s="25">
        <v>0.11899999999999999</v>
      </c>
      <c r="K34" s="27"/>
    </row>
    <row r="35" spans="1:11" ht="30.2" customHeight="1" x14ac:dyDescent="0.2">
      <c r="A35" s="10" t="s">
        <v>509</v>
      </c>
      <c r="B35" s="332" t="s">
        <v>1072</v>
      </c>
      <c r="C35" s="311">
        <v>0</v>
      </c>
      <c r="D35" s="90">
        <v>5.5010000000000003</v>
      </c>
      <c r="E35" s="91">
        <v>0.36799999999999999</v>
      </c>
      <c r="F35" s="92">
        <v>0.104</v>
      </c>
      <c r="G35" s="28">
        <v>5669.1</v>
      </c>
      <c r="H35" s="28">
        <v>10.74</v>
      </c>
      <c r="I35" s="89">
        <v>10.74</v>
      </c>
      <c r="J35" s="25">
        <v>0.11899999999999999</v>
      </c>
      <c r="K35" s="27"/>
    </row>
    <row r="36" spans="1:11" ht="30.2" customHeight="1" x14ac:dyDescent="0.2">
      <c r="A36" s="10" t="s">
        <v>510</v>
      </c>
      <c r="B36" s="332" t="s">
        <v>1073</v>
      </c>
      <c r="C36" s="311">
        <v>0</v>
      </c>
      <c r="D36" s="90">
        <v>5.5010000000000003</v>
      </c>
      <c r="E36" s="91">
        <v>0.36799999999999999</v>
      </c>
      <c r="F36" s="92">
        <v>0.104</v>
      </c>
      <c r="G36" s="28">
        <v>13094.04</v>
      </c>
      <c r="H36" s="28">
        <v>10.74</v>
      </c>
      <c r="I36" s="89">
        <v>10.74</v>
      </c>
      <c r="J36" s="25">
        <v>0.11899999999999999</v>
      </c>
      <c r="K36" s="27"/>
    </row>
    <row r="37" spans="1:11" ht="30.2" customHeight="1" x14ac:dyDescent="0.2">
      <c r="A37" s="10" t="s">
        <v>477</v>
      </c>
      <c r="B37" s="332" t="s">
        <v>1074</v>
      </c>
      <c r="C37" s="311" t="s">
        <v>804</v>
      </c>
      <c r="D37" s="93">
        <v>62.704000000000001</v>
      </c>
      <c r="E37" s="94">
        <v>3.8250000000000002</v>
      </c>
      <c r="F37" s="92">
        <v>2.3479999999999999</v>
      </c>
      <c r="G37" s="29" t="s">
        <v>797</v>
      </c>
      <c r="H37" s="29" t="s">
        <v>797</v>
      </c>
      <c r="I37" s="29" t="s">
        <v>797</v>
      </c>
      <c r="J37" s="26" t="s">
        <v>797</v>
      </c>
      <c r="K37" s="27"/>
    </row>
    <row r="38" spans="1:11" ht="30.2" customHeight="1" x14ac:dyDescent="0.2">
      <c r="A38" s="10" t="s">
        <v>666</v>
      </c>
      <c r="B38" s="332" t="s">
        <v>1075</v>
      </c>
      <c r="C38" s="311">
        <v>0</v>
      </c>
      <c r="D38" s="90">
        <v>-12.614000000000001</v>
      </c>
      <c r="E38" s="91">
        <v>-1.1639999999999999</v>
      </c>
      <c r="F38" s="92">
        <v>-0.22600000000000001</v>
      </c>
      <c r="G38" s="28" t="s">
        <v>797</v>
      </c>
      <c r="H38" s="29" t="s">
        <v>797</v>
      </c>
      <c r="I38" s="29" t="s">
        <v>797</v>
      </c>
      <c r="J38" s="26" t="s">
        <v>797</v>
      </c>
      <c r="K38" s="27"/>
    </row>
    <row r="39" spans="1:11" ht="30.2" customHeight="1" x14ac:dyDescent="0.2">
      <c r="A39" s="10" t="s">
        <v>667</v>
      </c>
      <c r="B39" s="332" t="s">
        <v>1076</v>
      </c>
      <c r="C39" s="311">
        <v>0</v>
      </c>
      <c r="D39" s="90">
        <v>-10.955</v>
      </c>
      <c r="E39" s="91">
        <v>-0.97799999999999998</v>
      </c>
      <c r="F39" s="92">
        <v>-0.19800000000000001</v>
      </c>
      <c r="G39" s="28" t="s">
        <v>797</v>
      </c>
      <c r="H39" s="29" t="s">
        <v>797</v>
      </c>
      <c r="I39" s="29" t="s">
        <v>797</v>
      </c>
      <c r="J39" s="26" t="s">
        <v>797</v>
      </c>
      <c r="K39" s="27"/>
    </row>
    <row r="40" spans="1:11" ht="30.2" customHeight="1" x14ac:dyDescent="0.2">
      <c r="A40" s="10" t="s">
        <v>668</v>
      </c>
      <c r="B40" s="332" t="s">
        <v>1077</v>
      </c>
      <c r="C40" s="311">
        <v>0</v>
      </c>
      <c r="D40" s="90">
        <v>-12.614000000000001</v>
      </c>
      <c r="E40" s="91">
        <v>-1.1639999999999999</v>
      </c>
      <c r="F40" s="92">
        <v>-0.22600000000000001</v>
      </c>
      <c r="G40" s="28" t="s">
        <v>797</v>
      </c>
      <c r="H40" s="29" t="s">
        <v>797</v>
      </c>
      <c r="I40" s="29" t="s">
        <v>797</v>
      </c>
      <c r="J40" s="25">
        <v>0.376</v>
      </c>
      <c r="K40" s="27"/>
    </row>
    <row r="41" spans="1:11" ht="30.2" customHeight="1" x14ac:dyDescent="0.2">
      <c r="A41" s="10" t="s">
        <v>669</v>
      </c>
      <c r="B41" s="332" t="s">
        <v>797</v>
      </c>
      <c r="C41" s="311">
        <v>0</v>
      </c>
      <c r="D41" s="90">
        <v>-12.614000000000001</v>
      </c>
      <c r="E41" s="91">
        <v>-1.1639999999999999</v>
      </c>
      <c r="F41" s="92">
        <v>-0.22600000000000001</v>
      </c>
      <c r="G41" s="28" t="s">
        <v>797</v>
      </c>
      <c r="H41" s="29" t="s">
        <v>797</v>
      </c>
      <c r="I41" s="29" t="s">
        <v>797</v>
      </c>
      <c r="J41" s="26" t="s">
        <v>797</v>
      </c>
      <c r="K41" s="27"/>
    </row>
    <row r="42" spans="1:11" ht="30.2" customHeight="1" x14ac:dyDescent="0.2">
      <c r="A42" s="10" t="s">
        <v>670</v>
      </c>
      <c r="B42" s="332" t="s">
        <v>797</v>
      </c>
      <c r="C42" s="311">
        <v>0</v>
      </c>
      <c r="D42" s="90">
        <v>-10.955</v>
      </c>
      <c r="E42" s="91">
        <v>-0.97799999999999998</v>
      </c>
      <c r="F42" s="92">
        <v>-0.19800000000000001</v>
      </c>
      <c r="G42" s="28" t="s">
        <v>797</v>
      </c>
      <c r="H42" s="29" t="s">
        <v>797</v>
      </c>
      <c r="I42" s="29" t="s">
        <v>797</v>
      </c>
      <c r="J42" s="25">
        <v>0.28100000000000003</v>
      </c>
      <c r="K42" s="27"/>
    </row>
    <row r="43" spans="1:11" ht="30.2" customHeight="1" x14ac:dyDescent="0.2">
      <c r="A43" s="10" t="s">
        <v>671</v>
      </c>
      <c r="B43" s="332" t="s">
        <v>797</v>
      </c>
      <c r="C43" s="311">
        <v>0</v>
      </c>
      <c r="D43" s="90">
        <v>-10.955</v>
      </c>
      <c r="E43" s="91">
        <v>-0.97799999999999998</v>
      </c>
      <c r="F43" s="92">
        <v>-0.19800000000000001</v>
      </c>
      <c r="G43" s="28" t="s">
        <v>797</v>
      </c>
      <c r="H43" s="29" t="s">
        <v>797</v>
      </c>
      <c r="I43" s="29" t="s">
        <v>797</v>
      </c>
      <c r="J43" s="26" t="s">
        <v>797</v>
      </c>
      <c r="K43" s="27"/>
    </row>
    <row r="44" spans="1:11" ht="30.2" customHeight="1" x14ac:dyDescent="0.2">
      <c r="A44" s="10" t="s">
        <v>672</v>
      </c>
      <c r="B44" s="332" t="s">
        <v>1078</v>
      </c>
      <c r="C44" s="311">
        <v>0</v>
      </c>
      <c r="D44" s="90">
        <v>-6.5359999999999996</v>
      </c>
      <c r="E44" s="91">
        <v>-0.47899999999999998</v>
      </c>
      <c r="F44" s="92">
        <v>-0.124</v>
      </c>
      <c r="G44" s="28">
        <v>83.99</v>
      </c>
      <c r="H44" s="29" t="s">
        <v>797</v>
      </c>
      <c r="I44" s="29" t="s">
        <v>797</v>
      </c>
      <c r="J44" s="25">
        <v>0.23899999999999999</v>
      </c>
      <c r="K44" s="27"/>
    </row>
    <row r="45" spans="1:11" ht="30.2" customHeight="1" x14ac:dyDescent="0.2">
      <c r="A45" s="10" t="s">
        <v>673</v>
      </c>
      <c r="B45" s="332" t="s">
        <v>797</v>
      </c>
      <c r="C45" s="311">
        <v>0</v>
      </c>
      <c r="D45" s="90">
        <v>-6.5359999999999996</v>
      </c>
      <c r="E45" s="91">
        <v>-0.47899999999999998</v>
      </c>
      <c r="F45" s="92">
        <v>-0.124</v>
      </c>
      <c r="G45" s="28">
        <v>83.99</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charges_K'; based on connection level, credits may therefore be lower than stated above.</v>
      </c>
    </row>
    <row r="47" spans="1:11" ht="27.75" customHeight="1" x14ac:dyDescent="0.2">
      <c r="A47" s="330" t="s">
        <v>426</v>
      </c>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75A7B428-A309-4E22-A73C-1A62DDAD1758}"/>
    <hyperlink ref="A47" location="'Annex 4 LDNO charges_K'!A1" display="Annex 4 LDNO charges_K" xr:uid="{2E33EB92-071A-40FA-A109-79C41AA9F59B}"/>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47"/>
  <sheetViews>
    <sheetView topLeftCell="A8" zoomScale="70" zoomScaleNormal="70" workbookViewId="0">
      <selection activeCell="B37" sqref="B37"/>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83" t="s">
        <v>367</v>
      </c>
      <c r="F1" s="383"/>
      <c r="G1" s="383"/>
      <c r="H1" s="383"/>
      <c r="I1" s="383"/>
      <c r="J1" s="383"/>
      <c r="K1" s="383"/>
      <c r="L1" s="241"/>
      <c r="M1" s="340"/>
      <c r="N1" s="241"/>
      <c r="O1" s="241"/>
    </row>
    <row r="2" spans="1:15" ht="27" customHeight="1" x14ac:dyDescent="0.2">
      <c r="A2" s="384" t="str">
        <f>Overview!B4&amp;" - Effective from "&amp;TEXT(Overview!$D$4,"d mmmm yyyy")&amp;" - Final LV and HV charges in WPD South West Area (GSP Group _L)"</f>
        <v>Leep Electricity Networks Limited - Effective from 1 April 2027 - Final LV and HV charges in WPD South West Area (GSP Group _L)</v>
      </c>
      <c r="B2" s="384"/>
      <c r="C2" s="384"/>
      <c r="D2" s="384"/>
      <c r="E2" s="384"/>
      <c r="F2" s="384"/>
      <c r="G2" s="384"/>
      <c r="H2" s="384"/>
      <c r="I2" s="384"/>
      <c r="J2" s="384"/>
      <c r="K2" s="384"/>
    </row>
    <row r="3" spans="1:15" s="40" customFormat="1" ht="15" customHeight="1" x14ac:dyDescent="0.2">
      <c r="A3" s="45"/>
      <c r="B3" s="45"/>
      <c r="C3" s="45"/>
      <c r="D3" s="45"/>
      <c r="E3" s="45"/>
      <c r="F3" s="45"/>
      <c r="G3" s="45"/>
      <c r="H3" s="45"/>
      <c r="I3" s="45"/>
      <c r="J3" s="45"/>
      <c r="K3" s="45"/>
      <c r="L3" s="98"/>
      <c r="M3" s="342"/>
    </row>
    <row r="4" spans="1:15" ht="18" customHeight="1" x14ac:dyDescent="0.2">
      <c r="A4" s="396" t="s">
        <v>290</v>
      </c>
      <c r="B4" s="397"/>
      <c r="C4" s="397"/>
      <c r="D4" s="397"/>
      <c r="E4" s="398"/>
      <c r="F4" s="45"/>
      <c r="G4" s="396" t="s">
        <v>289</v>
      </c>
      <c r="H4" s="397"/>
      <c r="I4" s="397"/>
      <c r="J4" s="397"/>
      <c r="K4" s="398"/>
    </row>
    <row r="5" spans="1:15" ht="39" customHeight="1" x14ac:dyDescent="0.2">
      <c r="A5" s="100" t="s">
        <v>13</v>
      </c>
      <c r="B5" s="101" t="s">
        <v>281</v>
      </c>
      <c r="C5" s="424" t="s">
        <v>282</v>
      </c>
      <c r="D5" s="425"/>
      <c r="E5" s="102" t="s">
        <v>283</v>
      </c>
      <c r="F5" s="45"/>
      <c r="G5" s="426"/>
      <c r="H5" s="427"/>
      <c r="I5" s="103" t="s">
        <v>287</v>
      </c>
      <c r="J5" s="104" t="s">
        <v>288</v>
      </c>
      <c r="K5" s="102" t="s">
        <v>283</v>
      </c>
      <c r="L5" s="45"/>
      <c r="N5" s="3"/>
    </row>
    <row r="6" spans="1:15" ht="43.5" customHeight="1" x14ac:dyDescent="0.2">
      <c r="A6" s="267" t="s">
        <v>794</v>
      </c>
      <c r="B6" s="13" t="s">
        <v>2094</v>
      </c>
      <c r="C6" s="375" t="s">
        <v>2095</v>
      </c>
      <c r="D6" s="375"/>
      <c r="E6" s="95" t="s">
        <v>2096</v>
      </c>
      <c r="F6" s="45" t="s">
        <v>797</v>
      </c>
      <c r="G6" s="413" t="s">
        <v>2084</v>
      </c>
      <c r="H6" s="413"/>
      <c r="I6" s="13" t="s">
        <v>2094</v>
      </c>
      <c r="J6" s="248" t="s">
        <v>2095</v>
      </c>
      <c r="K6" s="248" t="s">
        <v>2096</v>
      </c>
      <c r="L6" s="45"/>
      <c r="N6" s="3"/>
    </row>
    <row r="7" spans="1:15" ht="43.5" customHeight="1" x14ac:dyDescent="0.2">
      <c r="A7" s="267" t="s">
        <v>798</v>
      </c>
      <c r="B7" s="250" t="s">
        <v>797</v>
      </c>
      <c r="C7" s="375" t="s">
        <v>2097</v>
      </c>
      <c r="D7" s="375"/>
      <c r="E7" s="248" t="s">
        <v>2098</v>
      </c>
      <c r="F7" s="45" t="s">
        <v>797</v>
      </c>
      <c r="G7" s="413" t="s">
        <v>2099</v>
      </c>
      <c r="H7" s="413"/>
      <c r="I7" s="250" t="s">
        <v>797</v>
      </c>
      <c r="J7" s="248" t="s">
        <v>2100</v>
      </c>
      <c r="K7" s="248" t="s">
        <v>2096</v>
      </c>
      <c r="L7" s="45"/>
      <c r="N7" s="3"/>
    </row>
    <row r="8" spans="1:15" ht="39.75" customHeight="1" x14ac:dyDescent="0.2">
      <c r="A8" s="260" t="s">
        <v>14</v>
      </c>
      <c r="B8" s="428" t="s">
        <v>15</v>
      </c>
      <c r="C8" s="428"/>
      <c r="D8" s="428"/>
      <c r="E8" s="428"/>
      <c r="F8" s="45" t="s">
        <v>797</v>
      </c>
      <c r="G8" s="413" t="s">
        <v>2030</v>
      </c>
      <c r="H8" s="413"/>
      <c r="I8" s="250" t="s">
        <v>797</v>
      </c>
      <c r="J8" s="248" t="s">
        <v>2097</v>
      </c>
      <c r="K8" s="248" t="s">
        <v>2098</v>
      </c>
      <c r="L8" s="45"/>
      <c r="N8" s="3"/>
    </row>
    <row r="9" spans="1:15" s="40" customFormat="1" ht="34.5" customHeight="1" x14ac:dyDescent="0.2">
      <c r="A9" s="261" t="s">
        <v>797</v>
      </c>
      <c r="B9" s="261" t="s">
        <v>797</v>
      </c>
      <c r="C9" s="430" t="s">
        <v>797</v>
      </c>
      <c r="D9" s="430"/>
      <c r="E9" s="261" t="s">
        <v>797</v>
      </c>
      <c r="F9" s="45" t="s">
        <v>797</v>
      </c>
      <c r="G9" s="429" t="s">
        <v>14</v>
      </c>
      <c r="H9" s="429"/>
      <c r="I9" s="431" t="s">
        <v>15</v>
      </c>
      <c r="J9" s="432"/>
      <c r="K9" s="433"/>
      <c r="L9" s="45"/>
      <c r="M9" s="342"/>
      <c r="N9" s="30"/>
    </row>
    <row r="10" spans="1:15" s="40" customFormat="1" ht="13.5" customHeight="1" x14ac:dyDescent="0.2">
      <c r="A10" s="118"/>
      <c r="B10" s="415"/>
      <c r="C10" s="415"/>
      <c r="D10" s="415"/>
      <c r="E10" s="415"/>
      <c r="F10" s="45"/>
      <c r="G10" s="416"/>
      <c r="H10" s="416"/>
      <c r="I10" s="255"/>
      <c r="J10" s="255"/>
      <c r="K10" s="255"/>
      <c r="L10" s="45"/>
      <c r="M10" s="342"/>
      <c r="N10" s="30"/>
    </row>
    <row r="11" spans="1:15" s="40" customFormat="1" ht="13.5" customHeight="1" x14ac:dyDescent="0.2">
      <c r="A11" s="45"/>
      <c r="B11" s="45"/>
      <c r="C11" s="45"/>
      <c r="D11" s="45"/>
      <c r="E11" s="45"/>
      <c r="F11" s="45"/>
      <c r="G11" s="411"/>
      <c r="H11" s="411"/>
      <c r="I11" s="412"/>
      <c r="J11" s="412"/>
      <c r="K11" s="412"/>
      <c r="L11" s="45"/>
      <c r="M11" s="342"/>
    </row>
    <row r="12" spans="1:15" s="40" customFormat="1" ht="13.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1079</v>
      </c>
      <c r="C14" s="311" t="s">
        <v>802</v>
      </c>
      <c r="D14" s="90">
        <v>25.395</v>
      </c>
      <c r="E14" s="91">
        <v>2.0259999999999998</v>
      </c>
      <c r="F14" s="92">
        <v>0.2</v>
      </c>
      <c r="G14" s="28">
        <v>17.829999999999998</v>
      </c>
      <c r="H14" s="29" t="s">
        <v>797</v>
      </c>
      <c r="I14" s="29" t="s">
        <v>797</v>
      </c>
      <c r="J14" s="26" t="s">
        <v>797</v>
      </c>
      <c r="K14" s="27"/>
    </row>
    <row r="15" spans="1:15" ht="30.2" customHeight="1" x14ac:dyDescent="0.2">
      <c r="A15" s="10" t="s">
        <v>495</v>
      </c>
      <c r="B15" s="332" t="s">
        <v>797</v>
      </c>
      <c r="C15" s="311" t="s">
        <v>2031</v>
      </c>
      <c r="D15" s="90">
        <v>25.395</v>
      </c>
      <c r="E15" s="91">
        <v>2.0259999999999998</v>
      </c>
      <c r="F15" s="92">
        <v>0.2</v>
      </c>
      <c r="G15" s="29" t="s">
        <v>797</v>
      </c>
      <c r="H15" s="29" t="s">
        <v>797</v>
      </c>
      <c r="I15" s="29" t="s">
        <v>797</v>
      </c>
      <c r="J15" s="26" t="s">
        <v>797</v>
      </c>
      <c r="K15" s="27"/>
    </row>
    <row r="16" spans="1:15" ht="30.2" customHeight="1" x14ac:dyDescent="0.2">
      <c r="A16" s="10" t="s">
        <v>675</v>
      </c>
      <c r="B16" s="332" t="s">
        <v>1080</v>
      </c>
      <c r="C16" s="311" t="s">
        <v>803</v>
      </c>
      <c r="D16" s="90">
        <v>24.844000000000001</v>
      </c>
      <c r="E16" s="91">
        <v>1.982</v>
      </c>
      <c r="F16" s="92">
        <v>0.19600000000000001</v>
      </c>
      <c r="G16" s="28">
        <v>19.25</v>
      </c>
      <c r="H16" s="29" t="s">
        <v>797</v>
      </c>
      <c r="I16" s="29" t="s">
        <v>797</v>
      </c>
      <c r="J16" s="26" t="s">
        <v>797</v>
      </c>
      <c r="K16" s="27"/>
    </row>
    <row r="17" spans="1:11" ht="30.2" customHeight="1" x14ac:dyDescent="0.2">
      <c r="A17" s="10" t="s">
        <v>676</v>
      </c>
      <c r="B17" s="332" t="s">
        <v>1081</v>
      </c>
      <c r="C17" s="311" t="s">
        <v>803</v>
      </c>
      <c r="D17" s="90">
        <v>24.844000000000001</v>
      </c>
      <c r="E17" s="91">
        <v>1.982</v>
      </c>
      <c r="F17" s="92">
        <v>0.19600000000000001</v>
      </c>
      <c r="G17" s="28">
        <v>22.53</v>
      </c>
      <c r="H17" s="29" t="s">
        <v>797</v>
      </c>
      <c r="I17" s="29" t="s">
        <v>797</v>
      </c>
      <c r="J17" s="26" t="s">
        <v>797</v>
      </c>
      <c r="K17" s="27"/>
    </row>
    <row r="18" spans="1:11" ht="30.2" customHeight="1" x14ac:dyDescent="0.2">
      <c r="A18" s="10" t="s">
        <v>677</v>
      </c>
      <c r="B18" s="332" t="s">
        <v>1082</v>
      </c>
      <c r="C18" s="311" t="s">
        <v>803</v>
      </c>
      <c r="D18" s="90">
        <v>24.844000000000001</v>
      </c>
      <c r="E18" s="91">
        <v>1.982</v>
      </c>
      <c r="F18" s="92">
        <v>0.19600000000000001</v>
      </c>
      <c r="G18" s="28">
        <v>32.590000000000003</v>
      </c>
      <c r="H18" s="29" t="s">
        <v>797</v>
      </c>
      <c r="I18" s="29" t="s">
        <v>797</v>
      </c>
      <c r="J18" s="26" t="s">
        <v>797</v>
      </c>
      <c r="K18" s="27"/>
    </row>
    <row r="19" spans="1:11" ht="30.2" customHeight="1" x14ac:dyDescent="0.2">
      <c r="A19" s="10" t="s">
        <v>678</v>
      </c>
      <c r="B19" s="332" t="s">
        <v>1083</v>
      </c>
      <c r="C19" s="311" t="s">
        <v>803</v>
      </c>
      <c r="D19" s="90">
        <v>24.844000000000001</v>
      </c>
      <c r="E19" s="91">
        <v>1.982</v>
      </c>
      <c r="F19" s="92">
        <v>0.19600000000000001</v>
      </c>
      <c r="G19" s="28">
        <v>46.07</v>
      </c>
      <c r="H19" s="29" t="s">
        <v>797</v>
      </c>
      <c r="I19" s="29" t="s">
        <v>797</v>
      </c>
      <c r="J19" s="26" t="s">
        <v>797</v>
      </c>
      <c r="K19" s="27"/>
    </row>
    <row r="20" spans="1:11" ht="30.2" customHeight="1" x14ac:dyDescent="0.2">
      <c r="A20" s="10" t="s">
        <v>679</v>
      </c>
      <c r="B20" s="332" t="s">
        <v>1084</v>
      </c>
      <c r="C20" s="311" t="s">
        <v>803</v>
      </c>
      <c r="D20" s="90">
        <v>24.844000000000001</v>
      </c>
      <c r="E20" s="91">
        <v>1.982</v>
      </c>
      <c r="F20" s="92">
        <v>0.19600000000000001</v>
      </c>
      <c r="G20" s="28">
        <v>84.44</v>
      </c>
      <c r="H20" s="29" t="s">
        <v>797</v>
      </c>
      <c r="I20" s="29" t="s">
        <v>797</v>
      </c>
      <c r="J20" s="26" t="s">
        <v>797</v>
      </c>
      <c r="K20" s="27"/>
    </row>
    <row r="21" spans="1:11" ht="30.2" customHeight="1" x14ac:dyDescent="0.2">
      <c r="A21" s="10" t="s">
        <v>476</v>
      </c>
      <c r="B21" s="332" t="s">
        <v>797</v>
      </c>
      <c r="C21" s="311" t="s">
        <v>2032</v>
      </c>
      <c r="D21" s="90">
        <v>24.844000000000001</v>
      </c>
      <c r="E21" s="91">
        <v>1.982</v>
      </c>
      <c r="F21" s="92">
        <v>0.19600000000000001</v>
      </c>
      <c r="G21" s="29" t="s">
        <v>797</v>
      </c>
      <c r="H21" s="29" t="s">
        <v>797</v>
      </c>
      <c r="I21" s="29" t="s">
        <v>797</v>
      </c>
      <c r="J21" s="26" t="s">
        <v>797</v>
      </c>
      <c r="K21" s="27"/>
    </row>
    <row r="22" spans="1:11" ht="30.2" customHeight="1" x14ac:dyDescent="0.2">
      <c r="A22" s="10" t="s">
        <v>496</v>
      </c>
      <c r="B22" s="332" t="s">
        <v>1085</v>
      </c>
      <c r="C22" s="311">
        <v>0</v>
      </c>
      <c r="D22" s="90">
        <v>15.429</v>
      </c>
      <c r="E22" s="91">
        <v>1.097</v>
      </c>
      <c r="F22" s="92">
        <v>0.111</v>
      </c>
      <c r="G22" s="28">
        <v>19.09</v>
      </c>
      <c r="H22" s="28">
        <v>12.91</v>
      </c>
      <c r="I22" s="89">
        <v>12.91</v>
      </c>
      <c r="J22" s="25">
        <v>0.253</v>
      </c>
      <c r="K22" s="27"/>
    </row>
    <row r="23" spans="1:11" ht="30.2" customHeight="1" x14ac:dyDescent="0.2">
      <c r="A23" s="10" t="s">
        <v>497</v>
      </c>
      <c r="B23" s="332" t="s">
        <v>1086</v>
      </c>
      <c r="C23" s="311">
        <v>0</v>
      </c>
      <c r="D23" s="90">
        <v>15.429</v>
      </c>
      <c r="E23" s="91">
        <v>1.097</v>
      </c>
      <c r="F23" s="92">
        <v>0.111</v>
      </c>
      <c r="G23" s="28">
        <v>142.31</v>
      </c>
      <c r="H23" s="28">
        <v>12.91</v>
      </c>
      <c r="I23" s="89">
        <v>12.91</v>
      </c>
      <c r="J23" s="25">
        <v>0.253</v>
      </c>
      <c r="K23" s="27"/>
    </row>
    <row r="24" spans="1:11" ht="30.2" customHeight="1" x14ac:dyDescent="0.2">
      <c r="A24" s="10" t="s">
        <v>498</v>
      </c>
      <c r="B24" s="332" t="s">
        <v>1087</v>
      </c>
      <c r="C24" s="311">
        <v>0</v>
      </c>
      <c r="D24" s="90">
        <v>15.429</v>
      </c>
      <c r="E24" s="91">
        <v>1.097</v>
      </c>
      <c r="F24" s="92">
        <v>0.111</v>
      </c>
      <c r="G24" s="28">
        <v>240.23</v>
      </c>
      <c r="H24" s="28">
        <v>12.91</v>
      </c>
      <c r="I24" s="89">
        <v>12.91</v>
      </c>
      <c r="J24" s="25">
        <v>0.253</v>
      </c>
      <c r="K24" s="27"/>
    </row>
    <row r="25" spans="1:11" ht="30.2" customHeight="1" x14ac:dyDescent="0.2">
      <c r="A25" s="10" t="s">
        <v>499</v>
      </c>
      <c r="B25" s="332" t="s">
        <v>1088</v>
      </c>
      <c r="C25" s="311">
        <v>0</v>
      </c>
      <c r="D25" s="90">
        <v>15.429</v>
      </c>
      <c r="E25" s="91">
        <v>1.097</v>
      </c>
      <c r="F25" s="92">
        <v>0.111</v>
      </c>
      <c r="G25" s="28">
        <v>370.59</v>
      </c>
      <c r="H25" s="28">
        <v>12.91</v>
      </c>
      <c r="I25" s="89">
        <v>12.91</v>
      </c>
      <c r="J25" s="25">
        <v>0.253</v>
      </c>
      <c r="K25" s="27"/>
    </row>
    <row r="26" spans="1:11" ht="30.2" customHeight="1" x14ac:dyDescent="0.2">
      <c r="A26" s="10" t="s">
        <v>500</v>
      </c>
      <c r="B26" s="332" t="s">
        <v>1089</v>
      </c>
      <c r="C26" s="311">
        <v>0</v>
      </c>
      <c r="D26" s="90">
        <v>15.429</v>
      </c>
      <c r="E26" s="91">
        <v>1.097</v>
      </c>
      <c r="F26" s="92">
        <v>0.111</v>
      </c>
      <c r="G26" s="28">
        <v>797.99</v>
      </c>
      <c r="H26" s="28">
        <v>12.91</v>
      </c>
      <c r="I26" s="89">
        <v>12.91</v>
      </c>
      <c r="J26" s="25">
        <v>0.253</v>
      </c>
      <c r="K26" s="27"/>
    </row>
    <row r="27" spans="1:11" ht="30.2" customHeight="1" x14ac:dyDescent="0.2">
      <c r="A27" s="10" t="s">
        <v>501</v>
      </c>
      <c r="B27" s="332" t="s">
        <v>1090</v>
      </c>
      <c r="C27" s="311">
        <v>0</v>
      </c>
      <c r="D27" s="90">
        <v>9.8209999999999997</v>
      </c>
      <c r="E27" s="91">
        <v>0.496</v>
      </c>
      <c r="F27" s="92">
        <v>5.3999999999999999E-2</v>
      </c>
      <c r="G27" s="28">
        <v>14.9</v>
      </c>
      <c r="H27" s="28">
        <v>11.05</v>
      </c>
      <c r="I27" s="89">
        <v>11.05</v>
      </c>
      <c r="J27" s="25">
        <v>0.13900000000000001</v>
      </c>
      <c r="K27" s="27"/>
    </row>
    <row r="28" spans="1:11" ht="30.2" customHeight="1" x14ac:dyDescent="0.2">
      <c r="A28" s="10" t="s">
        <v>502</v>
      </c>
      <c r="B28" s="332" t="s">
        <v>1091</v>
      </c>
      <c r="C28" s="311">
        <v>0</v>
      </c>
      <c r="D28" s="90">
        <v>9.8209999999999997</v>
      </c>
      <c r="E28" s="91">
        <v>0.496</v>
      </c>
      <c r="F28" s="92">
        <v>5.3999999999999999E-2</v>
      </c>
      <c r="G28" s="28">
        <v>138.12</v>
      </c>
      <c r="H28" s="28">
        <v>11.05</v>
      </c>
      <c r="I28" s="89">
        <v>11.05</v>
      </c>
      <c r="J28" s="25">
        <v>0.13900000000000001</v>
      </c>
      <c r="K28" s="27"/>
    </row>
    <row r="29" spans="1:11" ht="30.2" customHeight="1" x14ac:dyDescent="0.2">
      <c r="A29" s="10" t="s">
        <v>503</v>
      </c>
      <c r="B29" s="332" t="s">
        <v>1092</v>
      </c>
      <c r="C29" s="311">
        <v>0</v>
      </c>
      <c r="D29" s="90">
        <v>9.8209999999999997</v>
      </c>
      <c r="E29" s="91">
        <v>0.496</v>
      </c>
      <c r="F29" s="92">
        <v>5.3999999999999999E-2</v>
      </c>
      <c r="G29" s="28">
        <v>236.04</v>
      </c>
      <c r="H29" s="28">
        <v>11.05</v>
      </c>
      <c r="I29" s="89">
        <v>11.05</v>
      </c>
      <c r="J29" s="25">
        <v>0.13900000000000001</v>
      </c>
      <c r="K29" s="27"/>
    </row>
    <row r="30" spans="1:11" ht="30.2" customHeight="1" x14ac:dyDescent="0.2">
      <c r="A30" s="10" t="s">
        <v>504</v>
      </c>
      <c r="B30" s="332" t="s">
        <v>1093</v>
      </c>
      <c r="C30" s="311">
        <v>0</v>
      </c>
      <c r="D30" s="90">
        <v>9.8209999999999997</v>
      </c>
      <c r="E30" s="91">
        <v>0.496</v>
      </c>
      <c r="F30" s="92">
        <v>5.3999999999999999E-2</v>
      </c>
      <c r="G30" s="28">
        <v>366.41</v>
      </c>
      <c r="H30" s="28">
        <v>11.05</v>
      </c>
      <c r="I30" s="89">
        <v>11.05</v>
      </c>
      <c r="J30" s="25">
        <v>0.13900000000000001</v>
      </c>
      <c r="K30" s="27"/>
    </row>
    <row r="31" spans="1:11" ht="30.2" customHeight="1" x14ac:dyDescent="0.2">
      <c r="A31" s="10" t="s">
        <v>505</v>
      </c>
      <c r="B31" s="332" t="s">
        <v>1094</v>
      </c>
      <c r="C31" s="311">
        <v>0</v>
      </c>
      <c r="D31" s="90">
        <v>9.8209999999999997</v>
      </c>
      <c r="E31" s="91">
        <v>0.496</v>
      </c>
      <c r="F31" s="92">
        <v>5.3999999999999999E-2</v>
      </c>
      <c r="G31" s="28">
        <v>793.8</v>
      </c>
      <c r="H31" s="28">
        <v>11.05</v>
      </c>
      <c r="I31" s="89">
        <v>11.05</v>
      </c>
      <c r="J31" s="25">
        <v>0.13900000000000001</v>
      </c>
      <c r="K31" s="27"/>
    </row>
    <row r="32" spans="1:11" ht="30.2" customHeight="1" x14ac:dyDescent="0.2">
      <c r="A32" s="10" t="s">
        <v>506</v>
      </c>
      <c r="B32" s="332" t="s">
        <v>1095</v>
      </c>
      <c r="C32" s="311">
        <v>0</v>
      </c>
      <c r="D32" s="90">
        <v>7.5</v>
      </c>
      <c r="E32" s="91">
        <v>0.28799999999999998</v>
      </c>
      <c r="F32" s="92">
        <v>3.3000000000000002E-2</v>
      </c>
      <c r="G32" s="28">
        <v>137.54</v>
      </c>
      <c r="H32" s="28">
        <v>10.62</v>
      </c>
      <c r="I32" s="89">
        <v>10.62</v>
      </c>
      <c r="J32" s="25">
        <v>9.7000000000000003E-2</v>
      </c>
      <c r="K32" s="27"/>
    </row>
    <row r="33" spans="1:11" ht="30.2" customHeight="1" x14ac:dyDescent="0.2">
      <c r="A33" s="10" t="s">
        <v>507</v>
      </c>
      <c r="B33" s="332" t="s">
        <v>1096</v>
      </c>
      <c r="C33" s="311">
        <v>0</v>
      </c>
      <c r="D33" s="90">
        <v>7.5</v>
      </c>
      <c r="E33" s="91">
        <v>0.28799999999999998</v>
      </c>
      <c r="F33" s="92">
        <v>3.3000000000000002E-2</v>
      </c>
      <c r="G33" s="28">
        <v>1035.0899999999999</v>
      </c>
      <c r="H33" s="28">
        <v>10.62</v>
      </c>
      <c r="I33" s="89">
        <v>10.62</v>
      </c>
      <c r="J33" s="25">
        <v>9.7000000000000003E-2</v>
      </c>
      <c r="K33" s="27"/>
    </row>
    <row r="34" spans="1:11" ht="30.2" customHeight="1" x14ac:dyDescent="0.2">
      <c r="A34" s="10" t="s">
        <v>508</v>
      </c>
      <c r="B34" s="332" t="s">
        <v>1097</v>
      </c>
      <c r="C34" s="311">
        <v>0</v>
      </c>
      <c r="D34" s="90">
        <v>7.5</v>
      </c>
      <c r="E34" s="91">
        <v>0.28799999999999998</v>
      </c>
      <c r="F34" s="92">
        <v>3.3000000000000002E-2</v>
      </c>
      <c r="G34" s="28">
        <v>2208.42</v>
      </c>
      <c r="H34" s="28">
        <v>10.62</v>
      </c>
      <c r="I34" s="89">
        <v>10.62</v>
      </c>
      <c r="J34" s="25">
        <v>9.7000000000000003E-2</v>
      </c>
      <c r="K34" s="27"/>
    </row>
    <row r="35" spans="1:11" ht="30.2" customHeight="1" x14ac:dyDescent="0.2">
      <c r="A35" s="10" t="s">
        <v>509</v>
      </c>
      <c r="B35" s="332" t="s">
        <v>1098</v>
      </c>
      <c r="C35" s="311">
        <v>0</v>
      </c>
      <c r="D35" s="90">
        <v>7.5</v>
      </c>
      <c r="E35" s="91">
        <v>0.28799999999999998</v>
      </c>
      <c r="F35" s="92">
        <v>3.3000000000000002E-2</v>
      </c>
      <c r="G35" s="28">
        <v>4821.8</v>
      </c>
      <c r="H35" s="28">
        <v>10.62</v>
      </c>
      <c r="I35" s="89">
        <v>10.62</v>
      </c>
      <c r="J35" s="25">
        <v>9.7000000000000003E-2</v>
      </c>
      <c r="K35" s="27"/>
    </row>
    <row r="36" spans="1:11" ht="30.2" customHeight="1" x14ac:dyDescent="0.2">
      <c r="A36" s="10" t="s">
        <v>510</v>
      </c>
      <c r="B36" s="332" t="s">
        <v>1099</v>
      </c>
      <c r="C36" s="311">
        <v>0</v>
      </c>
      <c r="D36" s="90">
        <v>7.5</v>
      </c>
      <c r="E36" s="91">
        <v>0.28799999999999998</v>
      </c>
      <c r="F36" s="92">
        <v>3.3000000000000002E-2</v>
      </c>
      <c r="G36" s="28">
        <v>9159.74</v>
      </c>
      <c r="H36" s="28">
        <v>10.62</v>
      </c>
      <c r="I36" s="89">
        <v>10.62</v>
      </c>
      <c r="J36" s="25">
        <v>9.7000000000000003E-2</v>
      </c>
      <c r="K36" s="27"/>
    </row>
    <row r="37" spans="1:11" ht="30.2" customHeight="1" x14ac:dyDescent="0.2">
      <c r="A37" s="10" t="s">
        <v>477</v>
      </c>
      <c r="B37" s="332" t="s">
        <v>2160</v>
      </c>
      <c r="C37" s="311" t="s">
        <v>804</v>
      </c>
      <c r="D37" s="93">
        <v>75.808000000000007</v>
      </c>
      <c r="E37" s="94">
        <v>4.1500000000000004</v>
      </c>
      <c r="F37" s="92">
        <v>2.0619999999999998</v>
      </c>
      <c r="G37" s="29" t="s">
        <v>797</v>
      </c>
      <c r="H37" s="29" t="s">
        <v>797</v>
      </c>
      <c r="I37" s="29" t="s">
        <v>797</v>
      </c>
      <c r="J37" s="26" t="s">
        <v>797</v>
      </c>
      <c r="K37" s="27"/>
    </row>
    <row r="38" spans="1:11" ht="30.2" customHeight="1" x14ac:dyDescent="0.2">
      <c r="A38" s="10" t="s">
        <v>666</v>
      </c>
      <c r="B38" s="332" t="s">
        <v>1100</v>
      </c>
      <c r="C38" s="311">
        <v>0</v>
      </c>
      <c r="D38" s="90">
        <v>-15.28</v>
      </c>
      <c r="E38" s="91">
        <v>-1.2190000000000001</v>
      </c>
      <c r="F38" s="92">
        <v>-0.121</v>
      </c>
      <c r="G38" s="28" t="s">
        <v>797</v>
      </c>
      <c r="H38" s="29" t="s">
        <v>797</v>
      </c>
      <c r="I38" s="29" t="s">
        <v>797</v>
      </c>
      <c r="J38" s="26" t="s">
        <v>797</v>
      </c>
      <c r="K38" s="27"/>
    </row>
    <row r="39" spans="1:11" ht="30.2" customHeight="1" x14ac:dyDescent="0.2">
      <c r="A39" s="10" t="s">
        <v>667</v>
      </c>
      <c r="B39" s="332" t="s">
        <v>1101</v>
      </c>
      <c r="C39" s="311">
        <v>0</v>
      </c>
      <c r="D39" s="90">
        <v>-13.109</v>
      </c>
      <c r="E39" s="91">
        <v>-0.97499999999999998</v>
      </c>
      <c r="F39" s="92">
        <v>-9.7000000000000003E-2</v>
      </c>
      <c r="G39" s="28" t="s">
        <v>797</v>
      </c>
      <c r="H39" s="29" t="s">
        <v>797</v>
      </c>
      <c r="I39" s="29" t="s">
        <v>797</v>
      </c>
      <c r="J39" s="26" t="s">
        <v>797</v>
      </c>
      <c r="K39" s="27"/>
    </row>
    <row r="40" spans="1:11" ht="30.2" customHeight="1" x14ac:dyDescent="0.2">
      <c r="A40" s="10" t="s">
        <v>668</v>
      </c>
      <c r="B40" s="332" t="s">
        <v>1102</v>
      </c>
      <c r="C40" s="311">
        <v>0</v>
      </c>
      <c r="D40" s="90">
        <v>-15.28</v>
      </c>
      <c r="E40" s="91">
        <v>-1.2190000000000001</v>
      </c>
      <c r="F40" s="92">
        <v>-0.121</v>
      </c>
      <c r="G40" s="28" t="s">
        <v>797</v>
      </c>
      <c r="H40" s="29" t="s">
        <v>797</v>
      </c>
      <c r="I40" s="29" t="s">
        <v>797</v>
      </c>
      <c r="J40" s="25">
        <v>0.312</v>
      </c>
      <c r="K40" s="27"/>
    </row>
    <row r="41" spans="1:11" ht="30.2" customHeight="1" x14ac:dyDescent="0.2">
      <c r="A41" s="10" t="s">
        <v>669</v>
      </c>
      <c r="B41" s="332" t="s">
        <v>797</v>
      </c>
      <c r="C41" s="311">
        <v>0</v>
      </c>
      <c r="D41" s="90">
        <v>-15.28</v>
      </c>
      <c r="E41" s="91">
        <v>-1.2190000000000001</v>
      </c>
      <c r="F41" s="92">
        <v>-0.121</v>
      </c>
      <c r="G41" s="28" t="s">
        <v>797</v>
      </c>
      <c r="H41" s="29" t="s">
        <v>797</v>
      </c>
      <c r="I41" s="29" t="s">
        <v>797</v>
      </c>
      <c r="J41" s="26" t="s">
        <v>797</v>
      </c>
      <c r="K41" s="27"/>
    </row>
    <row r="42" spans="1:11" ht="30.2" customHeight="1" x14ac:dyDescent="0.2">
      <c r="A42" s="10" t="s">
        <v>670</v>
      </c>
      <c r="B42" s="332" t="s">
        <v>797</v>
      </c>
      <c r="C42" s="311">
        <v>0</v>
      </c>
      <c r="D42" s="90">
        <v>-13.109</v>
      </c>
      <c r="E42" s="91">
        <v>-0.97499999999999998</v>
      </c>
      <c r="F42" s="92">
        <v>-9.7000000000000003E-2</v>
      </c>
      <c r="G42" s="28" t="s">
        <v>797</v>
      </c>
      <c r="H42" s="29" t="s">
        <v>797</v>
      </c>
      <c r="I42" s="29" t="s">
        <v>797</v>
      </c>
      <c r="J42" s="25">
        <v>0.224</v>
      </c>
      <c r="K42" s="27"/>
    </row>
    <row r="43" spans="1:11" ht="30.2" customHeight="1" x14ac:dyDescent="0.2">
      <c r="A43" s="10" t="s">
        <v>671</v>
      </c>
      <c r="B43" s="332" t="s">
        <v>797</v>
      </c>
      <c r="C43" s="311">
        <v>0</v>
      </c>
      <c r="D43" s="90">
        <v>-13.109</v>
      </c>
      <c r="E43" s="91">
        <v>-0.97499999999999998</v>
      </c>
      <c r="F43" s="92">
        <v>-9.7000000000000003E-2</v>
      </c>
      <c r="G43" s="28" t="s">
        <v>797</v>
      </c>
      <c r="H43" s="29" t="s">
        <v>797</v>
      </c>
      <c r="I43" s="29" t="s">
        <v>797</v>
      </c>
      <c r="J43" s="26" t="s">
        <v>797</v>
      </c>
      <c r="K43" s="27"/>
    </row>
    <row r="44" spans="1:11" ht="30.2" customHeight="1" x14ac:dyDescent="0.2">
      <c r="A44" s="10" t="s">
        <v>672</v>
      </c>
      <c r="B44" s="332" t="s">
        <v>1103</v>
      </c>
      <c r="C44" s="311">
        <v>0</v>
      </c>
      <c r="D44" s="90">
        <v>-8.1959999999999997</v>
      </c>
      <c r="E44" s="91">
        <v>-0.41399999999999998</v>
      </c>
      <c r="F44" s="92">
        <v>-4.4999999999999998E-2</v>
      </c>
      <c r="G44" s="28">
        <v>86.08</v>
      </c>
      <c r="H44" s="29" t="s">
        <v>797</v>
      </c>
      <c r="I44" s="29" t="s">
        <v>797</v>
      </c>
      <c r="J44" s="25">
        <v>0.187</v>
      </c>
      <c r="K44" s="27"/>
    </row>
    <row r="45" spans="1:11" ht="30.2" customHeight="1" x14ac:dyDescent="0.2">
      <c r="A45" s="10" t="s">
        <v>673</v>
      </c>
      <c r="B45" s="332" t="s">
        <v>797</v>
      </c>
      <c r="C45" s="311">
        <v>0</v>
      </c>
      <c r="D45" s="90">
        <v>-8.1959999999999997</v>
      </c>
      <c r="E45" s="91">
        <v>-0.41399999999999998</v>
      </c>
      <c r="F45" s="92">
        <v>-4.4999999999999998E-2</v>
      </c>
      <c r="G45" s="28">
        <v>86.08</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charges_L'; based on connection level, credits may therefore be lower than stated above.</v>
      </c>
    </row>
    <row r="47" spans="1:11" ht="27.75" customHeight="1" x14ac:dyDescent="0.2">
      <c r="A47" s="330" t="s">
        <v>427</v>
      </c>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966A512B-CFBB-41E1-BE44-CAC3858E49C5}"/>
    <hyperlink ref="A47" location="'Annex 4 LDNO charges_L'!A1" display="Annex 4 LDNO charges_L" xr:uid="{B949EC07-B252-4662-9842-4664CAFC11B1}"/>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83" t="s">
        <v>367</v>
      </c>
      <c r="F1" s="383"/>
      <c r="G1" s="383"/>
      <c r="H1" s="383"/>
      <c r="I1" s="383"/>
      <c r="J1" s="383"/>
      <c r="K1" s="383"/>
      <c r="L1" s="241"/>
      <c r="M1" s="340"/>
    </row>
    <row r="2" spans="1:13" ht="27" customHeight="1" x14ac:dyDescent="0.2">
      <c r="A2" s="384" t="str">
        <f>Overview!B4&amp;" - Effective from "&amp;TEXT(Overview!$D$4,"d mmmm yyyy")&amp;" - Final LV and HV charges in NPG Yorkshire Area (GSP Group _M)"</f>
        <v>Leep Electricity Networks Limited - Effective from 1 April 2027 - Final LV and HV charges in NPG Yorkshire Area (GSP Group _M)</v>
      </c>
      <c r="B2" s="384"/>
      <c r="C2" s="384"/>
      <c r="D2" s="384"/>
      <c r="E2" s="384"/>
      <c r="F2" s="384"/>
      <c r="G2" s="384"/>
      <c r="H2" s="384"/>
      <c r="I2" s="384"/>
      <c r="J2" s="384"/>
      <c r="K2" s="384"/>
    </row>
    <row r="3" spans="1:13" s="40" customFormat="1" ht="15" customHeight="1" x14ac:dyDescent="0.2">
      <c r="A3" s="45"/>
      <c r="B3" s="45"/>
      <c r="C3" s="45"/>
      <c r="D3" s="45"/>
      <c r="E3" s="45"/>
      <c r="F3" s="45"/>
      <c r="G3" s="45"/>
      <c r="H3" s="45"/>
      <c r="I3" s="45"/>
      <c r="J3" s="45"/>
      <c r="K3" s="45"/>
      <c r="L3" s="98"/>
      <c r="M3" s="342"/>
    </row>
    <row r="4" spans="1:13" ht="27" customHeight="1" x14ac:dyDescent="0.2">
      <c r="A4" s="384" t="s">
        <v>290</v>
      </c>
      <c r="B4" s="384"/>
      <c r="C4" s="384"/>
      <c r="D4" s="384"/>
      <c r="E4" s="384"/>
      <c r="F4" s="45"/>
      <c r="G4" s="384" t="s">
        <v>289</v>
      </c>
      <c r="H4" s="384"/>
      <c r="I4" s="384"/>
      <c r="J4" s="384"/>
      <c r="K4" s="384"/>
    </row>
    <row r="5" spans="1:13" ht="28.5" customHeight="1" x14ac:dyDescent="0.2">
      <c r="A5" s="39" t="s">
        <v>13</v>
      </c>
      <c r="B5" s="256" t="s">
        <v>281</v>
      </c>
      <c r="C5" s="379" t="s">
        <v>282</v>
      </c>
      <c r="D5" s="380"/>
      <c r="E5" s="41" t="s">
        <v>283</v>
      </c>
      <c r="F5" s="45"/>
      <c r="G5" s="381"/>
      <c r="H5" s="382"/>
      <c r="I5" s="43" t="s">
        <v>287</v>
      </c>
      <c r="J5" s="44" t="s">
        <v>288</v>
      </c>
      <c r="K5" s="41" t="s">
        <v>283</v>
      </c>
      <c r="L5" s="45"/>
    </row>
    <row r="6" spans="1:13" ht="65.25" customHeight="1" x14ac:dyDescent="0.2">
      <c r="A6" s="42" t="s">
        <v>794</v>
      </c>
      <c r="B6" s="13" t="s">
        <v>2061</v>
      </c>
      <c r="C6" s="375" t="s">
        <v>2062</v>
      </c>
      <c r="D6" s="375"/>
      <c r="E6" s="13" t="s">
        <v>2063</v>
      </c>
      <c r="F6" s="45" t="s">
        <v>797</v>
      </c>
      <c r="G6" s="418" t="s">
        <v>285</v>
      </c>
      <c r="H6" s="418"/>
      <c r="I6" s="13" t="s">
        <v>2061</v>
      </c>
      <c r="J6" s="248" t="s">
        <v>2062</v>
      </c>
      <c r="K6" s="248" t="s">
        <v>2063</v>
      </c>
      <c r="L6" s="45"/>
    </row>
    <row r="7" spans="1:13" ht="65.25" customHeight="1" x14ac:dyDescent="0.2">
      <c r="A7" s="42" t="s">
        <v>798</v>
      </c>
      <c r="B7" s="119" t="s">
        <v>797</v>
      </c>
      <c r="C7" s="419" t="s">
        <v>797</v>
      </c>
      <c r="D7" s="420"/>
      <c r="E7" s="13" t="s">
        <v>2027</v>
      </c>
      <c r="F7" s="45" t="s">
        <v>797</v>
      </c>
      <c r="G7" s="418" t="s">
        <v>2064</v>
      </c>
      <c r="H7" s="418"/>
      <c r="I7" s="119" t="s">
        <v>797</v>
      </c>
      <c r="J7" s="248" t="s">
        <v>2065</v>
      </c>
      <c r="K7" s="248" t="s">
        <v>2063</v>
      </c>
      <c r="L7" s="45"/>
    </row>
    <row r="8" spans="1:13" ht="42.75" customHeight="1" x14ac:dyDescent="0.2">
      <c r="A8" s="257" t="s">
        <v>14</v>
      </c>
      <c r="B8" s="407" t="s">
        <v>15</v>
      </c>
      <c r="C8" s="408"/>
      <c r="D8" s="408"/>
      <c r="E8" s="409"/>
      <c r="F8" s="45" t="s">
        <v>797</v>
      </c>
      <c r="G8" s="418" t="s">
        <v>2030</v>
      </c>
      <c r="H8" s="418"/>
      <c r="I8" s="119" t="s">
        <v>797</v>
      </c>
      <c r="J8" s="119" t="s">
        <v>797</v>
      </c>
      <c r="K8" s="248" t="s">
        <v>2027</v>
      </c>
      <c r="L8" s="45"/>
    </row>
    <row r="9" spans="1:13" s="40" customFormat="1" ht="27" customHeight="1" x14ac:dyDescent="0.2">
      <c r="A9" s="45" t="s">
        <v>797</v>
      </c>
      <c r="B9" s="45" t="s">
        <v>797</v>
      </c>
      <c r="C9" s="45" t="s">
        <v>797</v>
      </c>
      <c r="D9" s="45" t="s">
        <v>797</v>
      </c>
      <c r="E9" s="45" t="s">
        <v>797</v>
      </c>
      <c r="F9" s="45" t="s">
        <v>797</v>
      </c>
      <c r="G9" s="417" t="s">
        <v>14</v>
      </c>
      <c r="H9" s="417"/>
      <c r="I9" s="407" t="s">
        <v>15</v>
      </c>
      <c r="J9" s="408"/>
      <c r="K9" s="409"/>
      <c r="L9" s="45"/>
      <c r="M9" s="342"/>
    </row>
    <row r="10" spans="1:13" s="40" customFormat="1" ht="13.5" customHeight="1" x14ac:dyDescent="0.2">
      <c r="A10" s="45"/>
      <c r="B10" s="45"/>
      <c r="C10" s="45"/>
      <c r="D10" s="45"/>
      <c r="E10" s="45"/>
      <c r="F10" s="45"/>
      <c r="G10" s="48"/>
      <c r="H10" s="48"/>
      <c r="I10" s="49"/>
      <c r="J10" s="49"/>
      <c r="K10" s="49"/>
      <c r="L10" s="45"/>
      <c r="M10" s="342"/>
    </row>
    <row r="11" spans="1:13" s="40" customFormat="1" ht="13.5" customHeight="1" x14ac:dyDescent="0.2">
      <c r="A11" s="45"/>
      <c r="B11" s="45"/>
      <c r="C11" s="45"/>
      <c r="D11" s="45"/>
      <c r="E11" s="45"/>
      <c r="F11" s="45"/>
      <c r="G11" s="48"/>
      <c r="H11" s="48"/>
      <c r="I11" s="49"/>
      <c r="J11" s="49"/>
      <c r="K11" s="49"/>
      <c r="L11" s="45"/>
      <c r="M11" s="342"/>
    </row>
    <row r="12" spans="1:13" s="40" customFormat="1" ht="13.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1104</v>
      </c>
      <c r="C14" s="311" t="s">
        <v>802</v>
      </c>
      <c r="D14" s="90">
        <v>7.7050000000000001</v>
      </c>
      <c r="E14" s="91">
        <v>1.8859999999999999</v>
      </c>
      <c r="F14" s="92">
        <v>0.249</v>
      </c>
      <c r="G14" s="28">
        <v>19.54</v>
      </c>
      <c r="H14" s="29" t="s">
        <v>797</v>
      </c>
      <c r="I14" s="29" t="s">
        <v>797</v>
      </c>
      <c r="J14" s="26" t="s">
        <v>797</v>
      </c>
      <c r="K14" s="27"/>
    </row>
    <row r="15" spans="1:13" ht="30.2" customHeight="1" x14ac:dyDescent="0.2">
      <c r="A15" s="10" t="s">
        <v>495</v>
      </c>
      <c r="B15" s="332" t="s">
        <v>797</v>
      </c>
      <c r="C15" s="311">
        <v>2</v>
      </c>
      <c r="D15" s="90">
        <v>7.7050000000000001</v>
      </c>
      <c r="E15" s="91">
        <v>1.8859999999999999</v>
      </c>
      <c r="F15" s="92">
        <v>0.249</v>
      </c>
      <c r="G15" s="29" t="s">
        <v>797</v>
      </c>
      <c r="H15" s="29" t="s">
        <v>797</v>
      </c>
      <c r="I15" s="29" t="s">
        <v>797</v>
      </c>
      <c r="J15" s="26" t="s">
        <v>797</v>
      </c>
      <c r="K15" s="27"/>
    </row>
    <row r="16" spans="1:13" ht="30.2" customHeight="1" x14ac:dyDescent="0.2">
      <c r="A16" s="10" t="s">
        <v>675</v>
      </c>
      <c r="B16" s="332" t="s">
        <v>1105</v>
      </c>
      <c r="C16" s="311" t="s">
        <v>803</v>
      </c>
      <c r="D16" s="90">
        <v>8.7539999999999996</v>
      </c>
      <c r="E16" s="91">
        <v>2.1429999999999998</v>
      </c>
      <c r="F16" s="92">
        <v>0.28299999999999997</v>
      </c>
      <c r="G16" s="28">
        <v>11.84</v>
      </c>
      <c r="H16" s="29" t="s">
        <v>797</v>
      </c>
      <c r="I16" s="29" t="s">
        <v>797</v>
      </c>
      <c r="J16" s="26" t="s">
        <v>797</v>
      </c>
      <c r="K16" s="27"/>
    </row>
    <row r="17" spans="1:11" ht="30.2" customHeight="1" x14ac:dyDescent="0.2">
      <c r="A17" s="10" t="s">
        <v>676</v>
      </c>
      <c r="B17" s="332" t="s">
        <v>1106</v>
      </c>
      <c r="C17" s="311" t="s">
        <v>803</v>
      </c>
      <c r="D17" s="90">
        <v>8.7539999999999996</v>
      </c>
      <c r="E17" s="91">
        <v>2.1429999999999998</v>
      </c>
      <c r="F17" s="92">
        <v>0.28299999999999997</v>
      </c>
      <c r="G17" s="28">
        <v>20.260000000000002</v>
      </c>
      <c r="H17" s="29" t="s">
        <v>797</v>
      </c>
      <c r="I17" s="29" t="s">
        <v>797</v>
      </c>
      <c r="J17" s="26" t="s">
        <v>797</v>
      </c>
      <c r="K17" s="27"/>
    </row>
    <row r="18" spans="1:11" ht="30.2" customHeight="1" x14ac:dyDescent="0.2">
      <c r="A18" s="10" t="s">
        <v>677</v>
      </c>
      <c r="B18" s="332" t="s">
        <v>1107</v>
      </c>
      <c r="C18" s="311" t="s">
        <v>803</v>
      </c>
      <c r="D18" s="90">
        <v>8.7539999999999996</v>
      </c>
      <c r="E18" s="91">
        <v>2.1429999999999998</v>
      </c>
      <c r="F18" s="92">
        <v>0.28299999999999997</v>
      </c>
      <c r="G18" s="28">
        <v>31.15</v>
      </c>
      <c r="H18" s="29" t="s">
        <v>797</v>
      </c>
      <c r="I18" s="29" t="s">
        <v>797</v>
      </c>
      <c r="J18" s="26" t="s">
        <v>797</v>
      </c>
      <c r="K18" s="27"/>
    </row>
    <row r="19" spans="1:11" ht="30.2" customHeight="1" x14ac:dyDescent="0.2">
      <c r="A19" s="10" t="s">
        <v>678</v>
      </c>
      <c r="B19" s="332" t="s">
        <v>1108</v>
      </c>
      <c r="C19" s="311" t="s">
        <v>803</v>
      </c>
      <c r="D19" s="90">
        <v>8.7539999999999996</v>
      </c>
      <c r="E19" s="91">
        <v>2.1429999999999998</v>
      </c>
      <c r="F19" s="92">
        <v>0.28299999999999997</v>
      </c>
      <c r="G19" s="28">
        <v>51.92</v>
      </c>
      <c r="H19" s="29" t="s">
        <v>797</v>
      </c>
      <c r="I19" s="29" t="s">
        <v>797</v>
      </c>
      <c r="J19" s="26" t="s">
        <v>797</v>
      </c>
      <c r="K19" s="27"/>
    </row>
    <row r="20" spans="1:11" ht="30.2" customHeight="1" x14ac:dyDescent="0.2">
      <c r="A20" s="10" t="s">
        <v>679</v>
      </c>
      <c r="B20" s="332" t="s">
        <v>1109</v>
      </c>
      <c r="C20" s="311" t="s">
        <v>803</v>
      </c>
      <c r="D20" s="90">
        <v>8.7539999999999996</v>
      </c>
      <c r="E20" s="91">
        <v>2.1429999999999998</v>
      </c>
      <c r="F20" s="92">
        <v>0.28299999999999997</v>
      </c>
      <c r="G20" s="28">
        <v>122.3</v>
      </c>
      <c r="H20" s="29" t="s">
        <v>797</v>
      </c>
      <c r="I20" s="29" t="s">
        <v>797</v>
      </c>
      <c r="J20" s="26" t="s">
        <v>797</v>
      </c>
      <c r="K20" s="27"/>
    </row>
    <row r="21" spans="1:11" ht="30.2" customHeight="1" x14ac:dyDescent="0.2">
      <c r="A21" s="10" t="s">
        <v>476</v>
      </c>
      <c r="B21" s="332" t="s">
        <v>797</v>
      </c>
      <c r="C21" s="311">
        <v>4</v>
      </c>
      <c r="D21" s="90">
        <v>8.7539999999999996</v>
      </c>
      <c r="E21" s="91">
        <v>2.1429999999999998</v>
      </c>
      <c r="F21" s="92">
        <v>0.28299999999999997</v>
      </c>
      <c r="G21" s="29" t="s">
        <v>797</v>
      </c>
      <c r="H21" s="29" t="s">
        <v>797</v>
      </c>
      <c r="I21" s="29" t="s">
        <v>797</v>
      </c>
      <c r="J21" s="26" t="s">
        <v>797</v>
      </c>
      <c r="K21" s="27"/>
    </row>
    <row r="22" spans="1:11" ht="30.2" customHeight="1" x14ac:dyDescent="0.2">
      <c r="A22" s="10" t="s">
        <v>496</v>
      </c>
      <c r="B22" s="332" t="s">
        <v>1110</v>
      </c>
      <c r="C22" s="311">
        <v>0</v>
      </c>
      <c r="D22" s="90">
        <v>6.2969999999999997</v>
      </c>
      <c r="E22" s="91">
        <v>1.5149999999999999</v>
      </c>
      <c r="F22" s="92">
        <v>0.19400000000000001</v>
      </c>
      <c r="G22" s="28">
        <v>15.22</v>
      </c>
      <c r="H22" s="28">
        <v>4.01</v>
      </c>
      <c r="I22" s="89">
        <v>4.01</v>
      </c>
      <c r="J22" s="25">
        <v>9.7000000000000003E-2</v>
      </c>
      <c r="K22" s="27"/>
    </row>
    <row r="23" spans="1:11" ht="30.2" customHeight="1" x14ac:dyDescent="0.2">
      <c r="A23" s="10" t="s">
        <v>497</v>
      </c>
      <c r="B23" s="332" t="s">
        <v>1111</v>
      </c>
      <c r="C23" s="311">
        <v>0</v>
      </c>
      <c r="D23" s="90">
        <v>6.2969999999999997</v>
      </c>
      <c r="E23" s="91">
        <v>1.5149999999999999</v>
      </c>
      <c r="F23" s="92">
        <v>0.19400000000000001</v>
      </c>
      <c r="G23" s="28">
        <v>205.28</v>
      </c>
      <c r="H23" s="28">
        <v>4.01</v>
      </c>
      <c r="I23" s="89">
        <v>4.01</v>
      </c>
      <c r="J23" s="25">
        <v>9.7000000000000003E-2</v>
      </c>
      <c r="K23" s="27"/>
    </row>
    <row r="24" spans="1:11" ht="30.2" customHeight="1" x14ac:dyDescent="0.2">
      <c r="A24" s="10" t="s">
        <v>498</v>
      </c>
      <c r="B24" s="332" t="s">
        <v>1112</v>
      </c>
      <c r="C24" s="311">
        <v>0</v>
      </c>
      <c r="D24" s="90">
        <v>6.2969999999999997</v>
      </c>
      <c r="E24" s="91">
        <v>1.5149999999999999</v>
      </c>
      <c r="F24" s="92">
        <v>0.19400000000000001</v>
      </c>
      <c r="G24" s="28">
        <v>390.64</v>
      </c>
      <c r="H24" s="28">
        <v>4.01</v>
      </c>
      <c r="I24" s="89">
        <v>4.01</v>
      </c>
      <c r="J24" s="25">
        <v>9.7000000000000003E-2</v>
      </c>
      <c r="K24" s="27"/>
    </row>
    <row r="25" spans="1:11" ht="30.2" customHeight="1" x14ac:dyDescent="0.2">
      <c r="A25" s="10" t="s">
        <v>499</v>
      </c>
      <c r="B25" s="332" t="s">
        <v>1113</v>
      </c>
      <c r="C25" s="311">
        <v>0</v>
      </c>
      <c r="D25" s="90">
        <v>6.2969999999999997</v>
      </c>
      <c r="E25" s="91">
        <v>1.5149999999999999</v>
      </c>
      <c r="F25" s="92">
        <v>0.19400000000000001</v>
      </c>
      <c r="G25" s="28">
        <v>589.97</v>
      </c>
      <c r="H25" s="28">
        <v>4.01</v>
      </c>
      <c r="I25" s="89">
        <v>4.01</v>
      </c>
      <c r="J25" s="25">
        <v>9.7000000000000003E-2</v>
      </c>
      <c r="K25" s="27"/>
    </row>
    <row r="26" spans="1:11" ht="30.2" customHeight="1" x14ac:dyDescent="0.2">
      <c r="A26" s="10" t="s">
        <v>500</v>
      </c>
      <c r="B26" s="332" t="s">
        <v>1114</v>
      </c>
      <c r="C26" s="311">
        <v>0</v>
      </c>
      <c r="D26" s="90">
        <v>6.2969999999999997</v>
      </c>
      <c r="E26" s="91">
        <v>1.5149999999999999</v>
      </c>
      <c r="F26" s="92">
        <v>0.19400000000000001</v>
      </c>
      <c r="G26" s="28">
        <v>1285.24</v>
      </c>
      <c r="H26" s="28">
        <v>4.01</v>
      </c>
      <c r="I26" s="89">
        <v>4.01</v>
      </c>
      <c r="J26" s="25">
        <v>9.7000000000000003E-2</v>
      </c>
      <c r="K26" s="27"/>
    </row>
    <row r="27" spans="1:11" ht="30.2" customHeight="1" x14ac:dyDescent="0.2">
      <c r="A27" s="10" t="s">
        <v>501</v>
      </c>
      <c r="B27" s="332" t="s">
        <v>1115</v>
      </c>
      <c r="C27" s="311">
        <v>0</v>
      </c>
      <c r="D27" s="90">
        <v>3.9660000000000002</v>
      </c>
      <c r="E27" s="91">
        <v>0.91500000000000004</v>
      </c>
      <c r="F27" s="92">
        <v>0.109</v>
      </c>
      <c r="G27" s="28">
        <v>15.22</v>
      </c>
      <c r="H27" s="28">
        <v>3.14</v>
      </c>
      <c r="I27" s="89">
        <v>3.14</v>
      </c>
      <c r="J27" s="25">
        <v>5.5E-2</v>
      </c>
      <c r="K27" s="27"/>
    </row>
    <row r="28" spans="1:11" ht="30.2" customHeight="1" x14ac:dyDescent="0.2">
      <c r="A28" s="10" t="s">
        <v>502</v>
      </c>
      <c r="B28" s="332" t="s">
        <v>1116</v>
      </c>
      <c r="C28" s="311">
        <v>0</v>
      </c>
      <c r="D28" s="90">
        <v>3.9660000000000002</v>
      </c>
      <c r="E28" s="91">
        <v>0.91500000000000004</v>
      </c>
      <c r="F28" s="92">
        <v>0.109</v>
      </c>
      <c r="G28" s="28">
        <v>205.28</v>
      </c>
      <c r="H28" s="28">
        <v>3.14</v>
      </c>
      <c r="I28" s="89">
        <v>3.14</v>
      </c>
      <c r="J28" s="25">
        <v>5.5E-2</v>
      </c>
      <c r="K28" s="27"/>
    </row>
    <row r="29" spans="1:11" ht="30.2" customHeight="1" x14ac:dyDescent="0.2">
      <c r="A29" s="10" t="s">
        <v>503</v>
      </c>
      <c r="B29" s="332" t="s">
        <v>1117</v>
      </c>
      <c r="C29" s="311">
        <v>0</v>
      </c>
      <c r="D29" s="90">
        <v>3.9660000000000002</v>
      </c>
      <c r="E29" s="91">
        <v>0.91500000000000004</v>
      </c>
      <c r="F29" s="92">
        <v>0.109</v>
      </c>
      <c r="G29" s="28">
        <v>390.64</v>
      </c>
      <c r="H29" s="28">
        <v>3.14</v>
      </c>
      <c r="I29" s="89">
        <v>3.14</v>
      </c>
      <c r="J29" s="25">
        <v>5.5E-2</v>
      </c>
      <c r="K29" s="27"/>
    </row>
    <row r="30" spans="1:11" ht="30.2" customHeight="1" x14ac:dyDescent="0.2">
      <c r="A30" s="10" t="s">
        <v>504</v>
      </c>
      <c r="B30" s="332" t="s">
        <v>1118</v>
      </c>
      <c r="C30" s="311">
        <v>0</v>
      </c>
      <c r="D30" s="90">
        <v>3.9660000000000002</v>
      </c>
      <c r="E30" s="91">
        <v>0.91500000000000004</v>
      </c>
      <c r="F30" s="92">
        <v>0.109</v>
      </c>
      <c r="G30" s="28">
        <v>589.97</v>
      </c>
      <c r="H30" s="28">
        <v>3.14</v>
      </c>
      <c r="I30" s="89">
        <v>3.14</v>
      </c>
      <c r="J30" s="25">
        <v>5.5E-2</v>
      </c>
      <c r="K30" s="27"/>
    </row>
    <row r="31" spans="1:11" ht="30.2" customHeight="1" x14ac:dyDescent="0.2">
      <c r="A31" s="10" t="s">
        <v>505</v>
      </c>
      <c r="B31" s="332" t="s">
        <v>1119</v>
      </c>
      <c r="C31" s="311">
        <v>0</v>
      </c>
      <c r="D31" s="90">
        <v>3.9660000000000002</v>
      </c>
      <c r="E31" s="91">
        <v>0.91500000000000004</v>
      </c>
      <c r="F31" s="92">
        <v>0.109</v>
      </c>
      <c r="G31" s="28">
        <v>1285.24</v>
      </c>
      <c r="H31" s="28">
        <v>3.14</v>
      </c>
      <c r="I31" s="89">
        <v>3.14</v>
      </c>
      <c r="J31" s="25">
        <v>5.5E-2</v>
      </c>
      <c r="K31" s="27"/>
    </row>
    <row r="32" spans="1:11" ht="30.2" customHeight="1" x14ac:dyDescent="0.2">
      <c r="A32" s="10" t="s">
        <v>506</v>
      </c>
      <c r="B32" s="332" t="s">
        <v>1120</v>
      </c>
      <c r="C32" s="311">
        <v>0</v>
      </c>
      <c r="D32" s="90">
        <v>2.677</v>
      </c>
      <c r="E32" s="91">
        <v>0.58799999999999997</v>
      </c>
      <c r="F32" s="92">
        <v>6.3E-2</v>
      </c>
      <c r="G32" s="28">
        <v>398.64</v>
      </c>
      <c r="H32" s="28">
        <v>4.04</v>
      </c>
      <c r="I32" s="89">
        <v>4.04</v>
      </c>
      <c r="J32" s="25">
        <v>3.4000000000000002E-2</v>
      </c>
      <c r="K32" s="27"/>
    </row>
    <row r="33" spans="1:11" ht="30.2" customHeight="1" x14ac:dyDescent="0.2">
      <c r="A33" s="10" t="s">
        <v>507</v>
      </c>
      <c r="B33" s="332" t="s">
        <v>1121</v>
      </c>
      <c r="C33" s="311">
        <v>0</v>
      </c>
      <c r="D33" s="90">
        <v>2.677</v>
      </c>
      <c r="E33" s="91">
        <v>0.58799999999999997</v>
      </c>
      <c r="F33" s="92">
        <v>6.3E-2</v>
      </c>
      <c r="G33" s="28">
        <v>1677.29</v>
      </c>
      <c r="H33" s="28">
        <v>4.04</v>
      </c>
      <c r="I33" s="89">
        <v>4.04</v>
      </c>
      <c r="J33" s="25">
        <v>3.4000000000000002E-2</v>
      </c>
      <c r="K33" s="27"/>
    </row>
    <row r="34" spans="1:11" ht="30.2" customHeight="1" x14ac:dyDescent="0.2">
      <c r="A34" s="10" t="s">
        <v>508</v>
      </c>
      <c r="B34" s="332" t="s">
        <v>1122</v>
      </c>
      <c r="C34" s="311">
        <v>0</v>
      </c>
      <c r="D34" s="90">
        <v>2.677</v>
      </c>
      <c r="E34" s="91">
        <v>0.58799999999999997</v>
      </c>
      <c r="F34" s="92">
        <v>6.3E-2</v>
      </c>
      <c r="G34" s="28">
        <v>4158.08</v>
      </c>
      <c r="H34" s="28">
        <v>4.04</v>
      </c>
      <c r="I34" s="89">
        <v>4.04</v>
      </c>
      <c r="J34" s="25">
        <v>3.4000000000000002E-2</v>
      </c>
      <c r="K34" s="27"/>
    </row>
    <row r="35" spans="1:11" ht="30.2" customHeight="1" x14ac:dyDescent="0.2">
      <c r="A35" s="10" t="s">
        <v>509</v>
      </c>
      <c r="B35" s="332" t="s">
        <v>1123</v>
      </c>
      <c r="C35" s="311">
        <v>0</v>
      </c>
      <c r="D35" s="90">
        <v>2.677</v>
      </c>
      <c r="E35" s="91">
        <v>0.58799999999999997</v>
      </c>
      <c r="F35" s="92">
        <v>6.3E-2</v>
      </c>
      <c r="G35" s="28">
        <v>7773.31</v>
      </c>
      <c r="H35" s="28">
        <v>4.04</v>
      </c>
      <c r="I35" s="89">
        <v>4.04</v>
      </c>
      <c r="J35" s="25">
        <v>3.4000000000000002E-2</v>
      </c>
      <c r="K35" s="27"/>
    </row>
    <row r="36" spans="1:11" ht="30.2" customHeight="1" x14ac:dyDescent="0.2">
      <c r="A36" s="10" t="s">
        <v>510</v>
      </c>
      <c r="B36" s="332" t="s">
        <v>1124</v>
      </c>
      <c r="C36" s="311">
        <v>0</v>
      </c>
      <c r="D36" s="90">
        <v>2.677</v>
      </c>
      <c r="E36" s="91">
        <v>0.58799999999999997</v>
      </c>
      <c r="F36" s="92">
        <v>6.3E-2</v>
      </c>
      <c r="G36" s="28">
        <v>19200.419999999998</v>
      </c>
      <c r="H36" s="28">
        <v>4.04</v>
      </c>
      <c r="I36" s="89">
        <v>4.04</v>
      </c>
      <c r="J36" s="25">
        <v>3.4000000000000002E-2</v>
      </c>
      <c r="K36" s="27"/>
    </row>
    <row r="37" spans="1:11" ht="30.2" customHeight="1" x14ac:dyDescent="0.2">
      <c r="A37" s="10" t="s">
        <v>477</v>
      </c>
      <c r="B37" s="332" t="s">
        <v>1125</v>
      </c>
      <c r="C37" s="311" t="s">
        <v>2066</v>
      </c>
      <c r="D37" s="93">
        <v>22.228999999999999</v>
      </c>
      <c r="E37" s="94">
        <v>2.4990000000000001</v>
      </c>
      <c r="F37" s="92">
        <v>1.093</v>
      </c>
      <c r="G37" s="29" t="s">
        <v>797</v>
      </c>
      <c r="H37" s="29" t="s">
        <v>797</v>
      </c>
      <c r="I37" s="29" t="s">
        <v>797</v>
      </c>
      <c r="J37" s="26" t="s">
        <v>797</v>
      </c>
      <c r="K37" s="27"/>
    </row>
    <row r="38" spans="1:11" ht="30.2" customHeight="1" x14ac:dyDescent="0.2">
      <c r="A38" s="10" t="s">
        <v>666</v>
      </c>
      <c r="B38" s="332" t="s">
        <v>1126</v>
      </c>
      <c r="C38" s="311">
        <v>0</v>
      </c>
      <c r="D38" s="90">
        <v>-5.3819999999999997</v>
      </c>
      <c r="E38" s="91">
        <v>-1.3169999999999999</v>
      </c>
      <c r="F38" s="92">
        <v>-0.17399999999999999</v>
      </c>
      <c r="G38" s="28" t="s">
        <v>797</v>
      </c>
      <c r="H38" s="29" t="s">
        <v>797</v>
      </c>
      <c r="I38" s="29" t="s">
        <v>797</v>
      </c>
      <c r="J38" s="26" t="s">
        <v>797</v>
      </c>
      <c r="K38" s="27"/>
    </row>
    <row r="39" spans="1:11" ht="30.2" customHeight="1" x14ac:dyDescent="0.2">
      <c r="A39" s="10" t="s">
        <v>667</v>
      </c>
      <c r="B39" s="332" t="s">
        <v>1127</v>
      </c>
      <c r="C39" s="311">
        <v>0</v>
      </c>
      <c r="D39" s="90">
        <v>-4.3869999999999996</v>
      </c>
      <c r="E39" s="91">
        <v>-1.0629999999999999</v>
      </c>
      <c r="F39" s="92">
        <v>-0.13800000000000001</v>
      </c>
      <c r="G39" s="28" t="s">
        <v>797</v>
      </c>
      <c r="H39" s="29" t="s">
        <v>797</v>
      </c>
      <c r="I39" s="29" t="s">
        <v>797</v>
      </c>
      <c r="J39" s="26" t="s">
        <v>797</v>
      </c>
      <c r="K39" s="27"/>
    </row>
    <row r="40" spans="1:11" ht="30.2" customHeight="1" x14ac:dyDescent="0.2">
      <c r="A40" s="10" t="s">
        <v>668</v>
      </c>
      <c r="B40" s="332" t="s">
        <v>1128</v>
      </c>
      <c r="C40" s="311">
        <v>0</v>
      </c>
      <c r="D40" s="90">
        <v>-5.3819999999999997</v>
      </c>
      <c r="E40" s="91">
        <v>-1.3169999999999999</v>
      </c>
      <c r="F40" s="92">
        <v>-0.17399999999999999</v>
      </c>
      <c r="G40" s="28" t="s">
        <v>797</v>
      </c>
      <c r="H40" s="29" t="s">
        <v>797</v>
      </c>
      <c r="I40" s="29" t="s">
        <v>797</v>
      </c>
      <c r="J40" s="25">
        <v>7.5999999999999998E-2</v>
      </c>
      <c r="K40" s="27"/>
    </row>
    <row r="41" spans="1:11" ht="30.2" customHeight="1" x14ac:dyDescent="0.2">
      <c r="A41" s="10" t="s">
        <v>669</v>
      </c>
      <c r="B41" s="332" t="s">
        <v>797</v>
      </c>
      <c r="C41" s="311">
        <v>0</v>
      </c>
      <c r="D41" s="90">
        <v>-5.3819999999999997</v>
      </c>
      <c r="E41" s="91">
        <v>-1.3169999999999999</v>
      </c>
      <c r="F41" s="92">
        <v>-0.17399999999999999</v>
      </c>
      <c r="G41" s="28" t="s">
        <v>797</v>
      </c>
      <c r="H41" s="29" t="s">
        <v>797</v>
      </c>
      <c r="I41" s="29" t="s">
        <v>797</v>
      </c>
      <c r="J41" s="26" t="s">
        <v>797</v>
      </c>
      <c r="K41" s="27"/>
    </row>
    <row r="42" spans="1:11" ht="30.2" customHeight="1" x14ac:dyDescent="0.2">
      <c r="A42" s="10" t="s">
        <v>670</v>
      </c>
      <c r="B42" s="332" t="s">
        <v>797</v>
      </c>
      <c r="C42" s="311">
        <v>0</v>
      </c>
      <c r="D42" s="90">
        <v>-4.3869999999999996</v>
      </c>
      <c r="E42" s="91">
        <v>-1.0629999999999999</v>
      </c>
      <c r="F42" s="92">
        <v>-0.13800000000000001</v>
      </c>
      <c r="G42" s="28" t="s">
        <v>797</v>
      </c>
      <c r="H42" s="29" t="s">
        <v>797</v>
      </c>
      <c r="I42" s="29" t="s">
        <v>797</v>
      </c>
      <c r="J42" s="25">
        <v>6.8000000000000005E-2</v>
      </c>
      <c r="K42" s="27"/>
    </row>
    <row r="43" spans="1:11" ht="30.2" customHeight="1" x14ac:dyDescent="0.2">
      <c r="A43" s="10" t="s">
        <v>671</v>
      </c>
      <c r="B43" s="332" t="s">
        <v>797</v>
      </c>
      <c r="C43" s="311">
        <v>0</v>
      </c>
      <c r="D43" s="90">
        <v>-4.3869999999999996</v>
      </c>
      <c r="E43" s="91">
        <v>-1.0629999999999999</v>
      </c>
      <c r="F43" s="92">
        <v>-0.13800000000000001</v>
      </c>
      <c r="G43" s="28" t="s">
        <v>797</v>
      </c>
      <c r="H43" s="29" t="s">
        <v>797</v>
      </c>
      <c r="I43" s="29" t="s">
        <v>797</v>
      </c>
      <c r="J43" s="26" t="s">
        <v>797</v>
      </c>
      <c r="K43" s="27"/>
    </row>
    <row r="44" spans="1:11" ht="30.2" customHeight="1" x14ac:dyDescent="0.2">
      <c r="A44" s="10" t="s">
        <v>672</v>
      </c>
      <c r="B44" s="332" t="s">
        <v>1129</v>
      </c>
      <c r="C44" s="311">
        <v>0</v>
      </c>
      <c r="D44" s="90">
        <v>-3.097</v>
      </c>
      <c r="E44" s="91">
        <v>-0.71499999999999997</v>
      </c>
      <c r="F44" s="92">
        <v>-8.5000000000000006E-2</v>
      </c>
      <c r="G44" s="28">
        <v>88.59</v>
      </c>
      <c r="H44" s="29" t="s">
        <v>797</v>
      </c>
      <c r="I44" s="29" t="s">
        <v>797</v>
      </c>
      <c r="J44" s="25">
        <v>0.06</v>
      </c>
      <c r="K44" s="27"/>
    </row>
    <row r="45" spans="1:11" ht="30.2" customHeight="1" x14ac:dyDescent="0.2">
      <c r="A45" s="10" t="s">
        <v>673</v>
      </c>
      <c r="B45" s="332" t="s">
        <v>797</v>
      </c>
      <c r="C45" s="311">
        <v>0</v>
      </c>
      <c r="D45" s="90">
        <v>-3.097</v>
      </c>
      <c r="E45" s="91">
        <v>-0.71499999999999997</v>
      </c>
      <c r="F45" s="92">
        <v>-8.5000000000000006E-2</v>
      </c>
      <c r="G45" s="28">
        <v>88.59</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charges_M'; based on connection level, credits may therefore be lower than stated above.</v>
      </c>
    </row>
    <row r="47" spans="1:11" ht="27.75" customHeight="1" x14ac:dyDescent="0.2">
      <c r="A47" s="330" t="s">
        <v>428</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3D77E467-C7DE-4A57-B6BC-05ACB553F7D5}"/>
    <hyperlink ref="A47" location="'Annex 4 LDNO charges_M'!A1" display="Annex 4 LDNO charges_M" xr:uid="{EE2896D3-4988-4045-9D93-ADF5F99C7314}"/>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D0E41-0043-4379-BF3E-8E1A7231D11C}">
  <sheetPr>
    <pageSetUpPr fitToPage="1"/>
  </sheetPr>
  <dimension ref="A1:Q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7" ht="27.75" customHeight="1" x14ac:dyDescent="0.2">
      <c r="A1" s="31" t="s">
        <v>19</v>
      </c>
      <c r="B1" s="45"/>
      <c r="C1" s="45"/>
      <c r="D1" s="45"/>
      <c r="E1" s="383" t="s">
        <v>367</v>
      </c>
      <c r="F1" s="383"/>
      <c r="G1" s="383"/>
      <c r="H1" s="383"/>
      <c r="I1" s="383"/>
      <c r="J1" s="383"/>
      <c r="K1" s="383"/>
      <c r="L1" s="241"/>
      <c r="M1" s="340"/>
    </row>
    <row r="2" spans="1:17" ht="27" customHeight="1" x14ac:dyDescent="0.2">
      <c r="A2" s="384" t="str">
        <f>Overview!B4&amp;" - Effective from "&amp;TEXT(Overview!$D$4,"d mmmm yyyy")&amp;" - Final LV and HV charges in SP Distribution Area (GSP Group _N)"</f>
        <v>Leep Electricity Networks Limited - Effective from 1 April 2027 - Final LV and HV charges in SP Distribution Area (GSP Group _N)</v>
      </c>
      <c r="B2" s="384"/>
      <c r="C2" s="384"/>
      <c r="D2" s="384"/>
      <c r="E2" s="384"/>
      <c r="F2" s="384"/>
      <c r="G2" s="384"/>
      <c r="H2" s="384"/>
      <c r="I2" s="384"/>
      <c r="J2" s="384"/>
      <c r="K2" s="384"/>
    </row>
    <row r="3" spans="1:17" s="40" customFormat="1" ht="15" customHeight="1" x14ac:dyDescent="0.2">
      <c r="A3" s="45"/>
      <c r="B3" s="45"/>
      <c r="C3" s="45"/>
      <c r="D3" s="45"/>
      <c r="E3" s="45"/>
      <c r="F3" s="45"/>
      <c r="G3" s="45"/>
      <c r="H3" s="45"/>
      <c r="I3" s="45"/>
      <c r="J3" s="45"/>
      <c r="K3" s="45"/>
      <c r="L3" s="98"/>
      <c r="M3" s="342"/>
    </row>
    <row r="4" spans="1:17" ht="27" customHeight="1" x14ac:dyDescent="0.2">
      <c r="A4" s="384" t="s">
        <v>290</v>
      </c>
      <c r="B4" s="384"/>
      <c r="C4" s="384"/>
      <c r="D4" s="384"/>
      <c r="E4" s="384"/>
      <c r="F4" s="45"/>
      <c r="G4" s="384" t="s">
        <v>289</v>
      </c>
      <c r="H4" s="384"/>
      <c r="I4" s="384"/>
      <c r="J4" s="384"/>
      <c r="K4" s="384"/>
    </row>
    <row r="5" spans="1:17" ht="28.5" customHeight="1" x14ac:dyDescent="0.2">
      <c r="A5" s="39" t="s">
        <v>13</v>
      </c>
      <c r="B5" s="256" t="s">
        <v>281</v>
      </c>
      <c r="C5" s="379" t="s">
        <v>282</v>
      </c>
      <c r="D5" s="380"/>
      <c r="E5" s="41" t="s">
        <v>283</v>
      </c>
      <c r="F5" s="45"/>
      <c r="G5" s="381"/>
      <c r="H5" s="382"/>
      <c r="I5" s="43" t="s">
        <v>287</v>
      </c>
      <c r="J5" s="44" t="s">
        <v>288</v>
      </c>
      <c r="K5" s="41" t="s">
        <v>283</v>
      </c>
      <c r="L5" s="45"/>
    </row>
    <row r="6" spans="1:17" ht="65.25" customHeight="1" x14ac:dyDescent="0.2">
      <c r="A6" s="42" t="s">
        <v>794</v>
      </c>
      <c r="B6" s="13" t="s">
        <v>2048</v>
      </c>
      <c r="C6" s="375" t="s">
        <v>2049</v>
      </c>
      <c r="D6" s="375"/>
      <c r="E6" s="13" t="s">
        <v>2050</v>
      </c>
      <c r="F6" s="45" t="s">
        <v>797</v>
      </c>
      <c r="G6" s="371" t="s">
        <v>284</v>
      </c>
      <c r="H6" s="371"/>
      <c r="I6" s="117" t="s">
        <v>797</v>
      </c>
      <c r="J6" s="13" t="s">
        <v>2051</v>
      </c>
      <c r="K6" s="248" t="s">
        <v>2050</v>
      </c>
      <c r="L6" s="45"/>
    </row>
    <row r="7" spans="1:17" ht="65.25" customHeight="1" x14ac:dyDescent="0.2">
      <c r="A7" s="42" t="s">
        <v>798</v>
      </c>
      <c r="B7" s="119" t="s">
        <v>797</v>
      </c>
      <c r="C7" s="434" t="s">
        <v>2052</v>
      </c>
      <c r="D7" s="435"/>
      <c r="E7" s="13" t="s">
        <v>2053</v>
      </c>
      <c r="F7" s="45" t="s">
        <v>797</v>
      </c>
      <c r="G7" s="371" t="s">
        <v>285</v>
      </c>
      <c r="H7" s="371"/>
      <c r="I7" s="13" t="s">
        <v>2048</v>
      </c>
      <c r="J7" s="248" t="s">
        <v>2049</v>
      </c>
      <c r="K7" s="95" t="s">
        <v>2050</v>
      </c>
      <c r="L7" s="45"/>
    </row>
    <row r="8" spans="1:17" ht="66" customHeight="1" x14ac:dyDescent="0.2">
      <c r="A8" s="257" t="s">
        <v>14</v>
      </c>
      <c r="B8" s="407" t="s">
        <v>15</v>
      </c>
      <c r="C8" s="408"/>
      <c r="D8" s="408"/>
      <c r="E8" s="409"/>
      <c r="F8" s="45" t="s">
        <v>797</v>
      </c>
      <c r="G8" s="371" t="s">
        <v>2047</v>
      </c>
      <c r="H8" s="371"/>
      <c r="I8" s="309" t="s">
        <v>797</v>
      </c>
      <c r="J8" s="248" t="s">
        <v>2051</v>
      </c>
      <c r="K8" s="95" t="s">
        <v>2050</v>
      </c>
      <c r="L8" s="45"/>
    </row>
    <row r="9" spans="1:17" s="40" customFormat="1" ht="66" customHeight="1" x14ac:dyDescent="0.2">
      <c r="A9" s="45" t="s">
        <v>797</v>
      </c>
      <c r="B9" s="45" t="s">
        <v>797</v>
      </c>
      <c r="C9" s="45" t="s">
        <v>797</v>
      </c>
      <c r="D9" s="45" t="s">
        <v>797</v>
      </c>
      <c r="E9" s="45" t="s">
        <v>797</v>
      </c>
      <c r="F9" s="45" t="s">
        <v>797</v>
      </c>
      <c r="G9" s="377" t="s">
        <v>2030</v>
      </c>
      <c r="H9" s="378"/>
      <c r="I9" s="250" t="s">
        <v>797</v>
      </c>
      <c r="J9" s="95" t="s">
        <v>2052</v>
      </c>
      <c r="K9" s="13" t="s">
        <v>2055</v>
      </c>
      <c r="L9" s="45"/>
      <c r="M9" s="342"/>
    </row>
    <row r="10" spans="1:17" s="40" customFormat="1" ht="27" customHeight="1" x14ac:dyDescent="0.2">
      <c r="A10" s="45" t="s">
        <v>797</v>
      </c>
      <c r="B10" s="45" t="s">
        <v>797</v>
      </c>
      <c r="C10" s="45" t="s">
        <v>797</v>
      </c>
      <c r="D10" s="45" t="s">
        <v>797</v>
      </c>
      <c r="E10" s="45" t="s">
        <v>797</v>
      </c>
      <c r="F10" s="45" t="s">
        <v>797</v>
      </c>
      <c r="G10" s="377" t="s">
        <v>14</v>
      </c>
      <c r="H10" s="378"/>
      <c r="I10" s="407" t="s">
        <v>15</v>
      </c>
      <c r="J10" s="408"/>
      <c r="K10" s="409"/>
      <c r="L10" s="45"/>
      <c r="M10" s="342"/>
    </row>
    <row r="11" spans="1:17" s="40" customFormat="1" ht="12.75" customHeight="1" x14ac:dyDescent="0.2">
      <c r="A11" s="45"/>
      <c r="B11" s="45"/>
      <c r="C11" s="45"/>
      <c r="D11" s="45"/>
      <c r="E11" s="45"/>
      <c r="F11" s="45"/>
      <c r="G11" s="45"/>
      <c r="H11" s="45"/>
      <c r="I11" s="45"/>
      <c r="J11" s="45"/>
      <c r="K11" s="45"/>
      <c r="L11" s="45"/>
      <c r="M11" s="342"/>
      <c r="N11" s="45"/>
      <c r="O11" s="45"/>
      <c r="P11" s="45"/>
      <c r="Q11" s="45"/>
    </row>
    <row r="12" spans="1:17" s="40" customFormat="1" ht="12.75" customHeight="1" x14ac:dyDescent="0.2">
      <c r="A12" s="45"/>
      <c r="B12" s="45"/>
      <c r="C12" s="45"/>
      <c r="D12" s="45"/>
      <c r="E12" s="45"/>
      <c r="F12" s="45"/>
      <c r="G12" s="45"/>
      <c r="H12" s="45"/>
      <c r="I12" s="45"/>
      <c r="J12" s="45"/>
      <c r="K12" s="45"/>
      <c r="L12" s="98"/>
      <c r="M12" s="342"/>
    </row>
    <row r="13" spans="1:17"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7" ht="30.2" customHeight="1" x14ac:dyDescent="0.2">
      <c r="A14" s="10" t="s">
        <v>674</v>
      </c>
      <c r="B14" s="332" t="s">
        <v>1130</v>
      </c>
      <c r="C14" s="311" t="s">
        <v>802</v>
      </c>
      <c r="D14" s="90">
        <v>12.718</v>
      </c>
      <c r="E14" s="91">
        <v>1.3540000000000001</v>
      </c>
      <c r="F14" s="92">
        <v>3.2000000000000001E-2</v>
      </c>
      <c r="G14" s="28">
        <v>21.26</v>
      </c>
      <c r="H14" s="29" t="s">
        <v>797</v>
      </c>
      <c r="I14" s="29" t="s">
        <v>797</v>
      </c>
      <c r="J14" s="26" t="s">
        <v>797</v>
      </c>
      <c r="K14" s="27"/>
    </row>
    <row r="15" spans="1:17" ht="30.2" customHeight="1" x14ac:dyDescent="0.2">
      <c r="A15" s="10" t="s">
        <v>495</v>
      </c>
      <c r="B15" s="332" t="s">
        <v>797</v>
      </c>
      <c r="C15" s="311" t="s">
        <v>2031</v>
      </c>
      <c r="D15" s="90">
        <v>12.718</v>
      </c>
      <c r="E15" s="91">
        <v>1.3540000000000001</v>
      </c>
      <c r="F15" s="92">
        <v>3.2000000000000001E-2</v>
      </c>
      <c r="G15" s="29" t="s">
        <v>797</v>
      </c>
      <c r="H15" s="29" t="s">
        <v>797</v>
      </c>
      <c r="I15" s="29" t="s">
        <v>797</v>
      </c>
      <c r="J15" s="26" t="s">
        <v>797</v>
      </c>
      <c r="K15" s="27"/>
    </row>
    <row r="16" spans="1:17" ht="30.2" customHeight="1" x14ac:dyDescent="0.2">
      <c r="A16" s="10" t="s">
        <v>675</v>
      </c>
      <c r="B16" s="332" t="s">
        <v>1131</v>
      </c>
      <c r="C16" s="311" t="s">
        <v>803</v>
      </c>
      <c r="D16" s="90">
        <v>14.08</v>
      </c>
      <c r="E16" s="91">
        <v>1.4990000000000001</v>
      </c>
      <c r="F16" s="92">
        <v>3.5000000000000003E-2</v>
      </c>
      <c r="G16" s="28">
        <v>7.97</v>
      </c>
      <c r="H16" s="29" t="s">
        <v>797</v>
      </c>
      <c r="I16" s="29" t="s">
        <v>797</v>
      </c>
      <c r="J16" s="26" t="s">
        <v>797</v>
      </c>
      <c r="K16" s="27"/>
    </row>
    <row r="17" spans="1:11" ht="30.2" customHeight="1" x14ac:dyDescent="0.2">
      <c r="A17" s="10" t="s">
        <v>676</v>
      </c>
      <c r="B17" s="332" t="s">
        <v>1132</v>
      </c>
      <c r="C17" s="311" t="s">
        <v>803</v>
      </c>
      <c r="D17" s="90">
        <v>14.08</v>
      </c>
      <c r="E17" s="91">
        <v>1.4990000000000001</v>
      </c>
      <c r="F17" s="92">
        <v>3.5000000000000003E-2</v>
      </c>
      <c r="G17" s="28">
        <v>27.63</v>
      </c>
      <c r="H17" s="29" t="s">
        <v>797</v>
      </c>
      <c r="I17" s="29" t="s">
        <v>797</v>
      </c>
      <c r="J17" s="26" t="s">
        <v>797</v>
      </c>
      <c r="K17" s="27"/>
    </row>
    <row r="18" spans="1:11" ht="30.2" customHeight="1" x14ac:dyDescent="0.2">
      <c r="A18" s="10" t="s">
        <v>677</v>
      </c>
      <c r="B18" s="332" t="s">
        <v>1133</v>
      </c>
      <c r="C18" s="311" t="s">
        <v>803</v>
      </c>
      <c r="D18" s="90">
        <v>14.08</v>
      </c>
      <c r="E18" s="91">
        <v>1.4990000000000001</v>
      </c>
      <c r="F18" s="92">
        <v>3.5000000000000003E-2</v>
      </c>
      <c r="G18" s="28">
        <v>49.26</v>
      </c>
      <c r="H18" s="29" t="s">
        <v>797</v>
      </c>
      <c r="I18" s="29" t="s">
        <v>797</v>
      </c>
      <c r="J18" s="26" t="s">
        <v>797</v>
      </c>
      <c r="K18" s="27"/>
    </row>
    <row r="19" spans="1:11" ht="30.2" customHeight="1" x14ac:dyDescent="0.2">
      <c r="A19" s="10" t="s">
        <v>678</v>
      </c>
      <c r="B19" s="332" t="s">
        <v>1134</v>
      </c>
      <c r="C19" s="311" t="s">
        <v>803</v>
      </c>
      <c r="D19" s="90">
        <v>14.08</v>
      </c>
      <c r="E19" s="91">
        <v>1.4990000000000001</v>
      </c>
      <c r="F19" s="92">
        <v>3.5000000000000003E-2</v>
      </c>
      <c r="G19" s="28">
        <v>90.08</v>
      </c>
      <c r="H19" s="29" t="s">
        <v>797</v>
      </c>
      <c r="I19" s="29" t="s">
        <v>797</v>
      </c>
      <c r="J19" s="26" t="s">
        <v>797</v>
      </c>
      <c r="K19" s="27"/>
    </row>
    <row r="20" spans="1:11" ht="30.2" customHeight="1" x14ac:dyDescent="0.2">
      <c r="A20" s="10" t="s">
        <v>679</v>
      </c>
      <c r="B20" s="332" t="s">
        <v>1135</v>
      </c>
      <c r="C20" s="311" t="s">
        <v>803</v>
      </c>
      <c r="D20" s="90">
        <v>14.08</v>
      </c>
      <c r="E20" s="91">
        <v>1.4990000000000001</v>
      </c>
      <c r="F20" s="92">
        <v>3.5000000000000003E-2</v>
      </c>
      <c r="G20" s="28">
        <v>243.09</v>
      </c>
      <c r="H20" s="29" t="s">
        <v>797</v>
      </c>
      <c r="I20" s="29" t="s">
        <v>797</v>
      </c>
      <c r="J20" s="26" t="s">
        <v>797</v>
      </c>
      <c r="K20" s="27"/>
    </row>
    <row r="21" spans="1:11" ht="30.2" customHeight="1" x14ac:dyDescent="0.2">
      <c r="A21" s="10" t="s">
        <v>476</v>
      </c>
      <c r="B21" s="332" t="s">
        <v>797</v>
      </c>
      <c r="C21" s="311" t="s">
        <v>2107</v>
      </c>
      <c r="D21" s="90">
        <v>14.08</v>
      </c>
      <c r="E21" s="91">
        <v>1.4990000000000001</v>
      </c>
      <c r="F21" s="92">
        <v>3.5000000000000003E-2</v>
      </c>
      <c r="G21" s="29" t="s">
        <v>797</v>
      </c>
      <c r="H21" s="29" t="s">
        <v>797</v>
      </c>
      <c r="I21" s="29" t="s">
        <v>797</v>
      </c>
      <c r="J21" s="26" t="s">
        <v>797</v>
      </c>
      <c r="K21" s="27"/>
    </row>
    <row r="22" spans="1:11" ht="30.2" customHeight="1" x14ac:dyDescent="0.2">
      <c r="A22" s="10" t="s">
        <v>496</v>
      </c>
      <c r="B22" s="332" t="s">
        <v>1136</v>
      </c>
      <c r="C22" s="311">
        <v>0</v>
      </c>
      <c r="D22" s="90">
        <v>10.304</v>
      </c>
      <c r="E22" s="91">
        <v>1.0189999999999999</v>
      </c>
      <c r="F22" s="92">
        <v>2.5000000000000001E-2</v>
      </c>
      <c r="G22" s="28">
        <v>26.68</v>
      </c>
      <c r="H22" s="28">
        <v>5.23</v>
      </c>
      <c r="I22" s="89">
        <v>5.23</v>
      </c>
      <c r="J22" s="25">
        <v>0.20399999999999999</v>
      </c>
      <c r="K22" s="27"/>
    </row>
    <row r="23" spans="1:11" ht="30.2" customHeight="1" x14ac:dyDescent="0.2">
      <c r="A23" s="10" t="s">
        <v>497</v>
      </c>
      <c r="B23" s="332" t="s">
        <v>1137</v>
      </c>
      <c r="C23" s="311">
        <v>0</v>
      </c>
      <c r="D23" s="90">
        <v>10.304</v>
      </c>
      <c r="E23" s="91">
        <v>1.0189999999999999</v>
      </c>
      <c r="F23" s="92">
        <v>2.5000000000000001E-2</v>
      </c>
      <c r="G23" s="28">
        <v>516.59</v>
      </c>
      <c r="H23" s="28">
        <v>5.23</v>
      </c>
      <c r="I23" s="89">
        <v>5.23</v>
      </c>
      <c r="J23" s="25">
        <v>0.20399999999999999</v>
      </c>
      <c r="K23" s="27"/>
    </row>
    <row r="24" spans="1:11" ht="30.2" customHeight="1" x14ac:dyDescent="0.2">
      <c r="A24" s="10" t="s">
        <v>498</v>
      </c>
      <c r="B24" s="332" t="s">
        <v>1138</v>
      </c>
      <c r="C24" s="311">
        <v>0</v>
      </c>
      <c r="D24" s="90">
        <v>10.304</v>
      </c>
      <c r="E24" s="91">
        <v>1.0189999999999999</v>
      </c>
      <c r="F24" s="92">
        <v>2.5000000000000001E-2</v>
      </c>
      <c r="G24" s="28">
        <v>842.76</v>
      </c>
      <c r="H24" s="28">
        <v>5.23</v>
      </c>
      <c r="I24" s="89">
        <v>5.23</v>
      </c>
      <c r="J24" s="25">
        <v>0.20399999999999999</v>
      </c>
      <c r="K24" s="27"/>
    </row>
    <row r="25" spans="1:11" ht="30.2" customHeight="1" x14ac:dyDescent="0.2">
      <c r="A25" s="10" t="s">
        <v>499</v>
      </c>
      <c r="B25" s="332" t="s">
        <v>1139</v>
      </c>
      <c r="C25" s="311">
        <v>0</v>
      </c>
      <c r="D25" s="90">
        <v>10.304</v>
      </c>
      <c r="E25" s="91">
        <v>1.0189999999999999</v>
      </c>
      <c r="F25" s="92">
        <v>2.5000000000000001E-2</v>
      </c>
      <c r="G25" s="28">
        <v>1402.55</v>
      </c>
      <c r="H25" s="28">
        <v>5.23</v>
      </c>
      <c r="I25" s="89">
        <v>5.23</v>
      </c>
      <c r="J25" s="25">
        <v>0.20399999999999999</v>
      </c>
      <c r="K25" s="27"/>
    </row>
    <row r="26" spans="1:11" ht="30.2" customHeight="1" x14ac:dyDescent="0.2">
      <c r="A26" s="10" t="s">
        <v>500</v>
      </c>
      <c r="B26" s="332" t="s">
        <v>1140</v>
      </c>
      <c r="C26" s="311">
        <v>0</v>
      </c>
      <c r="D26" s="90">
        <v>10.304</v>
      </c>
      <c r="E26" s="91">
        <v>1.0189999999999999</v>
      </c>
      <c r="F26" s="92">
        <v>2.5000000000000001E-2</v>
      </c>
      <c r="G26" s="28">
        <v>2959.75</v>
      </c>
      <c r="H26" s="28">
        <v>5.23</v>
      </c>
      <c r="I26" s="89">
        <v>5.23</v>
      </c>
      <c r="J26" s="25">
        <v>0.20399999999999999</v>
      </c>
      <c r="K26" s="27"/>
    </row>
    <row r="27" spans="1:11" ht="30.2" customHeight="1" x14ac:dyDescent="0.2">
      <c r="A27" s="10" t="s">
        <v>501</v>
      </c>
      <c r="B27" s="332" t="s">
        <v>1141</v>
      </c>
      <c r="C27" s="311">
        <v>0</v>
      </c>
      <c r="D27" s="90">
        <v>5.6740000000000004</v>
      </c>
      <c r="E27" s="91">
        <v>0.434</v>
      </c>
      <c r="F27" s="92">
        <v>1.2999999999999999E-2</v>
      </c>
      <c r="G27" s="28">
        <v>9.42</v>
      </c>
      <c r="H27" s="28">
        <v>7.35</v>
      </c>
      <c r="I27" s="89">
        <v>7.35</v>
      </c>
      <c r="J27" s="25">
        <v>9.2999999999999999E-2</v>
      </c>
      <c r="K27" s="27"/>
    </row>
    <row r="28" spans="1:11" ht="30.2" customHeight="1" x14ac:dyDescent="0.2">
      <c r="A28" s="10" t="s">
        <v>502</v>
      </c>
      <c r="B28" s="332" t="s">
        <v>1142</v>
      </c>
      <c r="C28" s="311">
        <v>0</v>
      </c>
      <c r="D28" s="90">
        <v>5.6740000000000004</v>
      </c>
      <c r="E28" s="91">
        <v>0.434</v>
      </c>
      <c r="F28" s="92">
        <v>1.2999999999999999E-2</v>
      </c>
      <c r="G28" s="28">
        <v>499.33</v>
      </c>
      <c r="H28" s="28">
        <v>7.35</v>
      </c>
      <c r="I28" s="89">
        <v>7.35</v>
      </c>
      <c r="J28" s="25">
        <v>9.2999999999999999E-2</v>
      </c>
      <c r="K28" s="27"/>
    </row>
    <row r="29" spans="1:11" ht="30.2" customHeight="1" x14ac:dyDescent="0.2">
      <c r="A29" s="10" t="s">
        <v>503</v>
      </c>
      <c r="B29" s="332" t="s">
        <v>1143</v>
      </c>
      <c r="C29" s="311">
        <v>0</v>
      </c>
      <c r="D29" s="90">
        <v>5.6740000000000004</v>
      </c>
      <c r="E29" s="91">
        <v>0.434</v>
      </c>
      <c r="F29" s="92">
        <v>1.2999999999999999E-2</v>
      </c>
      <c r="G29" s="28">
        <v>825.49</v>
      </c>
      <c r="H29" s="28">
        <v>7.35</v>
      </c>
      <c r="I29" s="89">
        <v>7.35</v>
      </c>
      <c r="J29" s="25">
        <v>9.2999999999999999E-2</v>
      </c>
      <c r="K29" s="27"/>
    </row>
    <row r="30" spans="1:11" ht="30.2" customHeight="1" x14ac:dyDescent="0.2">
      <c r="A30" s="10" t="s">
        <v>504</v>
      </c>
      <c r="B30" s="332" t="s">
        <v>1144</v>
      </c>
      <c r="C30" s="311">
        <v>0</v>
      </c>
      <c r="D30" s="90">
        <v>5.6740000000000004</v>
      </c>
      <c r="E30" s="91">
        <v>0.434</v>
      </c>
      <c r="F30" s="92">
        <v>1.2999999999999999E-2</v>
      </c>
      <c r="G30" s="28">
        <v>1385.29</v>
      </c>
      <c r="H30" s="28">
        <v>7.35</v>
      </c>
      <c r="I30" s="89">
        <v>7.35</v>
      </c>
      <c r="J30" s="25">
        <v>9.2999999999999999E-2</v>
      </c>
      <c r="K30" s="27"/>
    </row>
    <row r="31" spans="1:11" ht="30.2" customHeight="1" x14ac:dyDescent="0.2">
      <c r="A31" s="10" t="s">
        <v>505</v>
      </c>
      <c r="B31" s="332" t="s">
        <v>1145</v>
      </c>
      <c r="C31" s="311">
        <v>0</v>
      </c>
      <c r="D31" s="90">
        <v>5.6740000000000004</v>
      </c>
      <c r="E31" s="91">
        <v>0.434</v>
      </c>
      <c r="F31" s="92">
        <v>1.2999999999999999E-2</v>
      </c>
      <c r="G31" s="28">
        <v>2942.49</v>
      </c>
      <c r="H31" s="28">
        <v>7.35</v>
      </c>
      <c r="I31" s="89">
        <v>7.35</v>
      </c>
      <c r="J31" s="25">
        <v>9.2999999999999999E-2</v>
      </c>
      <c r="K31" s="27"/>
    </row>
    <row r="32" spans="1:11" ht="30.2" customHeight="1" x14ac:dyDescent="0.2">
      <c r="A32" s="10" t="s">
        <v>506</v>
      </c>
      <c r="B32" s="332" t="s">
        <v>1146</v>
      </c>
      <c r="C32" s="311">
        <v>0</v>
      </c>
      <c r="D32" s="90">
        <v>4.0810000000000004</v>
      </c>
      <c r="E32" s="91">
        <v>0.26800000000000002</v>
      </c>
      <c r="F32" s="92">
        <v>8.9999999999999993E-3</v>
      </c>
      <c r="G32" s="28">
        <v>142.56</v>
      </c>
      <c r="H32" s="28">
        <v>8.75</v>
      </c>
      <c r="I32" s="89">
        <v>8.75</v>
      </c>
      <c r="J32" s="25">
        <v>5.8000000000000003E-2</v>
      </c>
      <c r="K32" s="27"/>
    </row>
    <row r="33" spans="1:11" ht="30.2" customHeight="1" x14ac:dyDescent="0.2">
      <c r="A33" s="10" t="s">
        <v>507</v>
      </c>
      <c r="B33" s="332" t="s">
        <v>1147</v>
      </c>
      <c r="C33" s="311">
        <v>0</v>
      </c>
      <c r="D33" s="90">
        <v>4.0810000000000004</v>
      </c>
      <c r="E33" s="91">
        <v>0.26800000000000002</v>
      </c>
      <c r="F33" s="92">
        <v>8.9999999999999993E-3</v>
      </c>
      <c r="G33" s="28">
        <v>2509.4699999999998</v>
      </c>
      <c r="H33" s="28">
        <v>8.75</v>
      </c>
      <c r="I33" s="89">
        <v>8.75</v>
      </c>
      <c r="J33" s="25">
        <v>5.8000000000000003E-2</v>
      </c>
      <c r="K33" s="27"/>
    </row>
    <row r="34" spans="1:11" ht="30.2" customHeight="1" x14ac:dyDescent="0.2">
      <c r="A34" s="10" t="s">
        <v>508</v>
      </c>
      <c r="B34" s="332" t="s">
        <v>1148</v>
      </c>
      <c r="C34" s="311">
        <v>0</v>
      </c>
      <c r="D34" s="90">
        <v>4.0810000000000004</v>
      </c>
      <c r="E34" s="91">
        <v>0.26800000000000002</v>
      </c>
      <c r="F34" s="92">
        <v>8.9999999999999993E-3</v>
      </c>
      <c r="G34" s="28">
        <v>7691</v>
      </c>
      <c r="H34" s="28">
        <v>8.75</v>
      </c>
      <c r="I34" s="89">
        <v>8.75</v>
      </c>
      <c r="J34" s="25">
        <v>5.8000000000000003E-2</v>
      </c>
      <c r="K34" s="27"/>
    </row>
    <row r="35" spans="1:11" ht="30.2" customHeight="1" x14ac:dyDescent="0.2">
      <c r="A35" s="10" t="s">
        <v>509</v>
      </c>
      <c r="B35" s="332" t="s">
        <v>1149</v>
      </c>
      <c r="C35" s="311">
        <v>0</v>
      </c>
      <c r="D35" s="90">
        <v>4.0810000000000004</v>
      </c>
      <c r="E35" s="91">
        <v>0.26800000000000002</v>
      </c>
      <c r="F35" s="92">
        <v>8.9999999999999993E-3</v>
      </c>
      <c r="G35" s="28">
        <v>15407.03</v>
      </c>
      <c r="H35" s="28">
        <v>8.75</v>
      </c>
      <c r="I35" s="89">
        <v>8.75</v>
      </c>
      <c r="J35" s="25">
        <v>5.8000000000000003E-2</v>
      </c>
      <c r="K35" s="27"/>
    </row>
    <row r="36" spans="1:11" ht="30.2" customHeight="1" x14ac:dyDescent="0.2">
      <c r="A36" s="10" t="s">
        <v>510</v>
      </c>
      <c r="B36" s="332" t="s">
        <v>1150</v>
      </c>
      <c r="C36" s="311">
        <v>0</v>
      </c>
      <c r="D36" s="90">
        <v>4.0810000000000004</v>
      </c>
      <c r="E36" s="91">
        <v>0.26800000000000002</v>
      </c>
      <c r="F36" s="92">
        <v>8.9999999999999993E-3</v>
      </c>
      <c r="G36" s="28">
        <v>40347.21</v>
      </c>
      <c r="H36" s="28">
        <v>8.75</v>
      </c>
      <c r="I36" s="89">
        <v>8.75</v>
      </c>
      <c r="J36" s="25">
        <v>5.8000000000000003E-2</v>
      </c>
      <c r="K36" s="27"/>
    </row>
    <row r="37" spans="1:11" ht="30.2" customHeight="1" x14ac:dyDescent="0.2">
      <c r="A37" s="10" t="s">
        <v>477</v>
      </c>
      <c r="B37" s="332" t="s">
        <v>1151</v>
      </c>
      <c r="C37" s="311" t="s">
        <v>804</v>
      </c>
      <c r="D37" s="93">
        <v>36.247</v>
      </c>
      <c r="E37" s="94">
        <v>3.4870000000000001</v>
      </c>
      <c r="F37" s="92">
        <v>2.343</v>
      </c>
      <c r="G37" s="29" t="s">
        <v>797</v>
      </c>
      <c r="H37" s="29" t="s">
        <v>797</v>
      </c>
      <c r="I37" s="29" t="s">
        <v>797</v>
      </c>
      <c r="J37" s="26" t="s">
        <v>797</v>
      </c>
      <c r="K37" s="27"/>
    </row>
    <row r="38" spans="1:11" ht="30.2" customHeight="1" x14ac:dyDescent="0.2">
      <c r="A38" s="10" t="s">
        <v>666</v>
      </c>
      <c r="B38" s="332" t="s">
        <v>1152</v>
      </c>
      <c r="C38" s="311">
        <v>0</v>
      </c>
      <c r="D38" s="90">
        <v>-9.1110000000000007</v>
      </c>
      <c r="E38" s="91">
        <v>-0.97</v>
      </c>
      <c r="F38" s="92">
        <v>-2.3E-2</v>
      </c>
      <c r="G38" s="28" t="s">
        <v>797</v>
      </c>
      <c r="H38" s="29" t="s">
        <v>797</v>
      </c>
      <c r="I38" s="29" t="s">
        <v>797</v>
      </c>
      <c r="J38" s="26" t="s">
        <v>797</v>
      </c>
      <c r="K38" s="27"/>
    </row>
    <row r="39" spans="1:11" ht="30.2" customHeight="1" x14ac:dyDescent="0.2">
      <c r="A39" s="10" t="s">
        <v>667</v>
      </c>
      <c r="B39" s="332" t="s">
        <v>1153</v>
      </c>
      <c r="C39" s="311">
        <v>0</v>
      </c>
      <c r="D39" s="90">
        <v>-7.7439999999999998</v>
      </c>
      <c r="E39" s="91">
        <v>-0.79400000000000004</v>
      </c>
      <c r="F39" s="92">
        <v>-1.9E-2</v>
      </c>
      <c r="G39" s="28" t="s">
        <v>797</v>
      </c>
      <c r="H39" s="29" t="s">
        <v>797</v>
      </c>
      <c r="I39" s="29" t="s">
        <v>797</v>
      </c>
      <c r="J39" s="26" t="s">
        <v>797</v>
      </c>
      <c r="K39" s="27"/>
    </row>
    <row r="40" spans="1:11" ht="30.2" customHeight="1" x14ac:dyDescent="0.2">
      <c r="A40" s="10" t="s">
        <v>668</v>
      </c>
      <c r="B40" s="332" t="s">
        <v>1154</v>
      </c>
      <c r="C40" s="311">
        <v>0</v>
      </c>
      <c r="D40" s="90">
        <v>-9.1110000000000007</v>
      </c>
      <c r="E40" s="91">
        <v>-0.97</v>
      </c>
      <c r="F40" s="92">
        <v>-2.3E-2</v>
      </c>
      <c r="G40" s="28" t="s">
        <v>797</v>
      </c>
      <c r="H40" s="29" t="s">
        <v>797</v>
      </c>
      <c r="I40" s="29" t="s">
        <v>797</v>
      </c>
      <c r="J40" s="25">
        <v>0.20300000000000001</v>
      </c>
      <c r="K40" s="27"/>
    </row>
    <row r="41" spans="1:11" ht="30.2" customHeight="1" x14ac:dyDescent="0.2">
      <c r="A41" s="10" t="s">
        <v>669</v>
      </c>
      <c r="B41" s="332" t="s">
        <v>797</v>
      </c>
      <c r="C41" s="311">
        <v>0</v>
      </c>
      <c r="D41" s="90">
        <v>-9.1110000000000007</v>
      </c>
      <c r="E41" s="91">
        <v>-0.97</v>
      </c>
      <c r="F41" s="92">
        <v>-2.3E-2</v>
      </c>
      <c r="G41" s="28" t="s">
        <v>797</v>
      </c>
      <c r="H41" s="29" t="s">
        <v>797</v>
      </c>
      <c r="I41" s="29" t="s">
        <v>797</v>
      </c>
      <c r="J41" s="26" t="s">
        <v>797</v>
      </c>
      <c r="K41" s="27"/>
    </row>
    <row r="42" spans="1:11" ht="30.2" customHeight="1" x14ac:dyDescent="0.2">
      <c r="A42" s="10" t="s">
        <v>670</v>
      </c>
      <c r="B42" s="332" t="s">
        <v>797</v>
      </c>
      <c r="C42" s="311">
        <v>0</v>
      </c>
      <c r="D42" s="90">
        <v>-7.7439999999999998</v>
      </c>
      <c r="E42" s="91">
        <v>-0.79400000000000004</v>
      </c>
      <c r="F42" s="92">
        <v>-1.9E-2</v>
      </c>
      <c r="G42" s="28" t="s">
        <v>797</v>
      </c>
      <c r="H42" s="29" t="s">
        <v>797</v>
      </c>
      <c r="I42" s="29" t="s">
        <v>797</v>
      </c>
      <c r="J42" s="25">
        <v>0.16</v>
      </c>
      <c r="K42" s="27"/>
    </row>
    <row r="43" spans="1:11" ht="30.2" customHeight="1" x14ac:dyDescent="0.2">
      <c r="A43" s="10" t="s">
        <v>671</v>
      </c>
      <c r="B43" s="332" t="s">
        <v>797</v>
      </c>
      <c r="C43" s="311">
        <v>0</v>
      </c>
      <c r="D43" s="90">
        <v>-7.7439999999999998</v>
      </c>
      <c r="E43" s="91">
        <v>-0.79400000000000004</v>
      </c>
      <c r="F43" s="92">
        <v>-1.9E-2</v>
      </c>
      <c r="G43" s="28" t="s">
        <v>797</v>
      </c>
      <c r="H43" s="29" t="s">
        <v>797</v>
      </c>
      <c r="I43" s="29" t="s">
        <v>797</v>
      </c>
      <c r="J43" s="26" t="s">
        <v>797</v>
      </c>
      <c r="K43" s="27"/>
    </row>
    <row r="44" spans="1:11" ht="30.2" customHeight="1" x14ac:dyDescent="0.2">
      <c r="A44" s="10" t="s">
        <v>672</v>
      </c>
      <c r="B44" s="332" t="s">
        <v>1155</v>
      </c>
      <c r="C44" s="311">
        <v>0</v>
      </c>
      <c r="D44" s="90">
        <v>-4.9379999999999997</v>
      </c>
      <c r="E44" s="91">
        <v>-0.377</v>
      </c>
      <c r="F44" s="92">
        <v>-1.0999999999999999E-2</v>
      </c>
      <c r="G44" s="28">
        <v>104.1</v>
      </c>
      <c r="H44" s="29" t="s">
        <v>797</v>
      </c>
      <c r="I44" s="29" t="s">
        <v>797</v>
      </c>
      <c r="J44" s="25">
        <v>0.14000000000000001</v>
      </c>
      <c r="K44" s="27"/>
    </row>
    <row r="45" spans="1:11" ht="30.2" customHeight="1" x14ac:dyDescent="0.2">
      <c r="A45" s="10" t="s">
        <v>673</v>
      </c>
      <c r="B45" s="332" t="s">
        <v>797</v>
      </c>
      <c r="C45" s="311">
        <v>0</v>
      </c>
      <c r="D45" s="90">
        <v>-4.9379999999999997</v>
      </c>
      <c r="E45" s="91">
        <v>-0.377</v>
      </c>
      <c r="F45" s="92">
        <v>-1.0999999999999999E-2</v>
      </c>
      <c r="G45" s="28">
        <v>104.1</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charges_N'; based on connection level, credits may therefore be lower than stated above.</v>
      </c>
    </row>
    <row r="47" spans="1:11" ht="27.75" customHeight="1" x14ac:dyDescent="0.2">
      <c r="A47" s="330" t="s">
        <v>429</v>
      </c>
    </row>
  </sheetData>
  <mergeCells count="15">
    <mergeCell ref="G10:H10"/>
    <mergeCell ref="I10:K10"/>
    <mergeCell ref="E1:K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EF9865D4-00B5-4327-847B-3B443B4D87A6}"/>
    <hyperlink ref="A47" location="'Annex 4 LDNO charges_N'!A1" display="Annex 4 LDNO charges_N" xr:uid="{E741539C-39E1-4C91-B132-0491B7BDBE47}"/>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35ED-718B-4A79-8387-704EC18BF729}">
  <sheetPr>
    <pageSetUpPr fitToPage="1"/>
  </sheetPr>
  <dimension ref="A1:T53"/>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20" ht="27.75" customHeight="1" x14ac:dyDescent="0.2">
      <c r="A1" s="31" t="s">
        <v>19</v>
      </c>
      <c r="B1" s="45"/>
      <c r="C1" s="45"/>
      <c r="D1" s="45"/>
      <c r="E1" s="383" t="s">
        <v>367</v>
      </c>
      <c r="F1" s="383"/>
      <c r="G1" s="383"/>
      <c r="H1" s="383"/>
      <c r="I1" s="383"/>
      <c r="J1" s="383"/>
      <c r="K1" s="383"/>
      <c r="L1" s="241"/>
      <c r="M1" s="340"/>
    </row>
    <row r="2" spans="1:20" ht="27" customHeight="1" x14ac:dyDescent="0.2">
      <c r="A2" s="384" t="str">
        <f>Overview!B4&amp;" - Effective from "&amp;TEXT(Overview!$D$4,"d mmmm yyyy")&amp;" - Final LV and HV charges in SSE SHEPD Area (GSP Group_P)"</f>
        <v>Leep Electricity Networks Limited - Effective from 1 April 2027 - Final LV and HV charges in SSE SHEPD Area (GSP Group_P)</v>
      </c>
      <c r="B2" s="384"/>
      <c r="C2" s="384"/>
      <c r="D2" s="384"/>
      <c r="E2" s="384"/>
      <c r="F2" s="384"/>
      <c r="G2" s="384"/>
      <c r="H2" s="384"/>
      <c r="I2" s="384"/>
      <c r="J2" s="384"/>
      <c r="K2" s="384"/>
    </row>
    <row r="3" spans="1:20" s="40" customFormat="1" ht="15" customHeight="1" x14ac:dyDescent="0.2">
      <c r="A3" s="45"/>
      <c r="B3" s="45"/>
      <c r="C3" s="45"/>
      <c r="D3" s="45"/>
      <c r="E3" s="45"/>
      <c r="F3" s="45"/>
      <c r="G3" s="45"/>
      <c r="H3" s="45"/>
      <c r="I3" s="45"/>
      <c r="J3" s="45"/>
      <c r="K3" s="45"/>
      <c r="L3" s="98"/>
      <c r="M3" s="342"/>
    </row>
    <row r="4" spans="1:20" ht="27" customHeight="1" x14ac:dyDescent="0.2">
      <c r="A4" s="384" t="s">
        <v>290</v>
      </c>
      <c r="B4" s="384"/>
      <c r="C4" s="384"/>
      <c r="D4" s="384"/>
      <c r="E4" s="384"/>
      <c r="F4" s="45"/>
      <c r="G4" s="384" t="s">
        <v>289</v>
      </c>
      <c r="H4" s="384"/>
      <c r="I4" s="384"/>
      <c r="J4" s="384"/>
      <c r="K4" s="384"/>
      <c r="N4" s="399"/>
      <c r="O4" s="400"/>
      <c r="P4" s="400"/>
      <c r="Q4" s="400"/>
      <c r="R4" s="400"/>
      <c r="S4" s="400"/>
      <c r="T4" s="401"/>
    </row>
    <row r="5" spans="1:20" ht="28.5" customHeight="1" x14ac:dyDescent="0.2">
      <c r="A5" s="39" t="s">
        <v>13</v>
      </c>
      <c r="B5" s="256" t="s">
        <v>281</v>
      </c>
      <c r="C5" s="379" t="s">
        <v>282</v>
      </c>
      <c r="D5" s="380"/>
      <c r="E5" s="41" t="s">
        <v>283</v>
      </c>
      <c r="F5" s="45"/>
      <c r="G5" s="381"/>
      <c r="H5" s="382"/>
      <c r="I5" s="43" t="s">
        <v>287</v>
      </c>
      <c r="J5" s="44" t="s">
        <v>288</v>
      </c>
      <c r="K5" s="41" t="s">
        <v>283</v>
      </c>
      <c r="L5" s="45"/>
      <c r="N5" s="400"/>
      <c r="O5" s="400"/>
      <c r="P5" s="400"/>
      <c r="Q5" s="400"/>
      <c r="R5" s="400"/>
      <c r="S5" s="400"/>
      <c r="T5" s="401"/>
    </row>
    <row r="6" spans="1:20" ht="65.25" customHeight="1" x14ac:dyDescent="0.2">
      <c r="A6" s="42" t="s">
        <v>794</v>
      </c>
      <c r="B6" s="13" t="s">
        <v>370</v>
      </c>
      <c r="C6" s="376" t="s">
        <v>797</v>
      </c>
      <c r="D6" s="376"/>
      <c r="E6" s="250" t="s">
        <v>797</v>
      </c>
      <c r="F6" s="45" t="s">
        <v>797</v>
      </c>
      <c r="G6" s="417" t="s">
        <v>800</v>
      </c>
      <c r="H6" s="417"/>
      <c r="I6" s="250" t="s">
        <v>797</v>
      </c>
      <c r="J6" s="248" t="s">
        <v>2108</v>
      </c>
      <c r="K6" s="250" t="s">
        <v>797</v>
      </c>
      <c r="L6" s="45"/>
    </row>
    <row r="7" spans="1:20" ht="65.25" customHeight="1" x14ac:dyDescent="0.2">
      <c r="A7" s="42" t="s">
        <v>794</v>
      </c>
      <c r="B7" s="250" t="s">
        <v>797</v>
      </c>
      <c r="C7" s="391" t="s">
        <v>2109</v>
      </c>
      <c r="D7" s="393"/>
      <c r="E7" s="250" t="s">
        <v>797</v>
      </c>
      <c r="F7" s="45" t="s">
        <v>797</v>
      </c>
      <c r="G7" s="417" t="s">
        <v>285</v>
      </c>
      <c r="H7" s="417"/>
      <c r="I7" s="248" t="s">
        <v>370</v>
      </c>
      <c r="J7" s="248" t="s">
        <v>2109</v>
      </c>
      <c r="K7" s="250" t="s">
        <v>797</v>
      </c>
      <c r="L7" s="45"/>
    </row>
    <row r="8" spans="1:20" ht="42.75" customHeight="1" x14ac:dyDescent="0.2">
      <c r="A8" s="42" t="s">
        <v>794</v>
      </c>
      <c r="B8" s="250" t="s">
        <v>797</v>
      </c>
      <c r="C8" s="376" t="s">
        <v>797</v>
      </c>
      <c r="D8" s="376"/>
      <c r="E8" s="95" t="s">
        <v>2110</v>
      </c>
      <c r="F8" s="45" t="s">
        <v>797</v>
      </c>
      <c r="G8" s="417" t="s">
        <v>2078</v>
      </c>
      <c r="H8" s="417"/>
      <c r="I8" s="250" t="s">
        <v>797</v>
      </c>
      <c r="J8" s="250" t="s">
        <v>797</v>
      </c>
      <c r="K8" s="95" t="s">
        <v>2110</v>
      </c>
      <c r="L8" s="45"/>
    </row>
    <row r="9" spans="1:20" ht="42.75" customHeight="1" x14ac:dyDescent="0.2">
      <c r="A9" s="272" t="s">
        <v>798</v>
      </c>
      <c r="B9" s="250" t="s">
        <v>797</v>
      </c>
      <c r="C9" s="421" t="s">
        <v>2111</v>
      </c>
      <c r="D9" s="421"/>
      <c r="E9" s="95" t="s">
        <v>2112</v>
      </c>
      <c r="F9" s="45" t="s">
        <v>797</v>
      </c>
      <c r="G9" s="417" t="s">
        <v>2030</v>
      </c>
      <c r="H9" s="417"/>
      <c r="I9" s="250" t="s">
        <v>797</v>
      </c>
      <c r="J9" s="248" t="s">
        <v>2111</v>
      </c>
      <c r="K9" s="95" t="s">
        <v>2112</v>
      </c>
      <c r="L9" s="45"/>
      <c r="M9" s="342"/>
    </row>
    <row r="10" spans="1:20" s="40" customFormat="1" ht="27" customHeight="1" x14ac:dyDescent="0.2">
      <c r="A10" s="257" t="s">
        <v>14</v>
      </c>
      <c r="B10" s="407" t="s">
        <v>15</v>
      </c>
      <c r="C10" s="408"/>
      <c r="D10" s="408"/>
      <c r="E10" s="409"/>
      <c r="F10" s="45" t="s">
        <v>797</v>
      </c>
      <c r="G10" s="417" t="s">
        <v>14</v>
      </c>
      <c r="H10" s="417"/>
      <c r="I10" s="422" t="s">
        <v>15</v>
      </c>
      <c r="J10" s="422"/>
      <c r="K10" s="422"/>
      <c r="L10" s="45"/>
      <c r="M10" s="342"/>
    </row>
    <row r="11" spans="1:20" s="40" customFormat="1" ht="13.5" customHeight="1" x14ac:dyDescent="0.2">
      <c r="A11" s="294"/>
      <c r="B11" s="49"/>
      <c r="C11" s="49"/>
      <c r="D11" s="49"/>
      <c r="E11" s="49"/>
      <c r="F11" s="45"/>
      <c r="G11" s="48"/>
      <c r="H11" s="48"/>
      <c r="I11" s="49"/>
      <c r="J11" s="49"/>
      <c r="K11" s="49"/>
      <c r="L11" s="45"/>
      <c r="M11" s="342"/>
    </row>
    <row r="12" spans="1:20" s="40" customFormat="1" ht="13.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1156</v>
      </c>
      <c r="C14" s="311" t="s">
        <v>802</v>
      </c>
      <c r="D14" s="90">
        <v>13.849</v>
      </c>
      <c r="E14" s="91">
        <v>5.0359999999999996</v>
      </c>
      <c r="F14" s="92">
        <v>1.073</v>
      </c>
      <c r="G14" s="28">
        <v>16.170000000000002</v>
      </c>
      <c r="H14" s="29" t="s">
        <v>797</v>
      </c>
      <c r="I14" s="29" t="s">
        <v>797</v>
      </c>
      <c r="J14" s="26" t="s">
        <v>797</v>
      </c>
      <c r="K14" s="27"/>
    </row>
    <row r="15" spans="1:20" ht="30.2" customHeight="1" x14ac:dyDescent="0.2">
      <c r="A15" s="10" t="s">
        <v>495</v>
      </c>
      <c r="B15" s="332" t="s">
        <v>797</v>
      </c>
      <c r="C15" s="311">
        <v>2</v>
      </c>
      <c r="D15" s="90">
        <v>13.849</v>
      </c>
      <c r="E15" s="91">
        <v>5.0359999999999996</v>
      </c>
      <c r="F15" s="92">
        <v>1.073</v>
      </c>
      <c r="G15" s="29" t="s">
        <v>797</v>
      </c>
      <c r="H15" s="29" t="s">
        <v>797</v>
      </c>
      <c r="I15" s="29" t="s">
        <v>797</v>
      </c>
      <c r="J15" s="26" t="s">
        <v>797</v>
      </c>
      <c r="K15" s="27"/>
    </row>
    <row r="16" spans="1:20" ht="30.2" customHeight="1" x14ac:dyDescent="0.2">
      <c r="A16" s="10" t="s">
        <v>675</v>
      </c>
      <c r="B16" s="332" t="s">
        <v>1157</v>
      </c>
      <c r="C16" s="311" t="s">
        <v>803</v>
      </c>
      <c r="D16" s="90">
        <v>15.433</v>
      </c>
      <c r="E16" s="91">
        <v>5.6120000000000001</v>
      </c>
      <c r="F16" s="92">
        <v>1.196</v>
      </c>
      <c r="G16" s="28">
        <v>23.78</v>
      </c>
      <c r="H16" s="29" t="s">
        <v>797</v>
      </c>
      <c r="I16" s="29" t="s">
        <v>797</v>
      </c>
      <c r="J16" s="26" t="s">
        <v>797</v>
      </c>
      <c r="K16" s="27"/>
    </row>
    <row r="17" spans="1:13" ht="30.2" customHeight="1" x14ac:dyDescent="0.2">
      <c r="A17" s="10" t="s">
        <v>676</v>
      </c>
      <c r="B17" s="332" t="s">
        <v>1158</v>
      </c>
      <c r="C17" s="311" t="s">
        <v>803</v>
      </c>
      <c r="D17" s="90">
        <v>15.433</v>
      </c>
      <c r="E17" s="91">
        <v>5.6120000000000001</v>
      </c>
      <c r="F17" s="92">
        <v>1.196</v>
      </c>
      <c r="G17" s="28">
        <v>22.72</v>
      </c>
      <c r="H17" s="29" t="s">
        <v>797</v>
      </c>
      <c r="I17" s="29" t="s">
        <v>797</v>
      </c>
      <c r="J17" s="26" t="s">
        <v>797</v>
      </c>
      <c r="K17" s="27"/>
    </row>
    <row r="18" spans="1:13" ht="30.2" customHeight="1" x14ac:dyDescent="0.2">
      <c r="A18" s="10" t="s">
        <v>677</v>
      </c>
      <c r="B18" s="332" t="s">
        <v>1159</v>
      </c>
      <c r="C18" s="311" t="s">
        <v>803</v>
      </c>
      <c r="D18" s="90">
        <v>15.433</v>
      </c>
      <c r="E18" s="91">
        <v>5.6120000000000001</v>
      </c>
      <c r="F18" s="92">
        <v>1.196</v>
      </c>
      <c r="G18" s="28">
        <v>18.34</v>
      </c>
      <c r="H18" s="29" t="s">
        <v>797</v>
      </c>
      <c r="I18" s="29" t="s">
        <v>797</v>
      </c>
      <c r="J18" s="26" t="s">
        <v>797</v>
      </c>
      <c r="K18" s="27"/>
    </row>
    <row r="19" spans="1:13" s="3" customFormat="1" ht="30.2" customHeight="1" x14ac:dyDescent="0.2">
      <c r="A19" s="10" t="s">
        <v>678</v>
      </c>
      <c r="B19" s="332" t="s">
        <v>1160</v>
      </c>
      <c r="C19" s="311" t="s">
        <v>803</v>
      </c>
      <c r="D19" s="90">
        <v>15.433</v>
      </c>
      <c r="E19" s="91">
        <v>5.6120000000000001</v>
      </c>
      <c r="F19" s="92">
        <v>1.196</v>
      </c>
      <c r="G19" s="28">
        <v>11.4</v>
      </c>
      <c r="H19" s="29" t="s">
        <v>797</v>
      </c>
      <c r="I19" s="29" t="s">
        <v>797</v>
      </c>
      <c r="J19" s="26" t="s">
        <v>797</v>
      </c>
      <c r="K19" s="27"/>
      <c r="L19" s="97"/>
      <c r="M19" s="341"/>
    </row>
    <row r="20" spans="1:13" s="3" customFormat="1" ht="30.2" customHeight="1" x14ac:dyDescent="0.2">
      <c r="A20" s="10" t="s">
        <v>679</v>
      </c>
      <c r="B20" s="332" t="s">
        <v>1161</v>
      </c>
      <c r="C20" s="311" t="s">
        <v>803</v>
      </c>
      <c r="D20" s="90">
        <v>15.347</v>
      </c>
      <c r="E20" s="91">
        <v>5.5250000000000004</v>
      </c>
      <c r="F20" s="92">
        <v>1.109</v>
      </c>
      <c r="G20" s="28" t="s">
        <v>797</v>
      </c>
      <c r="H20" s="29" t="s">
        <v>797</v>
      </c>
      <c r="I20" s="29" t="s">
        <v>797</v>
      </c>
      <c r="J20" s="26" t="s">
        <v>797</v>
      </c>
      <c r="K20" s="27"/>
      <c r="L20" s="97"/>
      <c r="M20" s="341"/>
    </row>
    <row r="21" spans="1:13" s="3" customFormat="1" ht="30.2" customHeight="1" x14ac:dyDescent="0.2">
      <c r="A21" s="10" t="s">
        <v>476</v>
      </c>
      <c r="B21" s="332" t="s">
        <v>797</v>
      </c>
      <c r="C21" s="311">
        <v>4</v>
      </c>
      <c r="D21" s="90">
        <v>15.433</v>
      </c>
      <c r="E21" s="91">
        <v>5.6120000000000001</v>
      </c>
      <c r="F21" s="92">
        <v>1.196</v>
      </c>
      <c r="G21" s="29" t="s">
        <v>797</v>
      </c>
      <c r="H21" s="29" t="s">
        <v>797</v>
      </c>
      <c r="I21" s="29" t="s">
        <v>797</v>
      </c>
      <c r="J21" s="26" t="s">
        <v>797</v>
      </c>
      <c r="K21" s="27"/>
      <c r="L21" s="97"/>
      <c r="M21" s="341"/>
    </row>
    <row r="22" spans="1:13" s="3" customFormat="1" ht="30.2" customHeight="1" x14ac:dyDescent="0.2">
      <c r="A22" s="10" t="s">
        <v>496</v>
      </c>
      <c r="B22" s="332" t="s">
        <v>1162</v>
      </c>
      <c r="C22" s="311">
        <v>0</v>
      </c>
      <c r="D22" s="90">
        <v>9.0060000000000002</v>
      </c>
      <c r="E22" s="91">
        <v>3.1230000000000002</v>
      </c>
      <c r="F22" s="92">
        <v>0.749</v>
      </c>
      <c r="G22" s="28">
        <v>52.17</v>
      </c>
      <c r="H22" s="28">
        <v>16.670000000000002</v>
      </c>
      <c r="I22" s="89">
        <v>16.670000000000002</v>
      </c>
      <c r="J22" s="25">
        <v>0.49199999999999999</v>
      </c>
      <c r="K22" s="27"/>
      <c r="L22" s="97"/>
      <c r="M22" s="341"/>
    </row>
    <row r="23" spans="1:13" s="3" customFormat="1" ht="30.2" customHeight="1" x14ac:dyDescent="0.2">
      <c r="A23" s="10" t="s">
        <v>497</v>
      </c>
      <c r="B23" s="332" t="s">
        <v>1163</v>
      </c>
      <c r="C23" s="311">
        <v>0</v>
      </c>
      <c r="D23" s="90">
        <v>8.9710000000000001</v>
      </c>
      <c r="E23" s="91">
        <v>3.0880000000000001</v>
      </c>
      <c r="F23" s="92">
        <v>0.71399999999999997</v>
      </c>
      <c r="G23" s="28" t="s">
        <v>797</v>
      </c>
      <c r="H23" s="28">
        <v>16.670000000000002</v>
      </c>
      <c r="I23" s="89">
        <v>16.670000000000002</v>
      </c>
      <c r="J23" s="25">
        <v>0.49199999999999999</v>
      </c>
      <c r="K23" s="27"/>
      <c r="L23" s="97"/>
      <c r="M23" s="341"/>
    </row>
    <row r="24" spans="1:13" s="3" customFormat="1" ht="30.2" customHeight="1" x14ac:dyDescent="0.2">
      <c r="A24" s="10" t="s">
        <v>498</v>
      </c>
      <c r="B24" s="332" t="s">
        <v>1164</v>
      </c>
      <c r="C24" s="311">
        <v>0</v>
      </c>
      <c r="D24" s="90">
        <v>8.8849999999999998</v>
      </c>
      <c r="E24" s="91">
        <v>3.0019999999999998</v>
      </c>
      <c r="F24" s="92">
        <v>0.628</v>
      </c>
      <c r="G24" s="28" t="s">
        <v>797</v>
      </c>
      <c r="H24" s="28">
        <v>16.670000000000002</v>
      </c>
      <c r="I24" s="89">
        <v>16.670000000000002</v>
      </c>
      <c r="J24" s="25">
        <v>0.49199999999999999</v>
      </c>
      <c r="K24" s="27"/>
      <c r="L24" s="97"/>
      <c r="M24" s="341"/>
    </row>
    <row r="25" spans="1:13" s="3" customFormat="1" ht="30.2" customHeight="1" x14ac:dyDescent="0.2">
      <c r="A25" s="10" t="s">
        <v>499</v>
      </c>
      <c r="B25" s="332" t="s">
        <v>1165</v>
      </c>
      <c r="C25" s="311">
        <v>0</v>
      </c>
      <c r="D25" s="90">
        <v>8.8420000000000005</v>
      </c>
      <c r="E25" s="91">
        <v>2.9590000000000001</v>
      </c>
      <c r="F25" s="92">
        <v>0.58499999999999996</v>
      </c>
      <c r="G25" s="28" t="s">
        <v>797</v>
      </c>
      <c r="H25" s="28">
        <v>16.670000000000002</v>
      </c>
      <c r="I25" s="89">
        <v>16.670000000000002</v>
      </c>
      <c r="J25" s="25">
        <v>0.49199999999999999</v>
      </c>
      <c r="K25" s="27"/>
      <c r="L25" s="97"/>
      <c r="M25" s="341"/>
    </row>
    <row r="26" spans="1:13" s="3" customFormat="1" ht="30.2" customHeight="1" x14ac:dyDescent="0.2">
      <c r="A26" s="10" t="s">
        <v>500</v>
      </c>
      <c r="B26" s="332" t="s">
        <v>1166</v>
      </c>
      <c r="C26" s="311">
        <v>0</v>
      </c>
      <c r="D26" s="90">
        <v>8.8010000000000002</v>
      </c>
      <c r="E26" s="91">
        <v>2.9180000000000001</v>
      </c>
      <c r="F26" s="92">
        <v>0.54400000000000004</v>
      </c>
      <c r="G26" s="28" t="s">
        <v>797</v>
      </c>
      <c r="H26" s="28">
        <v>16.670000000000002</v>
      </c>
      <c r="I26" s="89">
        <v>16.670000000000002</v>
      </c>
      <c r="J26" s="25">
        <v>0.49199999999999999</v>
      </c>
      <c r="K26" s="27"/>
      <c r="L26" s="97"/>
      <c r="M26" s="341"/>
    </row>
    <row r="27" spans="1:13" s="3" customFormat="1" ht="30.2" customHeight="1" x14ac:dyDescent="0.2">
      <c r="A27" s="10" t="s">
        <v>501</v>
      </c>
      <c r="B27" s="332" t="s">
        <v>1167</v>
      </c>
      <c r="C27" s="311">
        <v>0</v>
      </c>
      <c r="D27" s="90">
        <v>3.8479999999999999</v>
      </c>
      <c r="E27" s="91">
        <v>1.0409999999999999</v>
      </c>
      <c r="F27" s="92">
        <v>0.41899999999999998</v>
      </c>
      <c r="G27" s="28">
        <v>130.03</v>
      </c>
      <c r="H27" s="28">
        <v>21.47</v>
      </c>
      <c r="I27" s="89">
        <v>21.47</v>
      </c>
      <c r="J27" s="25">
        <v>0.189</v>
      </c>
      <c r="K27" s="27"/>
      <c r="L27" s="97"/>
      <c r="M27" s="341"/>
    </row>
    <row r="28" spans="1:13" s="3" customFormat="1" ht="30.2" customHeight="1" x14ac:dyDescent="0.2">
      <c r="A28" s="10" t="s">
        <v>502</v>
      </c>
      <c r="B28" s="332" t="s">
        <v>1168</v>
      </c>
      <c r="C28" s="311">
        <v>0</v>
      </c>
      <c r="D28" s="90">
        <v>3.8130000000000002</v>
      </c>
      <c r="E28" s="91">
        <v>1.006</v>
      </c>
      <c r="F28" s="92">
        <v>0.38400000000000001</v>
      </c>
      <c r="G28" s="28">
        <v>77.86</v>
      </c>
      <c r="H28" s="28">
        <v>21.47</v>
      </c>
      <c r="I28" s="89">
        <v>21.47</v>
      </c>
      <c r="J28" s="25">
        <v>0.189</v>
      </c>
      <c r="K28" s="27"/>
      <c r="L28" s="97"/>
      <c r="M28" s="341"/>
    </row>
    <row r="29" spans="1:13" s="3" customFormat="1" ht="30.2" customHeight="1" x14ac:dyDescent="0.2">
      <c r="A29" s="10" t="s">
        <v>503</v>
      </c>
      <c r="B29" s="332" t="s">
        <v>1169</v>
      </c>
      <c r="C29" s="311">
        <v>0</v>
      </c>
      <c r="D29" s="90">
        <v>3.726</v>
      </c>
      <c r="E29" s="91">
        <v>0.91900000000000004</v>
      </c>
      <c r="F29" s="92">
        <v>0.29699999999999999</v>
      </c>
      <c r="G29" s="28">
        <v>77.86</v>
      </c>
      <c r="H29" s="28">
        <v>21.47</v>
      </c>
      <c r="I29" s="89">
        <v>21.47</v>
      </c>
      <c r="J29" s="25">
        <v>0.189</v>
      </c>
      <c r="K29" s="27"/>
      <c r="L29" s="97"/>
      <c r="M29" s="341"/>
    </row>
    <row r="30" spans="1:13" s="3" customFormat="1" ht="30.2" customHeight="1" x14ac:dyDescent="0.2">
      <c r="A30" s="10" t="s">
        <v>504</v>
      </c>
      <c r="B30" s="332" t="s">
        <v>1170</v>
      </c>
      <c r="C30" s="311">
        <v>0</v>
      </c>
      <c r="D30" s="90">
        <v>3.6840000000000002</v>
      </c>
      <c r="E30" s="91">
        <v>0.877</v>
      </c>
      <c r="F30" s="92">
        <v>0.255</v>
      </c>
      <c r="G30" s="28">
        <v>77.86</v>
      </c>
      <c r="H30" s="28">
        <v>21.47</v>
      </c>
      <c r="I30" s="89">
        <v>21.47</v>
      </c>
      <c r="J30" s="25">
        <v>0.189</v>
      </c>
      <c r="K30" s="27"/>
      <c r="L30" s="97"/>
      <c r="M30" s="341"/>
    </row>
    <row r="31" spans="1:13" s="3" customFormat="1" ht="30.2" customHeight="1" x14ac:dyDescent="0.2">
      <c r="A31" s="10" t="s">
        <v>505</v>
      </c>
      <c r="B31" s="332" t="s">
        <v>1171</v>
      </c>
      <c r="C31" s="311">
        <v>0</v>
      </c>
      <c r="D31" s="90">
        <v>3.6419999999999999</v>
      </c>
      <c r="E31" s="91">
        <v>0.83499999999999996</v>
      </c>
      <c r="F31" s="92">
        <v>0.214</v>
      </c>
      <c r="G31" s="28">
        <v>77.86</v>
      </c>
      <c r="H31" s="28">
        <v>21.47</v>
      </c>
      <c r="I31" s="89">
        <v>21.47</v>
      </c>
      <c r="J31" s="25">
        <v>0.189</v>
      </c>
      <c r="K31" s="27"/>
      <c r="L31" s="97"/>
      <c r="M31" s="341"/>
    </row>
    <row r="32" spans="1:13" s="3" customFormat="1" ht="30.2" customHeight="1" x14ac:dyDescent="0.2">
      <c r="A32" s="10" t="s">
        <v>506</v>
      </c>
      <c r="B32" s="332" t="s">
        <v>1172</v>
      </c>
      <c r="C32" s="311">
        <v>0</v>
      </c>
      <c r="D32" s="90">
        <v>1.905</v>
      </c>
      <c r="E32" s="91">
        <v>0.54100000000000004</v>
      </c>
      <c r="F32" s="92">
        <v>0.34699999999999998</v>
      </c>
      <c r="G32" s="28">
        <v>576.53</v>
      </c>
      <c r="H32" s="28">
        <v>23.03</v>
      </c>
      <c r="I32" s="89">
        <v>23.03</v>
      </c>
      <c r="J32" s="25">
        <v>0.11</v>
      </c>
      <c r="K32" s="27"/>
      <c r="L32" s="97"/>
      <c r="M32" s="341"/>
    </row>
    <row r="33" spans="1:11" ht="30.2" customHeight="1" x14ac:dyDescent="0.2">
      <c r="A33" s="10" t="s">
        <v>507</v>
      </c>
      <c r="B33" s="332" t="s">
        <v>1173</v>
      </c>
      <c r="C33" s="311">
        <v>0</v>
      </c>
      <c r="D33" s="90">
        <v>1.905</v>
      </c>
      <c r="E33" s="91">
        <v>0.54100000000000004</v>
      </c>
      <c r="F33" s="92">
        <v>0.34699999999999998</v>
      </c>
      <c r="G33" s="28">
        <v>313.45999999999998</v>
      </c>
      <c r="H33" s="28">
        <v>23.03</v>
      </c>
      <c r="I33" s="89">
        <v>23.03</v>
      </c>
      <c r="J33" s="25">
        <v>0.11</v>
      </c>
      <c r="K33" s="27"/>
    </row>
    <row r="34" spans="1:11" ht="30.2" customHeight="1" x14ac:dyDescent="0.2">
      <c r="A34" s="10" t="s">
        <v>508</v>
      </c>
      <c r="B34" s="332" t="s">
        <v>1174</v>
      </c>
      <c r="C34" s="311">
        <v>0</v>
      </c>
      <c r="D34" s="90">
        <v>1.7989999999999999</v>
      </c>
      <c r="E34" s="91">
        <v>0.435</v>
      </c>
      <c r="F34" s="92">
        <v>0.24099999999999999</v>
      </c>
      <c r="G34" s="28" t="s">
        <v>797</v>
      </c>
      <c r="H34" s="28">
        <v>23.03</v>
      </c>
      <c r="I34" s="89">
        <v>23.03</v>
      </c>
      <c r="J34" s="25">
        <v>0.11</v>
      </c>
      <c r="K34" s="27"/>
    </row>
    <row r="35" spans="1:11" ht="30.2" customHeight="1" x14ac:dyDescent="0.2">
      <c r="A35" s="10" t="s">
        <v>509</v>
      </c>
      <c r="B35" s="332" t="s">
        <v>1175</v>
      </c>
      <c r="C35" s="311">
        <v>0</v>
      </c>
      <c r="D35" s="90">
        <v>1.7370000000000001</v>
      </c>
      <c r="E35" s="91">
        <v>0.373</v>
      </c>
      <c r="F35" s="92">
        <v>0.17899999999999999</v>
      </c>
      <c r="G35" s="28" t="s">
        <v>797</v>
      </c>
      <c r="H35" s="28">
        <v>23.03</v>
      </c>
      <c r="I35" s="89">
        <v>23.03</v>
      </c>
      <c r="J35" s="25">
        <v>0.11</v>
      </c>
      <c r="K35" s="27"/>
    </row>
    <row r="36" spans="1:11" ht="30.2" customHeight="1" x14ac:dyDescent="0.2">
      <c r="A36" s="10" t="s">
        <v>510</v>
      </c>
      <c r="B36" s="332" t="s">
        <v>1176</v>
      </c>
      <c r="C36" s="311">
        <v>0</v>
      </c>
      <c r="D36" s="90">
        <v>1.7070000000000001</v>
      </c>
      <c r="E36" s="91">
        <v>0.34300000000000003</v>
      </c>
      <c r="F36" s="92">
        <v>0.14799999999999999</v>
      </c>
      <c r="G36" s="28" t="s">
        <v>797</v>
      </c>
      <c r="H36" s="28">
        <v>23.03</v>
      </c>
      <c r="I36" s="89">
        <v>23.03</v>
      </c>
      <c r="J36" s="25">
        <v>0.11</v>
      </c>
      <c r="K36" s="27"/>
    </row>
    <row r="37" spans="1:11" ht="30.2" customHeight="1" x14ac:dyDescent="0.2">
      <c r="A37" s="10" t="s">
        <v>477</v>
      </c>
      <c r="B37" s="332" t="s">
        <v>1177</v>
      </c>
      <c r="C37" s="311" t="s">
        <v>804</v>
      </c>
      <c r="D37" s="93">
        <v>32.262</v>
      </c>
      <c r="E37" s="94">
        <v>8.5749999999999993</v>
      </c>
      <c r="F37" s="92">
        <v>5.0819999999999999</v>
      </c>
      <c r="G37" s="29" t="s">
        <v>797</v>
      </c>
      <c r="H37" s="29" t="s">
        <v>797</v>
      </c>
      <c r="I37" s="29" t="s">
        <v>797</v>
      </c>
      <c r="J37" s="26" t="s">
        <v>797</v>
      </c>
      <c r="K37" s="27"/>
    </row>
    <row r="38" spans="1:11" ht="30.2" customHeight="1" x14ac:dyDescent="0.2">
      <c r="A38" s="10" t="s">
        <v>666</v>
      </c>
      <c r="B38" s="332" t="s">
        <v>1178</v>
      </c>
      <c r="C38" s="311" t="s">
        <v>2074</v>
      </c>
      <c r="D38" s="90">
        <v>-8.7249999999999996</v>
      </c>
      <c r="E38" s="91">
        <v>-3.1720000000000002</v>
      </c>
      <c r="F38" s="92">
        <v>-0.67600000000000005</v>
      </c>
      <c r="G38" s="28" t="s">
        <v>797</v>
      </c>
      <c r="H38" s="29" t="s">
        <v>797</v>
      </c>
      <c r="I38" s="29" t="s">
        <v>797</v>
      </c>
      <c r="J38" s="26" t="s">
        <v>797</v>
      </c>
      <c r="K38" s="27"/>
    </row>
    <row r="39" spans="1:11" ht="30.2" customHeight="1" x14ac:dyDescent="0.2">
      <c r="A39" s="10" t="s">
        <v>667</v>
      </c>
      <c r="B39" s="332" t="s">
        <v>1179</v>
      </c>
      <c r="C39" s="311" t="s">
        <v>2074</v>
      </c>
      <c r="D39" s="90">
        <v>-7.3609999999999998</v>
      </c>
      <c r="E39" s="91">
        <v>-2.6160000000000001</v>
      </c>
      <c r="F39" s="92">
        <v>-0.59099999999999997</v>
      </c>
      <c r="G39" s="28" t="s">
        <v>797</v>
      </c>
      <c r="H39" s="29" t="s">
        <v>797</v>
      </c>
      <c r="I39" s="29" t="s">
        <v>797</v>
      </c>
      <c r="J39" s="26" t="s">
        <v>797</v>
      </c>
      <c r="K39" s="27"/>
    </row>
    <row r="40" spans="1:11" ht="30.2" customHeight="1" x14ac:dyDescent="0.2">
      <c r="A40" s="10" t="s">
        <v>668</v>
      </c>
      <c r="B40" s="332" t="s">
        <v>1180</v>
      </c>
      <c r="C40" s="311">
        <v>0</v>
      </c>
      <c r="D40" s="90">
        <v>-8.7249999999999996</v>
      </c>
      <c r="E40" s="91">
        <v>-3.1720000000000002</v>
      </c>
      <c r="F40" s="92">
        <v>-0.67600000000000005</v>
      </c>
      <c r="G40" s="28" t="s">
        <v>797</v>
      </c>
      <c r="H40" s="29" t="s">
        <v>797</v>
      </c>
      <c r="I40" s="29" t="s">
        <v>797</v>
      </c>
      <c r="J40" s="25">
        <v>0.55900000000000005</v>
      </c>
      <c r="K40" s="27"/>
    </row>
    <row r="41" spans="1:11" ht="30.2" customHeight="1" x14ac:dyDescent="0.2">
      <c r="A41" s="10" t="s">
        <v>669</v>
      </c>
      <c r="B41" s="332" t="s">
        <v>797</v>
      </c>
      <c r="C41" s="311">
        <v>0</v>
      </c>
      <c r="D41" s="90">
        <v>-8.7249999999999996</v>
      </c>
      <c r="E41" s="91">
        <v>-3.1720000000000002</v>
      </c>
      <c r="F41" s="92">
        <v>-0.67600000000000005</v>
      </c>
      <c r="G41" s="28" t="s">
        <v>797</v>
      </c>
      <c r="H41" s="29" t="s">
        <v>797</v>
      </c>
      <c r="I41" s="29" t="s">
        <v>797</v>
      </c>
      <c r="J41" s="26" t="s">
        <v>797</v>
      </c>
      <c r="K41" s="27"/>
    </row>
    <row r="42" spans="1:11" ht="30.2" customHeight="1" x14ac:dyDescent="0.2">
      <c r="A42" s="10" t="s">
        <v>670</v>
      </c>
      <c r="B42" s="332" t="s">
        <v>797</v>
      </c>
      <c r="C42" s="311">
        <v>0</v>
      </c>
      <c r="D42" s="90">
        <v>-7.3609999999999998</v>
      </c>
      <c r="E42" s="91">
        <v>-2.6160000000000001</v>
      </c>
      <c r="F42" s="92">
        <v>-0.59099999999999997</v>
      </c>
      <c r="G42" s="28" t="s">
        <v>797</v>
      </c>
      <c r="H42" s="29" t="s">
        <v>797</v>
      </c>
      <c r="I42" s="29" t="s">
        <v>797</v>
      </c>
      <c r="J42" s="25">
        <v>0.41599999999999998</v>
      </c>
      <c r="K42" s="27"/>
    </row>
    <row r="43" spans="1:11" ht="30.2" customHeight="1" x14ac:dyDescent="0.2">
      <c r="A43" s="10" t="s">
        <v>671</v>
      </c>
      <c r="B43" s="332" t="s">
        <v>797</v>
      </c>
      <c r="C43" s="311">
        <v>0</v>
      </c>
      <c r="D43" s="90">
        <v>-7.3609999999999998</v>
      </c>
      <c r="E43" s="91">
        <v>-2.6160000000000001</v>
      </c>
      <c r="F43" s="92">
        <v>-0.59099999999999997</v>
      </c>
      <c r="G43" s="28" t="s">
        <v>797</v>
      </c>
      <c r="H43" s="29" t="s">
        <v>797</v>
      </c>
      <c r="I43" s="29" t="s">
        <v>797</v>
      </c>
      <c r="J43" s="26" t="s">
        <v>797</v>
      </c>
      <c r="K43" s="27"/>
    </row>
    <row r="44" spans="1:11" ht="30.2" customHeight="1" x14ac:dyDescent="0.2">
      <c r="A44" s="10" t="s">
        <v>672</v>
      </c>
      <c r="B44" s="332" t="s">
        <v>1181</v>
      </c>
      <c r="C44" s="311">
        <v>0</v>
      </c>
      <c r="D44" s="90">
        <v>-3.2589999999999999</v>
      </c>
      <c r="E44" s="91">
        <v>-0.88200000000000001</v>
      </c>
      <c r="F44" s="92">
        <v>-0.35499999999999998</v>
      </c>
      <c r="G44" s="28">
        <v>820.69</v>
      </c>
      <c r="H44" s="29" t="s">
        <v>797</v>
      </c>
      <c r="I44" s="29" t="s">
        <v>797</v>
      </c>
      <c r="J44" s="25">
        <v>0.35699999999999998</v>
      </c>
      <c r="K44" s="27"/>
    </row>
    <row r="45" spans="1:11" ht="30.2" customHeight="1" x14ac:dyDescent="0.2">
      <c r="A45" s="10" t="s">
        <v>673</v>
      </c>
      <c r="B45" s="332" t="s">
        <v>797</v>
      </c>
      <c r="C45" s="311">
        <v>0</v>
      </c>
      <c r="D45" s="90">
        <v>-3.2589999999999999</v>
      </c>
      <c r="E45" s="91">
        <v>-0.88200000000000001</v>
      </c>
      <c r="F45" s="92">
        <v>-0.35499999999999998</v>
      </c>
      <c r="G45" s="28">
        <v>820.69</v>
      </c>
      <c r="H45" s="29" t="s">
        <v>797</v>
      </c>
      <c r="I45" s="29" t="s">
        <v>797</v>
      </c>
      <c r="J45" s="26" t="s">
        <v>797</v>
      </c>
      <c r="K45" s="27"/>
    </row>
    <row r="46" spans="1:11" s="3" customFormat="1" ht="30.2" customHeight="1" x14ac:dyDescent="0.2"/>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charges_P'; based on connection level, credits may therefore be lower than stated above.</v>
      </c>
    </row>
    <row r="48" spans="1:11" ht="27.75" customHeight="1" x14ac:dyDescent="0.2">
      <c r="A48" s="330" t="s">
        <v>430</v>
      </c>
    </row>
    <row r="53" spans="2:2" ht="27.75" customHeight="1" x14ac:dyDescent="0.2">
      <c r="B53" s="1"/>
    </row>
  </sheetData>
  <mergeCells count="18">
    <mergeCell ref="E1:K1"/>
    <mergeCell ref="A2:K2"/>
    <mergeCell ref="A4:E4"/>
    <mergeCell ref="G4:K4"/>
    <mergeCell ref="C5:D5"/>
    <mergeCell ref="G5:H5"/>
    <mergeCell ref="G8:H8"/>
    <mergeCell ref="B10:E10"/>
    <mergeCell ref="I10:K10"/>
    <mergeCell ref="G10:H10"/>
    <mergeCell ref="C8:D8"/>
    <mergeCell ref="C9:D9"/>
    <mergeCell ref="G9:H9"/>
    <mergeCell ref="N4:T5"/>
    <mergeCell ref="C6:D6"/>
    <mergeCell ref="G6:H6"/>
    <mergeCell ref="C7:D7"/>
    <mergeCell ref="G7:H7"/>
  </mergeCells>
  <hyperlinks>
    <hyperlink ref="A1" location="Overview!A1" display="Back to Overview" xr:uid="{87C9A8BE-0C5D-4423-B10F-3C2F40BBF2C2}"/>
    <hyperlink ref="A48" location="'Annex 1 LV and HV charges_P'!A1" display="Annex 4 LDNO charges_P" xr:uid="{4C3CBA3B-D17A-483B-A961-CFC67617FD3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P157"/>
  <sheetViews>
    <sheetView zoomScale="80" zoomScaleNormal="80" workbookViewId="0"/>
  </sheetViews>
  <sheetFormatPr defaultColWidth="9.140625" defaultRowHeight="27.75" customHeight="1" x14ac:dyDescent="0.2"/>
  <cols>
    <col min="1" max="1" width="8.7109375" style="96" customWidth="1"/>
    <col min="2" max="2" width="17.28515625" style="96" customWidth="1"/>
    <col min="3" max="3" width="8.7109375" style="109" customWidth="1"/>
    <col min="4" max="4" width="17.28515625" style="109" customWidth="1"/>
    <col min="5" max="6" width="15.7109375" style="109" customWidth="1"/>
    <col min="7" max="7" width="15.7109375" style="176" customWidth="1"/>
    <col min="8" max="9" width="15.7109375" style="97" customWidth="1"/>
    <col min="10" max="13" width="15.7109375" style="96" customWidth="1"/>
    <col min="14" max="15" width="15.5703125" style="96" customWidth="1"/>
    <col min="16" max="16" width="11.28515625" style="96" bestFit="1" customWidth="1"/>
    <col min="17" max="16384" width="9.140625" style="96"/>
  </cols>
  <sheetData>
    <row r="1" spans="1:16" ht="66.75" customHeight="1" x14ac:dyDescent="0.2">
      <c r="A1" s="31" t="s">
        <v>19</v>
      </c>
      <c r="B1" s="121"/>
      <c r="C1" s="121"/>
      <c r="D1" s="453" t="s">
        <v>30</v>
      </c>
      <c r="E1" s="453"/>
      <c r="F1" s="453"/>
      <c r="G1" s="453"/>
      <c r="H1" s="453"/>
      <c r="I1" s="453"/>
      <c r="J1" s="453"/>
      <c r="K1" s="453"/>
      <c r="L1" s="453"/>
      <c r="M1" s="453"/>
    </row>
    <row r="2" spans="1:16" s="122" customFormat="1" ht="39.950000000000003" customHeight="1" x14ac:dyDescent="0.2">
      <c r="A2" s="454" t="str">
        <f>Overview!B4&amp; " - Effective from "&amp;TEXT(Overview!$D$4,"d mmmm yyyy")&amp;" - "&amp;Overview!E4&amp;" Schedule of Charges for use of the Distribution System by EHV Properties (including LDNOs with EHV Properties/end-users) in UKPN EPN Area (GSP Group _A)"</f>
        <v>Leep Electricity Networks Limited - Effective from 1 April 2027 - Final Schedule of Charges for use of the Distribution System by EHV Properties (including LDNOs with EHV Properties/end-users) in UKPN EPN Area (GSP Group _A)</v>
      </c>
      <c r="B2" s="454"/>
      <c r="C2" s="454"/>
      <c r="D2" s="454"/>
      <c r="E2" s="454"/>
      <c r="F2" s="454"/>
      <c r="G2" s="454"/>
      <c r="H2" s="454"/>
      <c r="I2" s="454"/>
      <c r="J2" s="454"/>
      <c r="K2" s="454"/>
      <c r="L2" s="454"/>
      <c r="M2" s="454"/>
    </row>
    <row r="3" spans="1:16" s="123" customFormat="1" ht="10.5" customHeight="1" x14ac:dyDescent="0.2">
      <c r="A3" s="46"/>
      <c r="B3" s="46"/>
      <c r="C3" s="46"/>
      <c r="D3" s="46"/>
      <c r="E3" s="46"/>
      <c r="F3" s="46"/>
      <c r="G3" s="46"/>
      <c r="H3" s="46"/>
      <c r="I3" s="46"/>
      <c r="J3" s="46"/>
      <c r="K3" s="46"/>
      <c r="L3" s="46"/>
      <c r="M3" s="46"/>
    </row>
    <row r="4" spans="1:16" s="123" customFormat="1" ht="25.5" customHeight="1" x14ac:dyDescent="0.2">
      <c r="A4" s="455" t="s">
        <v>375</v>
      </c>
      <c r="B4" s="455"/>
      <c r="C4" s="455"/>
      <c r="D4" s="455"/>
      <c r="E4" s="455"/>
      <c r="F4" s="455"/>
      <c r="G4" s="124"/>
      <c r="H4" s="124"/>
      <c r="I4" s="124"/>
      <c r="J4" s="124"/>
      <c r="K4" s="124"/>
      <c r="L4" s="124"/>
      <c r="M4" s="125"/>
    </row>
    <row r="5" spans="1:16" s="123" customFormat="1" ht="25.5" customHeight="1" x14ac:dyDescent="0.2">
      <c r="A5" s="456" t="s">
        <v>13</v>
      </c>
      <c r="B5" s="457"/>
      <c r="C5" s="457"/>
      <c r="D5" s="458" t="s">
        <v>286</v>
      </c>
      <c r="E5" s="458"/>
      <c r="F5" s="458"/>
      <c r="G5" s="124"/>
      <c r="H5" s="124"/>
      <c r="I5" s="124"/>
      <c r="J5" s="124"/>
      <c r="K5" s="124"/>
      <c r="L5" s="124"/>
      <c r="M5" s="125"/>
    </row>
    <row r="6" spans="1:16" s="123" customFormat="1" ht="45" customHeight="1" x14ac:dyDescent="0.2">
      <c r="A6" s="371" t="s">
        <v>285</v>
      </c>
      <c r="B6" s="371"/>
      <c r="C6" s="371"/>
      <c r="D6" s="375" t="s">
        <v>370</v>
      </c>
      <c r="E6" s="375"/>
      <c r="F6" s="375"/>
      <c r="G6" s="124"/>
      <c r="H6" s="124"/>
      <c r="I6" s="124"/>
      <c r="J6" s="124"/>
      <c r="K6" s="124"/>
      <c r="L6" s="124"/>
      <c r="M6" s="125"/>
    </row>
    <row r="7" spans="1:16" s="123" customFormat="1" ht="20.25" customHeight="1" x14ac:dyDescent="0.2">
      <c r="A7" s="371" t="s">
        <v>14</v>
      </c>
      <c r="B7" s="371"/>
      <c r="C7" s="371"/>
      <c r="D7" s="413" t="s">
        <v>371</v>
      </c>
      <c r="E7" s="413"/>
      <c r="F7" s="413"/>
      <c r="G7" s="124"/>
      <c r="H7" s="124"/>
      <c r="I7" s="124"/>
      <c r="J7" s="124"/>
      <c r="K7" s="124"/>
      <c r="L7" s="124"/>
      <c r="M7" s="125"/>
    </row>
    <row r="8" spans="1:16" s="123" customFormat="1" ht="18" customHeight="1" x14ac:dyDescent="0.2">
      <c r="A8" s="124"/>
      <c r="B8" s="124"/>
      <c r="C8" s="124"/>
      <c r="D8" s="124"/>
      <c r="E8" s="124"/>
      <c r="F8" s="124"/>
      <c r="G8" s="124"/>
      <c r="H8" s="124"/>
      <c r="I8" s="124"/>
      <c r="J8" s="124"/>
      <c r="K8" s="124"/>
      <c r="L8" s="124"/>
      <c r="M8" s="125"/>
    </row>
    <row r="9" spans="1:16" s="123" customFormat="1" ht="63.75" customHeight="1" x14ac:dyDescent="0.2">
      <c r="A9" s="32" t="s">
        <v>376</v>
      </c>
      <c r="B9" s="126" t="s">
        <v>268</v>
      </c>
      <c r="C9" s="32" t="s">
        <v>377</v>
      </c>
      <c r="D9" s="126" t="s">
        <v>269</v>
      </c>
      <c r="E9" s="127" t="s">
        <v>29</v>
      </c>
      <c r="F9" s="128" t="s">
        <v>350</v>
      </c>
      <c r="G9" s="127" t="s">
        <v>279</v>
      </c>
      <c r="H9" s="127" t="s">
        <v>348</v>
      </c>
      <c r="I9" s="127" t="s">
        <v>361</v>
      </c>
      <c r="J9" s="127" t="s">
        <v>351</v>
      </c>
      <c r="K9" s="127" t="s">
        <v>280</v>
      </c>
      <c r="L9" s="127" t="s">
        <v>349</v>
      </c>
      <c r="M9" s="127" t="s">
        <v>362</v>
      </c>
    </row>
    <row r="10" spans="1:16" ht="12.75" x14ac:dyDescent="0.2">
      <c r="A10" s="129"/>
      <c r="B10" s="130"/>
      <c r="C10" s="131"/>
      <c r="D10" s="132"/>
      <c r="E10" s="133"/>
      <c r="F10" s="134"/>
      <c r="G10" s="135"/>
      <c r="H10" s="135"/>
      <c r="I10" s="135"/>
      <c r="J10" s="136"/>
      <c r="K10" s="137"/>
      <c r="L10" s="138"/>
      <c r="M10" s="138"/>
      <c r="P10" s="258"/>
    </row>
    <row r="11" spans="1:16" ht="27.75" customHeight="1" x14ac:dyDescent="0.2">
      <c r="A11" s="140"/>
      <c r="B11" s="140"/>
      <c r="C11" s="140"/>
      <c r="D11" s="141"/>
      <c r="E11" s="141"/>
      <c r="F11" s="141"/>
      <c r="G11" s="141"/>
      <c r="H11" s="141"/>
      <c r="I11" s="142"/>
      <c r="J11" s="143"/>
      <c r="K11" s="143"/>
      <c r="L11" s="140"/>
      <c r="M11" s="144"/>
    </row>
    <row r="12" spans="1:16" ht="27.75" customHeight="1" x14ac:dyDescent="0.2">
      <c r="A12" s="140"/>
      <c r="B12" s="140"/>
      <c r="C12" s="140"/>
      <c r="D12" s="141"/>
      <c r="E12" s="141"/>
      <c r="F12" s="141"/>
      <c r="G12" s="141"/>
      <c r="H12" s="141"/>
      <c r="I12" s="142"/>
      <c r="J12" s="143"/>
      <c r="K12" s="143"/>
      <c r="L12" s="140"/>
      <c r="M12" s="144"/>
    </row>
    <row r="13" spans="1:16" ht="39.950000000000003" customHeight="1" x14ac:dyDescent="0.2">
      <c r="A13" s="396" t="str">
        <f>Overview!B4&amp;" - Effective from "&amp;TEXT(Overview!$D$4,"d mmmm yyyy")&amp;" - Final Schedule of Charges for use of the Distribution System by EHV Properties (including LDNOs with EHV Properties/end-users) in WPD EM Area (GSP Group_B)"</f>
        <v>Leep Electricity Networks Limited - Effective from 1 April 2027 - Final Schedule of Charges for use of the Distribution System by EHV Properties (including LDNOs with EHV Properties/end-users) in WPD EM Area (GSP Group_B)</v>
      </c>
      <c r="B13" s="397"/>
      <c r="C13" s="397"/>
      <c r="D13" s="397"/>
      <c r="E13" s="397"/>
      <c r="F13" s="397"/>
      <c r="G13" s="397"/>
      <c r="H13" s="397"/>
      <c r="I13" s="397"/>
      <c r="J13" s="397"/>
      <c r="K13" s="397"/>
      <c r="L13" s="436"/>
      <c r="M13" s="437"/>
    </row>
    <row r="14" spans="1:16" ht="27.75" customHeight="1" x14ac:dyDescent="0.2">
      <c r="A14" s="124"/>
      <c r="B14" s="124"/>
      <c r="C14" s="124"/>
      <c r="D14" s="124"/>
      <c r="E14" s="124"/>
      <c r="F14" s="124"/>
      <c r="G14" s="124"/>
      <c r="H14" s="124"/>
      <c r="I14" s="124"/>
      <c r="J14" s="124"/>
      <c r="K14" s="124"/>
      <c r="L14" s="124"/>
      <c r="M14" s="124"/>
    </row>
    <row r="15" spans="1:16" ht="27.75" customHeight="1" x14ac:dyDescent="0.2">
      <c r="A15" s="455" t="s">
        <v>375</v>
      </c>
      <c r="B15" s="455"/>
      <c r="C15" s="455"/>
      <c r="D15" s="455"/>
      <c r="E15" s="455"/>
      <c r="F15" s="455"/>
      <c r="G15" s="124"/>
      <c r="H15" s="124"/>
      <c r="I15" s="124"/>
      <c r="J15" s="124"/>
      <c r="K15" s="124"/>
      <c r="L15" s="124"/>
      <c r="M15" s="124"/>
    </row>
    <row r="16" spans="1:16" ht="27.75" customHeight="1" x14ac:dyDescent="0.2">
      <c r="A16" s="456" t="s">
        <v>13</v>
      </c>
      <c r="B16" s="457"/>
      <c r="C16" s="457"/>
      <c r="D16" s="444" t="s">
        <v>286</v>
      </c>
      <c r="E16" s="445"/>
      <c r="F16" s="446"/>
      <c r="G16" s="124"/>
      <c r="H16" s="124"/>
      <c r="I16" s="124"/>
      <c r="J16" s="124"/>
      <c r="K16" s="124"/>
      <c r="L16" s="124"/>
      <c r="M16" s="124"/>
    </row>
    <row r="17" spans="1:13" ht="45" customHeight="1" x14ac:dyDescent="0.2">
      <c r="A17" s="417" t="s">
        <v>373</v>
      </c>
      <c r="B17" s="417"/>
      <c r="C17" s="417"/>
      <c r="D17" s="391" t="s">
        <v>372</v>
      </c>
      <c r="E17" s="392"/>
      <c r="F17" s="393"/>
      <c r="G17" s="124"/>
      <c r="H17" s="124"/>
      <c r="I17" s="124"/>
      <c r="J17" s="124"/>
      <c r="K17" s="124"/>
      <c r="L17" s="124"/>
      <c r="M17" s="124"/>
    </row>
    <row r="18" spans="1:13" ht="20.25" customHeight="1" x14ac:dyDescent="0.2">
      <c r="A18" s="417" t="s">
        <v>14</v>
      </c>
      <c r="B18" s="417"/>
      <c r="C18" s="417"/>
      <c r="D18" s="391" t="s">
        <v>15</v>
      </c>
      <c r="E18" s="392"/>
      <c r="F18" s="393"/>
      <c r="G18" s="124"/>
      <c r="H18" s="124"/>
      <c r="I18" s="124"/>
      <c r="J18" s="124"/>
      <c r="K18" s="124"/>
      <c r="L18" s="124"/>
      <c r="M18" s="124"/>
    </row>
    <row r="19" spans="1:13" ht="27.75" customHeight="1" x14ac:dyDescent="0.2">
      <c r="A19" s="124"/>
      <c r="B19" s="124"/>
      <c r="C19" s="124"/>
      <c r="D19" s="124"/>
      <c r="E19" s="124"/>
      <c r="F19" s="124"/>
      <c r="G19" s="124"/>
      <c r="H19" s="124"/>
      <c r="I19" s="124"/>
      <c r="J19" s="124"/>
      <c r="K19" s="124"/>
      <c r="L19" s="124"/>
      <c r="M19" s="124"/>
    </row>
    <row r="20" spans="1:13" ht="63.75" customHeight="1" x14ac:dyDescent="0.2">
      <c r="A20" s="32" t="s">
        <v>376</v>
      </c>
      <c r="B20" s="126" t="s">
        <v>268</v>
      </c>
      <c r="C20" s="32" t="s">
        <v>377</v>
      </c>
      <c r="D20" s="126" t="s">
        <v>269</v>
      </c>
      <c r="E20" s="127" t="s">
        <v>29</v>
      </c>
      <c r="F20" s="128" t="s">
        <v>350</v>
      </c>
      <c r="G20" s="127" t="s">
        <v>279</v>
      </c>
      <c r="H20" s="127" t="s">
        <v>348</v>
      </c>
      <c r="I20" s="127" t="s">
        <v>361</v>
      </c>
      <c r="J20" s="127" t="s">
        <v>351</v>
      </c>
      <c r="K20" s="127" t="s">
        <v>280</v>
      </c>
      <c r="L20" s="127" t="s">
        <v>349</v>
      </c>
      <c r="M20" s="127" t="s">
        <v>362</v>
      </c>
    </row>
    <row r="21" spans="1:13" ht="15" customHeight="1" x14ac:dyDescent="0.2">
      <c r="A21" s="145"/>
      <c r="B21" s="146"/>
      <c r="C21" s="147"/>
      <c r="D21" s="146"/>
      <c r="E21" s="148"/>
      <c r="F21" s="149"/>
      <c r="G21" s="150"/>
      <c r="H21" s="150"/>
      <c r="I21" s="150"/>
      <c r="J21" s="151"/>
      <c r="K21" s="152"/>
      <c r="L21" s="152"/>
      <c r="M21" s="152"/>
    </row>
    <row r="22" spans="1:13" ht="27.75" customHeight="1" x14ac:dyDescent="0.2">
      <c r="A22" s="140"/>
      <c r="B22" s="140"/>
      <c r="C22" s="140"/>
      <c r="D22" s="141"/>
      <c r="E22" s="141"/>
      <c r="F22" s="141"/>
      <c r="G22" s="141"/>
      <c r="H22" s="141"/>
      <c r="I22" s="142"/>
      <c r="J22" s="143"/>
      <c r="K22" s="143"/>
      <c r="L22" s="140"/>
      <c r="M22" s="144"/>
    </row>
    <row r="23" spans="1:13" ht="27.75" customHeight="1" x14ac:dyDescent="0.2">
      <c r="A23" s="140"/>
      <c r="B23" s="140"/>
      <c r="C23" s="140"/>
      <c r="D23" s="141"/>
      <c r="E23" s="141"/>
      <c r="F23" s="141"/>
      <c r="G23" s="141"/>
      <c r="H23" s="141"/>
      <c r="I23" s="142"/>
      <c r="J23" s="143"/>
      <c r="K23" s="143"/>
      <c r="L23" s="140"/>
      <c r="M23" s="144"/>
    </row>
    <row r="24" spans="1:13" ht="39.950000000000003" customHeight="1" x14ac:dyDescent="0.2">
      <c r="A24" s="396" t="str">
        <f>Overview!B4&amp;" - Effective from "&amp;TEXT(Overview!$D$4,"d mmmm yyyy")&amp;" - Final Schedule of Charges for use of the Distribution System by EHV Properties (including LDNOs with EHV Properties/end-users) in UKPN LPN Area (GSP Group_C)"</f>
        <v>Leep Electricity Networks Limited - Effective from 1 April 2027 - Final Schedule of Charges for use of the Distribution System by EHV Properties (including LDNOs with EHV Properties/end-users) in UKPN LPN Area (GSP Group_C)</v>
      </c>
      <c r="B24" s="397"/>
      <c r="C24" s="397"/>
      <c r="D24" s="397"/>
      <c r="E24" s="397"/>
      <c r="F24" s="397"/>
      <c r="G24" s="397"/>
      <c r="H24" s="397"/>
      <c r="I24" s="397"/>
      <c r="J24" s="397"/>
      <c r="K24" s="397"/>
      <c r="L24" s="436"/>
      <c r="M24" s="437"/>
    </row>
    <row r="25" spans="1:13" ht="27.75" customHeight="1" x14ac:dyDescent="0.2">
      <c r="A25" s="124"/>
      <c r="B25" s="124"/>
      <c r="C25" s="124"/>
      <c r="D25" s="124"/>
      <c r="E25" s="124"/>
      <c r="F25" s="124"/>
      <c r="G25" s="124"/>
      <c r="H25" s="124"/>
      <c r="I25" s="124"/>
      <c r="J25" s="124"/>
      <c r="K25" s="124"/>
      <c r="L25" s="124"/>
      <c r="M25" s="124"/>
    </row>
    <row r="26" spans="1:13" ht="27.75" customHeight="1" x14ac:dyDescent="0.2">
      <c r="A26" s="455" t="s">
        <v>375</v>
      </c>
      <c r="B26" s="455"/>
      <c r="C26" s="455"/>
      <c r="D26" s="455"/>
      <c r="E26" s="455"/>
      <c r="F26" s="455"/>
      <c r="G26" s="124"/>
      <c r="H26" s="124"/>
      <c r="I26" s="124"/>
      <c r="J26" s="124"/>
      <c r="K26" s="124"/>
      <c r="L26" s="124"/>
      <c r="M26" s="124"/>
    </row>
    <row r="27" spans="1:13" ht="27.75" customHeight="1" x14ac:dyDescent="0.2">
      <c r="A27" s="447" t="s">
        <v>13</v>
      </c>
      <c r="B27" s="448"/>
      <c r="C27" s="448"/>
      <c r="D27" s="459" t="s">
        <v>286</v>
      </c>
      <c r="E27" s="459"/>
      <c r="F27" s="459"/>
      <c r="G27" s="124"/>
      <c r="H27" s="124"/>
      <c r="I27" s="124"/>
      <c r="J27" s="124"/>
      <c r="K27" s="124"/>
      <c r="L27" s="124"/>
      <c r="M27" s="124"/>
    </row>
    <row r="28" spans="1:13" ht="45" customHeight="1" x14ac:dyDescent="0.2">
      <c r="A28" s="371" t="s">
        <v>284</v>
      </c>
      <c r="B28" s="371"/>
      <c r="C28" s="371"/>
      <c r="D28" s="375" t="s">
        <v>374</v>
      </c>
      <c r="E28" s="375"/>
      <c r="F28" s="375"/>
      <c r="G28" s="124"/>
      <c r="H28" s="124"/>
      <c r="I28" s="124"/>
      <c r="J28" s="124"/>
      <c r="K28" s="124"/>
      <c r="L28" s="124"/>
      <c r="M28" s="124"/>
    </row>
    <row r="29" spans="1:13" ht="45" customHeight="1" x14ac:dyDescent="0.2">
      <c r="A29" s="371" t="s">
        <v>285</v>
      </c>
      <c r="B29" s="371"/>
      <c r="C29" s="371"/>
      <c r="D29" s="375" t="s">
        <v>370</v>
      </c>
      <c r="E29" s="375"/>
      <c r="F29" s="375"/>
      <c r="G29" s="124"/>
      <c r="H29" s="124"/>
      <c r="I29" s="124"/>
      <c r="J29" s="124"/>
      <c r="K29" s="124"/>
      <c r="L29" s="124"/>
      <c r="M29" s="124"/>
    </row>
    <row r="30" spans="1:13" ht="20.25" customHeight="1" x14ac:dyDescent="0.2">
      <c r="A30" s="371" t="s">
        <v>14</v>
      </c>
      <c r="B30" s="371"/>
      <c r="C30" s="371"/>
      <c r="D30" s="413" t="s">
        <v>371</v>
      </c>
      <c r="E30" s="413"/>
      <c r="F30" s="413"/>
      <c r="G30" s="124"/>
      <c r="H30" s="124"/>
      <c r="I30" s="124"/>
      <c r="J30" s="124"/>
      <c r="K30" s="124"/>
      <c r="L30" s="124"/>
      <c r="M30" s="124"/>
    </row>
    <row r="31" spans="1:13" ht="27.75" customHeight="1" x14ac:dyDescent="0.2">
      <c r="A31" s="124"/>
      <c r="B31" s="124"/>
      <c r="C31" s="124"/>
      <c r="D31" s="124"/>
      <c r="E31" s="124"/>
      <c r="F31" s="124"/>
      <c r="G31" s="124"/>
      <c r="H31" s="124"/>
      <c r="I31" s="124"/>
      <c r="J31" s="124"/>
      <c r="K31" s="124"/>
      <c r="L31" s="124"/>
      <c r="M31" s="124"/>
    </row>
    <row r="32" spans="1:13" ht="63.75" customHeight="1" x14ac:dyDescent="0.2">
      <c r="A32" s="32" t="s">
        <v>376</v>
      </c>
      <c r="B32" s="126" t="s">
        <v>268</v>
      </c>
      <c r="C32" s="32" t="s">
        <v>377</v>
      </c>
      <c r="D32" s="126" t="s">
        <v>269</v>
      </c>
      <c r="E32" s="127" t="s">
        <v>29</v>
      </c>
      <c r="F32" s="128" t="s">
        <v>350</v>
      </c>
      <c r="G32" s="127" t="s">
        <v>279</v>
      </c>
      <c r="H32" s="127" t="s">
        <v>348</v>
      </c>
      <c r="I32" s="127" t="s">
        <v>361</v>
      </c>
      <c r="J32" s="127" t="s">
        <v>351</v>
      </c>
      <c r="K32" s="127" t="s">
        <v>280</v>
      </c>
      <c r="L32" s="127" t="s">
        <v>349</v>
      </c>
      <c r="M32" s="127" t="s">
        <v>362</v>
      </c>
    </row>
    <row r="33" spans="1:13" ht="15" customHeight="1" x14ac:dyDescent="0.2">
      <c r="A33" s="145"/>
      <c r="B33" s="153"/>
      <c r="C33" s="147"/>
      <c r="D33" s="146"/>
      <c r="E33" s="148"/>
      <c r="F33" s="154"/>
      <c r="G33" s="155"/>
      <c r="H33" s="155"/>
      <c r="I33" s="155"/>
      <c r="J33" s="156"/>
      <c r="K33" s="137"/>
      <c r="L33" s="157"/>
      <c r="M33" s="157"/>
    </row>
    <row r="34" spans="1:13" ht="27.75" customHeight="1" x14ac:dyDescent="0.2">
      <c r="A34" s="140"/>
      <c r="B34" s="140"/>
      <c r="C34" s="140"/>
      <c r="D34" s="141"/>
      <c r="E34" s="141"/>
      <c r="F34" s="141"/>
      <c r="G34" s="141"/>
      <c r="H34" s="141"/>
      <c r="I34" s="142"/>
      <c r="J34" s="143"/>
      <c r="K34" s="143"/>
      <c r="L34" s="140"/>
      <c r="M34" s="144"/>
    </row>
    <row r="35" spans="1:13" ht="27.75" customHeight="1" x14ac:dyDescent="0.2">
      <c r="A35" s="140"/>
      <c r="B35" s="140"/>
      <c r="C35" s="140"/>
      <c r="D35" s="141"/>
      <c r="E35" s="141"/>
      <c r="F35" s="141"/>
      <c r="G35" s="141"/>
      <c r="H35" s="141"/>
      <c r="I35" s="142"/>
      <c r="J35" s="143"/>
      <c r="K35" s="143"/>
      <c r="L35" s="140"/>
      <c r="M35" s="144"/>
    </row>
    <row r="36" spans="1:13" ht="39.950000000000003" customHeight="1" x14ac:dyDescent="0.2">
      <c r="A36" s="396" t="str">
        <f>Overview!B4&amp;" - Effective from "&amp;TEXT(Overview!$D$4,"d mmmm yyyy")&amp;" - Final Schedule of Charges for use of the Distribution System by EHV Properties (including LDNOs with EHV Properties/end-users) in SP Manweb Area (GSP Group_D)"</f>
        <v>Leep Electricity Networks Limited - Effective from 1 April 2027 - Final Schedule of Charges for use of the Distribution System by EHV Properties (including LDNOs with EHV Properties/end-users) in SP Manweb Area (GSP Group_D)</v>
      </c>
      <c r="B36" s="397"/>
      <c r="C36" s="397"/>
      <c r="D36" s="397"/>
      <c r="E36" s="397"/>
      <c r="F36" s="397"/>
      <c r="G36" s="397"/>
      <c r="H36" s="397"/>
      <c r="I36" s="397"/>
      <c r="J36" s="397"/>
      <c r="K36" s="397"/>
      <c r="L36" s="436"/>
      <c r="M36" s="437"/>
    </row>
    <row r="37" spans="1:13" ht="27.75" customHeight="1" x14ac:dyDescent="0.2">
      <c r="A37" s="124"/>
      <c r="B37" s="124"/>
      <c r="C37" s="124"/>
      <c r="D37" s="124"/>
      <c r="E37" s="124"/>
      <c r="F37" s="124"/>
      <c r="G37" s="124"/>
      <c r="H37" s="124"/>
      <c r="I37" s="124"/>
      <c r="J37" s="124"/>
      <c r="K37" s="124"/>
      <c r="L37" s="124"/>
      <c r="M37" s="124"/>
    </row>
    <row r="38" spans="1:13" ht="27.75" customHeight="1" x14ac:dyDescent="0.2">
      <c r="A38" s="455" t="s">
        <v>375</v>
      </c>
      <c r="B38" s="455"/>
      <c r="C38" s="455"/>
      <c r="D38" s="455"/>
      <c r="E38" s="455"/>
      <c r="F38" s="455"/>
      <c r="G38" s="124"/>
      <c r="H38" s="124"/>
      <c r="I38" s="124"/>
      <c r="J38" s="124"/>
      <c r="K38" s="124"/>
      <c r="L38" s="124"/>
      <c r="M38" s="124"/>
    </row>
    <row r="39" spans="1:13" ht="27.75" customHeight="1" x14ac:dyDescent="0.2">
      <c r="A39" s="456" t="s">
        <v>13</v>
      </c>
      <c r="B39" s="457"/>
      <c r="C39" s="457"/>
      <c r="D39" s="458" t="s">
        <v>286</v>
      </c>
      <c r="E39" s="458"/>
      <c r="F39" s="458"/>
      <c r="G39" s="124"/>
      <c r="H39" s="124"/>
      <c r="I39" s="124"/>
      <c r="J39" s="124"/>
      <c r="K39" s="124"/>
      <c r="L39" s="124"/>
      <c r="M39" s="124"/>
    </row>
    <row r="40" spans="1:13" ht="45" customHeight="1" x14ac:dyDescent="0.2">
      <c r="A40" s="417" t="s">
        <v>284</v>
      </c>
      <c r="B40" s="417"/>
      <c r="C40" s="417"/>
      <c r="D40" s="452"/>
      <c r="E40" s="452"/>
      <c r="F40" s="452"/>
      <c r="G40" s="124"/>
      <c r="H40" s="124"/>
      <c r="I40" s="124"/>
      <c r="J40" s="124"/>
      <c r="K40" s="124"/>
      <c r="L40" s="124"/>
      <c r="M40" s="124"/>
    </row>
    <row r="41" spans="1:13" ht="45" customHeight="1" x14ac:dyDescent="0.2">
      <c r="A41" s="417" t="s">
        <v>285</v>
      </c>
      <c r="B41" s="417"/>
      <c r="C41" s="417"/>
      <c r="D41" s="391" t="s">
        <v>378</v>
      </c>
      <c r="E41" s="392"/>
      <c r="F41" s="393"/>
      <c r="G41" s="124"/>
      <c r="H41" s="124"/>
      <c r="I41" s="124"/>
      <c r="J41" s="124"/>
      <c r="K41" s="124"/>
      <c r="L41" s="124"/>
      <c r="M41" s="124"/>
    </row>
    <row r="42" spans="1:13" ht="20.25" customHeight="1" x14ac:dyDescent="0.2">
      <c r="A42" s="417" t="s">
        <v>14</v>
      </c>
      <c r="B42" s="417"/>
      <c r="C42" s="417"/>
      <c r="D42" s="375" t="s">
        <v>15</v>
      </c>
      <c r="E42" s="375"/>
      <c r="F42" s="375"/>
      <c r="G42" s="124"/>
      <c r="H42" s="124"/>
      <c r="I42" s="124"/>
      <c r="J42" s="124"/>
      <c r="K42" s="124"/>
      <c r="L42" s="124"/>
      <c r="M42" s="124"/>
    </row>
    <row r="43" spans="1:13" ht="27.75" customHeight="1" x14ac:dyDescent="0.2">
      <c r="A43" s="124"/>
      <c r="B43" s="124"/>
      <c r="C43" s="124"/>
      <c r="D43" s="124"/>
      <c r="E43" s="124"/>
      <c r="F43" s="124"/>
      <c r="G43" s="124"/>
      <c r="H43" s="124"/>
      <c r="I43" s="124"/>
      <c r="J43" s="124"/>
      <c r="K43" s="124"/>
      <c r="L43" s="124"/>
      <c r="M43" s="124"/>
    </row>
    <row r="44" spans="1:13" ht="63.75" customHeight="1" x14ac:dyDescent="0.2">
      <c r="A44" s="32" t="s">
        <v>376</v>
      </c>
      <c r="B44" s="126" t="s">
        <v>268</v>
      </c>
      <c r="C44" s="32" t="s">
        <v>377</v>
      </c>
      <c r="D44" s="126" t="s">
        <v>269</v>
      </c>
      <c r="E44" s="127" t="s">
        <v>29</v>
      </c>
      <c r="F44" s="128" t="s">
        <v>350</v>
      </c>
      <c r="G44" s="127" t="s">
        <v>279</v>
      </c>
      <c r="H44" s="127" t="s">
        <v>348</v>
      </c>
      <c r="I44" s="127" t="s">
        <v>361</v>
      </c>
      <c r="J44" s="127" t="s">
        <v>351</v>
      </c>
      <c r="K44" s="127" t="s">
        <v>280</v>
      </c>
      <c r="L44" s="127" t="s">
        <v>349</v>
      </c>
      <c r="M44" s="127" t="s">
        <v>362</v>
      </c>
    </row>
    <row r="45" spans="1:13" ht="15" customHeight="1" x14ac:dyDescent="0.2">
      <c r="A45" s="145"/>
      <c r="B45" s="146"/>
      <c r="C45" s="147"/>
      <c r="D45" s="146"/>
      <c r="E45" s="148"/>
      <c r="F45" s="149"/>
      <c r="G45" s="150"/>
      <c r="H45" s="150"/>
      <c r="I45" s="150"/>
      <c r="J45" s="151"/>
      <c r="K45" s="152"/>
      <c r="L45" s="152"/>
      <c r="M45" s="152"/>
    </row>
    <row r="46" spans="1:13" ht="27.75" customHeight="1" x14ac:dyDescent="0.2">
      <c r="A46" s="140"/>
      <c r="B46" s="140"/>
      <c r="C46" s="140"/>
      <c r="D46" s="141"/>
      <c r="E46" s="141"/>
      <c r="F46" s="141"/>
      <c r="G46" s="141"/>
      <c r="H46" s="141"/>
      <c r="I46" s="142"/>
      <c r="J46" s="143"/>
      <c r="K46" s="143"/>
      <c r="L46" s="140"/>
      <c r="M46" s="144"/>
    </row>
    <row r="47" spans="1:13" ht="27.75" customHeight="1" x14ac:dyDescent="0.2">
      <c r="A47" s="140"/>
      <c r="B47" s="140"/>
      <c r="C47" s="140"/>
      <c r="D47" s="141"/>
      <c r="E47" s="141"/>
      <c r="F47" s="141"/>
      <c r="G47" s="141"/>
      <c r="H47" s="141"/>
      <c r="I47" s="142"/>
      <c r="J47" s="143"/>
      <c r="K47" s="143"/>
      <c r="L47" s="140"/>
      <c r="M47" s="144"/>
    </row>
    <row r="48" spans="1:13" ht="39.950000000000003" customHeight="1" x14ac:dyDescent="0.2">
      <c r="A48" s="396" t="str">
        <f>Overview!B4&amp;" - Effective from "&amp;TEXT(Overview!$D$4,"d mmmm yyyy")&amp;" - Final Schedule of Charges for use of the Distribution System by EHV Properties (including LDNOs with EHV Properties/end-users) in WPD West Midlands Area (GSP Group_E)"</f>
        <v>Leep Electricity Networks Limited - Effective from 1 April 2027 - Final Schedule of Charges for use of the Distribution System by EHV Properties (including LDNOs with EHV Properties/end-users) in WPD West Midlands Area (GSP Group_E)</v>
      </c>
      <c r="B48" s="397"/>
      <c r="C48" s="397"/>
      <c r="D48" s="397"/>
      <c r="E48" s="397"/>
      <c r="F48" s="397"/>
      <c r="G48" s="397"/>
      <c r="H48" s="397"/>
      <c r="I48" s="397"/>
      <c r="J48" s="397"/>
      <c r="K48" s="397"/>
      <c r="L48" s="436"/>
      <c r="M48" s="437"/>
    </row>
    <row r="49" spans="1:13" ht="27.75" customHeight="1" x14ac:dyDescent="0.2">
      <c r="A49" s="124"/>
      <c r="B49" s="124"/>
      <c r="C49" s="124"/>
      <c r="D49" s="124"/>
      <c r="E49" s="124"/>
      <c r="F49" s="124"/>
      <c r="G49" s="124"/>
      <c r="H49" s="124"/>
      <c r="I49" s="124"/>
      <c r="J49" s="124"/>
      <c r="K49" s="124"/>
      <c r="L49" s="124"/>
      <c r="M49" s="124"/>
    </row>
    <row r="50" spans="1:13" ht="27.75" customHeight="1" x14ac:dyDescent="0.2">
      <c r="A50" s="455" t="s">
        <v>375</v>
      </c>
      <c r="B50" s="455"/>
      <c r="C50" s="455"/>
      <c r="D50" s="455"/>
      <c r="E50" s="455"/>
      <c r="F50" s="455"/>
      <c r="G50" s="124"/>
      <c r="H50" s="124"/>
      <c r="I50" s="124"/>
      <c r="J50" s="124"/>
      <c r="K50" s="124"/>
      <c r="L50" s="124"/>
      <c r="M50" s="124"/>
    </row>
    <row r="51" spans="1:13" ht="27.75" customHeight="1" x14ac:dyDescent="0.2">
      <c r="A51" s="460" t="s">
        <v>13</v>
      </c>
      <c r="B51" s="461"/>
      <c r="C51" s="461"/>
      <c r="D51" s="462" t="s">
        <v>286</v>
      </c>
      <c r="E51" s="463"/>
      <c r="F51" s="464"/>
      <c r="G51" s="124"/>
      <c r="H51" s="124"/>
      <c r="I51" s="124"/>
      <c r="J51" s="124"/>
      <c r="K51" s="124"/>
      <c r="L51" s="124"/>
      <c r="M51" s="124"/>
    </row>
    <row r="52" spans="1:13" ht="45" customHeight="1" x14ac:dyDescent="0.2">
      <c r="A52" s="417" t="s">
        <v>373</v>
      </c>
      <c r="B52" s="417"/>
      <c r="C52" s="417"/>
      <c r="D52" s="391" t="s">
        <v>372</v>
      </c>
      <c r="E52" s="392"/>
      <c r="F52" s="393"/>
      <c r="G52" s="124"/>
      <c r="H52" s="124"/>
      <c r="I52" s="124"/>
      <c r="J52" s="124"/>
      <c r="K52" s="124"/>
      <c r="L52" s="124"/>
      <c r="M52" s="124"/>
    </row>
    <row r="53" spans="1:13" ht="20.25" customHeight="1" x14ac:dyDescent="0.2">
      <c r="A53" s="417" t="s">
        <v>14</v>
      </c>
      <c r="B53" s="417"/>
      <c r="C53" s="417"/>
      <c r="D53" s="391" t="s">
        <v>15</v>
      </c>
      <c r="E53" s="392"/>
      <c r="F53" s="393"/>
      <c r="G53" s="124"/>
      <c r="H53" s="124"/>
      <c r="I53" s="124"/>
      <c r="J53" s="124"/>
      <c r="K53" s="124"/>
      <c r="L53" s="124"/>
      <c r="M53" s="124"/>
    </row>
    <row r="54" spans="1:13" ht="27.75" customHeight="1" x14ac:dyDescent="0.2">
      <c r="A54" s="465"/>
      <c r="B54" s="465"/>
      <c r="C54" s="465"/>
      <c r="D54" s="466"/>
      <c r="E54" s="466"/>
      <c r="F54" s="466"/>
      <c r="G54" s="124"/>
      <c r="H54" s="124"/>
      <c r="I54" s="124"/>
      <c r="J54" s="124"/>
      <c r="K54" s="124"/>
      <c r="L54" s="124"/>
      <c r="M54" s="124"/>
    </row>
    <row r="55" spans="1:13" ht="63.75" customHeight="1" x14ac:dyDescent="0.2">
      <c r="A55" s="32" t="s">
        <v>376</v>
      </c>
      <c r="B55" s="126" t="s">
        <v>268</v>
      </c>
      <c r="C55" s="32" t="s">
        <v>377</v>
      </c>
      <c r="D55" s="126" t="s">
        <v>269</v>
      </c>
      <c r="E55" s="127" t="s">
        <v>29</v>
      </c>
      <c r="F55" s="128" t="s">
        <v>350</v>
      </c>
      <c r="G55" s="127" t="s">
        <v>279</v>
      </c>
      <c r="H55" s="127" t="s">
        <v>348</v>
      </c>
      <c r="I55" s="127" t="s">
        <v>361</v>
      </c>
      <c r="J55" s="127" t="s">
        <v>351</v>
      </c>
      <c r="K55" s="127" t="s">
        <v>280</v>
      </c>
      <c r="L55" s="127" t="s">
        <v>349</v>
      </c>
      <c r="M55" s="127" t="s">
        <v>362</v>
      </c>
    </row>
    <row r="56" spans="1:13" ht="15" customHeight="1" x14ac:dyDescent="0.2">
      <c r="A56" s="145"/>
      <c r="B56" s="146"/>
      <c r="C56" s="147"/>
      <c r="D56" s="146"/>
      <c r="E56" s="148"/>
      <c r="F56" s="149"/>
      <c r="G56" s="150"/>
      <c r="H56" s="150"/>
      <c r="I56" s="150"/>
      <c r="J56" s="151"/>
      <c r="K56" s="152"/>
      <c r="L56" s="152"/>
      <c r="M56" s="152"/>
    </row>
    <row r="57" spans="1:13" ht="27.75" customHeight="1" x14ac:dyDescent="0.2">
      <c r="A57" s="140"/>
      <c r="B57" s="140"/>
      <c r="C57" s="140"/>
      <c r="D57" s="141"/>
      <c r="E57" s="141"/>
      <c r="F57" s="141"/>
      <c r="G57" s="141"/>
      <c r="H57" s="141"/>
      <c r="I57" s="142"/>
      <c r="J57" s="143"/>
      <c r="K57" s="143"/>
      <c r="L57" s="140"/>
      <c r="M57" s="144"/>
    </row>
    <row r="58" spans="1:13" ht="27.75" customHeight="1" x14ac:dyDescent="0.2">
      <c r="A58" s="140"/>
      <c r="B58" s="140"/>
      <c r="C58" s="140"/>
      <c r="D58" s="141"/>
      <c r="E58" s="141"/>
      <c r="F58" s="141"/>
      <c r="G58" s="141"/>
      <c r="H58" s="141"/>
      <c r="I58" s="142"/>
      <c r="J58" s="143"/>
      <c r="K58" s="143"/>
      <c r="L58" s="140"/>
      <c r="M58" s="144"/>
    </row>
    <row r="59" spans="1:13" ht="39.950000000000003" customHeight="1" x14ac:dyDescent="0.2">
      <c r="A59" s="396" t="str">
        <f>Overview!B4&amp;" - Effective from "&amp;TEXT(Overview!$D$4,"d mmmm yyyy")&amp;" - Final Schedule of Charges for use of the Distribution System by EHV Properties (including LDNOs with EHV Properties/end-users) in NPG Northeast Area (GSP Group_F)"</f>
        <v>Leep Electricity Networks Limited - Effective from 1 April 2027 - Final Schedule of Charges for use of the Distribution System by EHV Properties (including LDNOs with EHV Properties/end-users) in NPG Northeast Area (GSP Group_F)</v>
      </c>
      <c r="B59" s="397"/>
      <c r="C59" s="397"/>
      <c r="D59" s="397"/>
      <c r="E59" s="397"/>
      <c r="F59" s="397"/>
      <c r="G59" s="397"/>
      <c r="H59" s="397"/>
      <c r="I59" s="397"/>
      <c r="J59" s="397"/>
      <c r="K59" s="397"/>
      <c r="L59" s="436"/>
      <c r="M59" s="437"/>
    </row>
    <row r="60" spans="1:13" ht="27.75" customHeight="1" x14ac:dyDescent="0.2">
      <c r="A60" s="124"/>
      <c r="B60" s="124"/>
      <c r="C60" s="124"/>
      <c r="D60" s="124"/>
      <c r="E60" s="124"/>
      <c r="F60" s="124"/>
      <c r="G60" s="124"/>
      <c r="H60" s="124"/>
      <c r="I60" s="124"/>
      <c r="J60" s="124"/>
      <c r="K60" s="124"/>
      <c r="L60" s="124"/>
      <c r="M60" s="124"/>
    </row>
    <row r="61" spans="1:13" ht="27.75" customHeight="1" x14ac:dyDescent="0.2">
      <c r="A61" s="438" t="s">
        <v>375</v>
      </c>
      <c r="B61" s="439"/>
      <c r="C61" s="439"/>
      <c r="D61" s="439"/>
      <c r="E61" s="439"/>
      <c r="F61" s="440"/>
      <c r="G61" s="124"/>
      <c r="H61" s="124"/>
      <c r="I61" s="124"/>
      <c r="J61" s="124"/>
      <c r="K61" s="124"/>
      <c r="L61" s="124"/>
      <c r="M61" s="124"/>
    </row>
    <row r="62" spans="1:13" ht="27.75" customHeight="1" x14ac:dyDescent="0.2">
      <c r="A62" s="441" t="s">
        <v>13</v>
      </c>
      <c r="B62" s="442"/>
      <c r="C62" s="443"/>
      <c r="D62" s="444" t="s">
        <v>286</v>
      </c>
      <c r="E62" s="445"/>
      <c r="F62" s="446"/>
      <c r="G62" s="124"/>
      <c r="H62" s="124"/>
      <c r="I62" s="124"/>
      <c r="J62" s="124"/>
      <c r="K62" s="124"/>
      <c r="L62" s="124"/>
      <c r="M62" s="124"/>
    </row>
    <row r="63" spans="1:13" ht="45" customHeight="1" x14ac:dyDescent="0.2">
      <c r="A63" s="417" t="s">
        <v>285</v>
      </c>
      <c r="B63" s="417"/>
      <c r="C63" s="417"/>
      <c r="D63" s="375" t="s">
        <v>398</v>
      </c>
      <c r="E63" s="375"/>
      <c r="F63" s="375"/>
      <c r="G63" s="124"/>
      <c r="H63" s="124"/>
      <c r="I63" s="124"/>
      <c r="J63" s="124"/>
      <c r="K63" s="124"/>
      <c r="L63" s="124"/>
      <c r="M63" s="124"/>
    </row>
    <row r="64" spans="1:13" ht="20.25" customHeight="1" x14ac:dyDescent="0.2">
      <c r="A64" s="417" t="s">
        <v>14</v>
      </c>
      <c r="B64" s="417"/>
      <c r="C64" s="417"/>
      <c r="D64" s="375" t="s">
        <v>15</v>
      </c>
      <c r="E64" s="375"/>
      <c r="F64" s="375"/>
      <c r="G64" s="124"/>
      <c r="H64" s="158"/>
      <c r="I64" s="158"/>
      <c r="J64" s="158"/>
      <c r="K64" s="158"/>
      <c r="L64" s="158"/>
      <c r="M64" s="158"/>
    </row>
    <row r="65" spans="1:13" ht="27.75" customHeight="1" x14ac:dyDescent="0.2">
      <c r="A65" s="124"/>
      <c r="B65" s="124"/>
      <c r="C65" s="124"/>
      <c r="D65" s="124"/>
      <c r="E65" s="124"/>
      <c r="F65" s="124"/>
      <c r="G65" s="124"/>
      <c r="H65" s="124"/>
      <c r="I65" s="124"/>
      <c r="J65" s="124"/>
      <c r="K65" s="124"/>
      <c r="L65" s="124"/>
      <c r="M65" s="124"/>
    </row>
    <row r="66" spans="1:13" ht="63.75" customHeight="1" x14ac:dyDescent="0.2">
      <c r="A66" s="32" t="s">
        <v>376</v>
      </c>
      <c r="B66" s="126" t="s">
        <v>268</v>
      </c>
      <c r="C66" s="32" t="s">
        <v>377</v>
      </c>
      <c r="D66" s="126" t="s">
        <v>269</v>
      </c>
      <c r="E66" s="127" t="s">
        <v>29</v>
      </c>
      <c r="F66" s="128" t="s">
        <v>350</v>
      </c>
      <c r="G66" s="127" t="s">
        <v>279</v>
      </c>
      <c r="H66" s="127" t="s">
        <v>348</v>
      </c>
      <c r="I66" s="127" t="s">
        <v>361</v>
      </c>
      <c r="J66" s="127" t="s">
        <v>351</v>
      </c>
      <c r="K66" s="127" t="s">
        <v>280</v>
      </c>
      <c r="L66" s="127" t="s">
        <v>349</v>
      </c>
      <c r="M66" s="127" t="s">
        <v>362</v>
      </c>
    </row>
    <row r="67" spans="1:13" ht="15" x14ac:dyDescent="0.2">
      <c r="A67" s="145"/>
      <c r="B67" s="159"/>
      <c r="C67" s="147"/>
      <c r="D67" s="159"/>
      <c r="E67" s="148"/>
      <c r="F67" s="160"/>
      <c r="G67" s="161"/>
      <c r="H67" s="161"/>
      <c r="I67" s="161"/>
      <c r="J67" s="162"/>
      <c r="K67" s="163"/>
      <c r="L67" s="163"/>
      <c r="M67" s="163"/>
    </row>
    <row r="68" spans="1:13" ht="27.75" customHeight="1" x14ac:dyDescent="0.2">
      <c r="A68" s="140"/>
      <c r="B68" s="140"/>
      <c r="C68" s="140"/>
      <c r="D68" s="141"/>
      <c r="E68" s="141"/>
      <c r="F68" s="141"/>
      <c r="G68" s="141"/>
      <c r="H68" s="141"/>
      <c r="I68" s="142"/>
      <c r="J68" s="143"/>
      <c r="K68" s="143"/>
      <c r="L68" s="140"/>
      <c r="M68" s="144"/>
    </row>
    <row r="69" spans="1:13" ht="27.75" customHeight="1" x14ac:dyDescent="0.2">
      <c r="A69" s="140"/>
      <c r="B69" s="140"/>
      <c r="C69" s="140"/>
      <c r="D69" s="141"/>
      <c r="E69" s="141"/>
      <c r="F69" s="141"/>
      <c r="G69" s="141"/>
      <c r="H69" s="141"/>
      <c r="I69" s="142"/>
      <c r="J69" s="143"/>
      <c r="K69" s="143"/>
      <c r="L69" s="140"/>
      <c r="M69" s="144"/>
    </row>
    <row r="70" spans="1:13" ht="39.950000000000003" customHeight="1" x14ac:dyDescent="0.2">
      <c r="A70" s="396" t="str">
        <f>Overview!B4&amp;" - Effective from "&amp;TEXT(Overview!$D$4,"d mmmm yyyy")&amp;" - Final Schedule of Charges for use of the Distribution System by EHV Properties (including LDNOs with EHV Properties/end-users) in Electricity North West Area (GSP Group_G)"</f>
        <v>Leep Electricity Networks Limited - Effective from 1 April 2027 - Final Schedule of Charges for use of the Distribution System by EHV Properties (including LDNOs with EHV Properties/end-users) in Electricity North West Area (GSP Group_G)</v>
      </c>
      <c r="B70" s="397"/>
      <c r="C70" s="397"/>
      <c r="D70" s="397"/>
      <c r="E70" s="397"/>
      <c r="F70" s="397"/>
      <c r="G70" s="397"/>
      <c r="H70" s="397"/>
      <c r="I70" s="397"/>
      <c r="J70" s="397"/>
      <c r="K70" s="397"/>
      <c r="L70" s="436"/>
      <c r="M70" s="437"/>
    </row>
    <row r="71" spans="1:13" ht="27.75" customHeight="1" x14ac:dyDescent="0.2">
      <c r="A71" s="140"/>
      <c r="B71" s="140"/>
      <c r="C71" s="140"/>
      <c r="D71" s="141"/>
      <c r="E71" s="141"/>
      <c r="F71" s="141"/>
      <c r="G71" s="141"/>
      <c r="H71" s="141"/>
      <c r="I71" s="142"/>
      <c r="J71" s="143"/>
      <c r="K71" s="143"/>
      <c r="L71" s="140"/>
      <c r="M71" s="144"/>
    </row>
    <row r="72" spans="1:13" ht="27.75" customHeight="1" x14ac:dyDescent="0.2">
      <c r="A72" s="438" t="s">
        <v>375</v>
      </c>
      <c r="B72" s="439"/>
      <c r="C72" s="439"/>
      <c r="D72" s="439"/>
      <c r="E72" s="439"/>
      <c r="F72" s="440"/>
      <c r="G72" s="141"/>
      <c r="H72" s="141"/>
      <c r="I72" s="142"/>
      <c r="J72" s="143"/>
      <c r="K72" s="143"/>
      <c r="L72" s="140"/>
      <c r="M72" s="144"/>
    </row>
    <row r="73" spans="1:13" ht="27.75" customHeight="1" x14ac:dyDescent="0.2">
      <c r="A73" s="441" t="s">
        <v>13</v>
      </c>
      <c r="B73" s="442"/>
      <c r="C73" s="443"/>
      <c r="D73" s="444" t="s">
        <v>286</v>
      </c>
      <c r="E73" s="445"/>
      <c r="F73" s="446"/>
      <c r="G73" s="141"/>
      <c r="H73" s="141"/>
      <c r="I73" s="142"/>
      <c r="J73" s="143"/>
      <c r="K73" s="143"/>
      <c r="L73" s="140"/>
      <c r="M73" s="144"/>
    </row>
    <row r="74" spans="1:13" ht="45" customHeight="1" x14ac:dyDescent="0.2">
      <c r="A74" s="417" t="s">
        <v>285</v>
      </c>
      <c r="B74" s="417"/>
      <c r="C74" s="417"/>
      <c r="D74" s="391" t="s">
        <v>370</v>
      </c>
      <c r="E74" s="392"/>
      <c r="F74" s="393"/>
      <c r="G74" s="141"/>
      <c r="H74" s="141"/>
      <c r="I74" s="142"/>
      <c r="J74" s="143"/>
      <c r="K74" s="143"/>
      <c r="L74" s="140"/>
      <c r="M74" s="144"/>
    </row>
    <row r="75" spans="1:13" ht="20.25" customHeight="1" x14ac:dyDescent="0.2">
      <c r="A75" s="417" t="s">
        <v>14</v>
      </c>
      <c r="B75" s="417"/>
      <c r="C75" s="417"/>
      <c r="D75" s="391" t="s">
        <v>15</v>
      </c>
      <c r="E75" s="392"/>
      <c r="F75" s="393"/>
      <c r="G75" s="141"/>
      <c r="H75" s="141"/>
      <c r="I75" s="142"/>
      <c r="J75" s="143"/>
      <c r="K75" s="143"/>
      <c r="L75" s="140"/>
      <c r="M75" s="144"/>
    </row>
    <row r="76" spans="1:13" ht="27.75" customHeight="1" x14ac:dyDescent="0.2">
      <c r="A76" s="140"/>
      <c r="B76" s="140"/>
      <c r="C76" s="140"/>
      <c r="D76" s="141"/>
      <c r="E76" s="141"/>
      <c r="F76" s="141"/>
      <c r="G76" s="141"/>
      <c r="H76" s="141"/>
      <c r="I76" s="142"/>
      <c r="J76" s="143"/>
      <c r="K76" s="143"/>
      <c r="L76" s="140"/>
      <c r="M76" s="144"/>
    </row>
    <row r="77" spans="1:13" ht="63.75" customHeight="1" x14ac:dyDescent="0.2">
      <c r="A77" s="32" t="s">
        <v>376</v>
      </c>
      <c r="B77" s="126" t="s">
        <v>268</v>
      </c>
      <c r="C77" s="32" t="s">
        <v>377</v>
      </c>
      <c r="D77" s="126" t="s">
        <v>269</v>
      </c>
      <c r="E77" s="127" t="s">
        <v>29</v>
      </c>
      <c r="F77" s="128" t="s">
        <v>350</v>
      </c>
      <c r="G77" s="127" t="s">
        <v>279</v>
      </c>
      <c r="H77" s="127" t="s">
        <v>348</v>
      </c>
      <c r="I77" s="127" t="s">
        <v>361</v>
      </c>
      <c r="J77" s="127" t="s">
        <v>351</v>
      </c>
      <c r="K77" s="127" t="s">
        <v>280</v>
      </c>
      <c r="L77" s="127" t="s">
        <v>349</v>
      </c>
      <c r="M77" s="127" t="s">
        <v>362</v>
      </c>
    </row>
    <row r="78" spans="1:13" ht="15" customHeight="1" x14ac:dyDescent="0.2">
      <c r="A78" s="147"/>
      <c r="B78" s="159"/>
      <c r="C78" s="147"/>
      <c r="D78" s="159"/>
      <c r="E78" s="148"/>
      <c r="F78" s="164"/>
      <c r="G78" s="165"/>
      <c r="H78" s="165"/>
      <c r="I78" s="165"/>
      <c r="J78" s="162"/>
      <c r="K78" s="163"/>
      <c r="L78" s="163"/>
      <c r="M78" s="163"/>
    </row>
    <row r="79" spans="1:13" ht="27.75" customHeight="1" x14ac:dyDescent="0.2">
      <c r="A79" s="140"/>
      <c r="B79" s="140"/>
      <c r="C79" s="140"/>
      <c r="D79" s="141"/>
      <c r="E79" s="141"/>
      <c r="F79" s="141"/>
      <c r="G79" s="141"/>
      <c r="H79" s="141"/>
      <c r="I79" s="142"/>
      <c r="J79" s="143"/>
      <c r="K79" s="143"/>
      <c r="L79" s="140"/>
      <c r="M79" s="144"/>
    </row>
    <row r="80" spans="1:13" ht="48.75" customHeight="1" x14ac:dyDescent="0.2">
      <c r="A80" s="396" t="str">
        <f>Overview!$B$4&amp;" - Effective from "&amp;Overview!$D$4&amp;" - Final Schedule of Charges for use of the Distribution System by EHV Properties (including LDNOs with EHV Properties/end-users) in SSE SEPD Area (GSP Group_H)"</f>
        <v>Leep Electricity Networks Limited - Effective from 46478 - Final Schedule of Charges for use of the Distribution System by EHV Properties (including LDNOs with EHV Properties/end-users) in SSE SEPD Area (GSP Group_H)</v>
      </c>
      <c r="B80" s="397"/>
      <c r="C80" s="397"/>
      <c r="D80" s="397"/>
      <c r="E80" s="397"/>
      <c r="F80" s="397"/>
      <c r="G80" s="397"/>
      <c r="H80" s="397"/>
      <c r="I80" s="397"/>
      <c r="J80" s="397"/>
      <c r="K80" s="397"/>
      <c r="L80" s="436"/>
      <c r="M80" s="437"/>
    </row>
    <row r="81" spans="1:13" ht="27.75" customHeight="1" x14ac:dyDescent="0.2">
      <c r="A81" s="140"/>
      <c r="B81" s="140"/>
      <c r="C81" s="140"/>
      <c r="D81" s="141"/>
      <c r="E81" s="141"/>
      <c r="F81" s="141"/>
      <c r="G81" s="141"/>
      <c r="H81" s="141"/>
      <c r="I81" s="142"/>
      <c r="J81" s="143"/>
      <c r="K81" s="143"/>
      <c r="L81" s="140"/>
      <c r="M81" s="144"/>
    </row>
    <row r="82" spans="1:13" ht="27.75" customHeight="1" x14ac:dyDescent="0.2">
      <c r="A82" s="438" t="s">
        <v>375</v>
      </c>
      <c r="B82" s="439"/>
      <c r="C82" s="439"/>
      <c r="D82" s="439"/>
      <c r="E82" s="439"/>
      <c r="F82" s="440"/>
      <c r="G82" s="141"/>
      <c r="H82" s="141"/>
      <c r="I82" s="142"/>
      <c r="J82" s="143"/>
      <c r="K82" s="143"/>
      <c r="L82" s="140"/>
      <c r="M82" s="144"/>
    </row>
    <row r="83" spans="1:13" ht="27.75" customHeight="1" x14ac:dyDescent="0.2">
      <c r="A83" s="441" t="s">
        <v>13</v>
      </c>
      <c r="B83" s="442"/>
      <c r="C83" s="443"/>
      <c r="D83" s="444" t="s">
        <v>286</v>
      </c>
      <c r="E83" s="445"/>
      <c r="F83" s="446"/>
      <c r="G83" s="141"/>
      <c r="H83" s="141"/>
      <c r="I83" s="142"/>
      <c r="J83" s="143"/>
      <c r="K83" s="143"/>
      <c r="L83" s="140"/>
      <c r="M83" s="144"/>
    </row>
    <row r="84" spans="1:13" ht="48" customHeight="1" x14ac:dyDescent="0.2">
      <c r="A84" s="417" t="s">
        <v>285</v>
      </c>
      <c r="B84" s="417"/>
      <c r="C84" s="417"/>
      <c r="D84" s="375" t="s">
        <v>378</v>
      </c>
      <c r="E84" s="375"/>
      <c r="F84" s="375"/>
      <c r="G84" s="141"/>
      <c r="H84" s="141"/>
      <c r="I84" s="142"/>
      <c r="J84" s="143"/>
      <c r="K84" s="143"/>
      <c r="L84" s="140"/>
      <c r="M84" s="144"/>
    </row>
    <row r="85" spans="1:13" ht="27.75" customHeight="1" x14ac:dyDescent="0.2">
      <c r="A85" s="417" t="s">
        <v>14</v>
      </c>
      <c r="B85" s="417"/>
      <c r="C85" s="417"/>
      <c r="D85" s="391" t="s">
        <v>15</v>
      </c>
      <c r="E85" s="392"/>
      <c r="F85" s="393"/>
      <c r="G85" s="141"/>
      <c r="H85" s="141"/>
      <c r="I85" s="142"/>
      <c r="J85" s="143"/>
      <c r="K85" s="143"/>
      <c r="L85" s="140"/>
      <c r="M85" s="144"/>
    </row>
    <row r="86" spans="1:13" ht="27.75" customHeight="1" x14ac:dyDescent="0.2">
      <c r="A86" s="140"/>
      <c r="B86" s="140"/>
      <c r="C86" s="140"/>
      <c r="D86" s="141"/>
      <c r="E86" s="141"/>
      <c r="F86" s="141"/>
      <c r="G86" s="141"/>
      <c r="H86" s="141"/>
      <c r="I86" s="142"/>
      <c r="J86" s="143"/>
      <c r="K86" s="143"/>
      <c r="L86" s="140"/>
      <c r="M86" s="144"/>
    </row>
    <row r="87" spans="1:13" ht="51" x14ac:dyDescent="0.2">
      <c r="A87" s="32" t="s">
        <v>376</v>
      </c>
      <c r="B87" s="126" t="s">
        <v>268</v>
      </c>
      <c r="C87" s="32" t="s">
        <v>377</v>
      </c>
      <c r="D87" s="126" t="s">
        <v>269</v>
      </c>
      <c r="E87" s="127" t="s">
        <v>29</v>
      </c>
      <c r="F87" s="128" t="s">
        <v>350</v>
      </c>
      <c r="G87" s="127" t="s">
        <v>279</v>
      </c>
      <c r="H87" s="127" t="s">
        <v>348</v>
      </c>
      <c r="I87" s="127" t="s">
        <v>361</v>
      </c>
      <c r="J87" s="127" t="s">
        <v>351</v>
      </c>
      <c r="K87" s="127" t="s">
        <v>280</v>
      </c>
      <c r="L87" s="127" t="s">
        <v>349</v>
      </c>
      <c r="M87" s="127" t="s">
        <v>362</v>
      </c>
    </row>
    <row r="88" spans="1:13" ht="27.75" customHeight="1" x14ac:dyDescent="0.2">
      <c r="A88" s="147"/>
      <c r="B88" s="159"/>
      <c r="C88" s="147"/>
      <c r="D88" s="159"/>
      <c r="E88" s="148"/>
      <c r="F88" s="164"/>
      <c r="G88" s="165"/>
      <c r="H88" s="165"/>
      <c r="I88" s="165"/>
      <c r="J88" s="162"/>
      <c r="K88" s="163"/>
      <c r="L88" s="163"/>
      <c r="M88" s="163"/>
    </row>
    <row r="89" spans="1:13" ht="27.75" customHeight="1" x14ac:dyDescent="0.2">
      <c r="C89" s="96"/>
      <c r="D89" s="96"/>
      <c r="E89" s="96"/>
      <c r="F89" s="96"/>
      <c r="G89" s="96"/>
      <c r="H89" s="96"/>
      <c r="I89" s="96"/>
    </row>
    <row r="90" spans="1:13" ht="27.75" customHeight="1" x14ac:dyDescent="0.2">
      <c r="A90" s="140"/>
      <c r="B90" s="140"/>
      <c r="C90" s="140"/>
      <c r="D90" s="141"/>
      <c r="E90" s="141"/>
      <c r="F90" s="141"/>
      <c r="G90" s="141"/>
      <c r="H90" s="141"/>
      <c r="I90" s="142"/>
      <c r="J90" s="143"/>
      <c r="K90" s="143"/>
      <c r="L90" s="140"/>
      <c r="M90" s="144"/>
    </row>
    <row r="91" spans="1:13" ht="39.950000000000003" customHeight="1" x14ac:dyDescent="0.2">
      <c r="A91" s="396" t="str">
        <f>Overview!B4&amp;" - Effective from "&amp;TEXT(Overview!$D$4,"d mmmm yyyy")&amp;" - Final Schedule of Charges for use of the Distribution System by EHV Properties (including LDNOs with EHV Properties/end-users) in UKPN SPN Area (GSP Group_J)"</f>
        <v>Leep Electricity Networks Limited - Effective from 1 April 2027 - Final Schedule of Charges for use of the Distribution System by EHV Properties (including LDNOs with EHV Properties/end-users) in UKPN SPN Area (GSP Group_J)</v>
      </c>
      <c r="B91" s="397"/>
      <c r="C91" s="397"/>
      <c r="D91" s="397"/>
      <c r="E91" s="397"/>
      <c r="F91" s="397"/>
      <c r="G91" s="397"/>
      <c r="H91" s="397"/>
      <c r="I91" s="397"/>
      <c r="J91" s="397"/>
      <c r="K91" s="397"/>
      <c r="L91" s="397"/>
      <c r="M91" s="398"/>
    </row>
    <row r="92" spans="1:13" ht="27.75" customHeight="1" x14ac:dyDescent="0.2">
      <c r="A92" s="124"/>
      <c r="B92" s="124"/>
      <c r="C92" s="124"/>
      <c r="D92" s="124"/>
      <c r="E92" s="124"/>
      <c r="F92" s="124"/>
      <c r="G92" s="124"/>
      <c r="H92" s="124"/>
      <c r="I92" s="125"/>
      <c r="J92" s="124"/>
      <c r="K92" s="124"/>
      <c r="L92" s="124"/>
      <c r="M92" s="125"/>
    </row>
    <row r="93" spans="1:13" ht="27.75" customHeight="1" x14ac:dyDescent="0.2">
      <c r="A93" s="438" t="s">
        <v>375</v>
      </c>
      <c r="B93" s="439"/>
      <c r="C93" s="439"/>
      <c r="D93" s="439"/>
      <c r="E93" s="439"/>
      <c r="F93" s="440"/>
      <c r="G93" s="124"/>
      <c r="H93" s="124"/>
      <c r="I93" s="125"/>
      <c r="J93" s="124"/>
      <c r="K93" s="124"/>
      <c r="L93" s="124"/>
      <c r="M93" s="125"/>
    </row>
    <row r="94" spans="1:13" ht="27.75" customHeight="1" x14ac:dyDescent="0.2">
      <c r="A94" s="447" t="s">
        <v>13</v>
      </c>
      <c r="B94" s="448"/>
      <c r="C94" s="448"/>
      <c r="D94" s="449" t="s">
        <v>286</v>
      </c>
      <c r="E94" s="450"/>
      <c r="F94" s="451"/>
      <c r="G94" s="124"/>
      <c r="H94" s="124"/>
      <c r="I94" s="125"/>
      <c r="J94" s="124"/>
      <c r="K94" s="124"/>
      <c r="L94" s="124"/>
      <c r="M94" s="125"/>
    </row>
    <row r="95" spans="1:13" ht="45" customHeight="1" x14ac:dyDescent="0.2">
      <c r="A95" s="371" t="s">
        <v>285</v>
      </c>
      <c r="B95" s="371"/>
      <c r="C95" s="371"/>
      <c r="D95" s="391" t="s">
        <v>370</v>
      </c>
      <c r="E95" s="392"/>
      <c r="F95" s="393"/>
      <c r="G95" s="124"/>
      <c r="H95" s="124"/>
      <c r="I95" s="125"/>
      <c r="J95" s="124"/>
      <c r="K95" s="124"/>
      <c r="L95" s="124"/>
      <c r="M95" s="125"/>
    </row>
    <row r="96" spans="1:13" ht="20.25" customHeight="1" x14ac:dyDescent="0.2">
      <c r="A96" s="371" t="s">
        <v>14</v>
      </c>
      <c r="B96" s="371"/>
      <c r="C96" s="371"/>
      <c r="D96" s="389" t="s">
        <v>371</v>
      </c>
      <c r="E96" s="467"/>
      <c r="F96" s="390"/>
      <c r="G96" s="124"/>
      <c r="H96" s="124"/>
      <c r="I96" s="125"/>
      <c r="J96" s="124"/>
      <c r="K96" s="124"/>
      <c r="L96" s="124"/>
      <c r="M96" s="125"/>
    </row>
    <row r="97" spans="1:13" ht="27.75" customHeight="1" x14ac:dyDescent="0.2">
      <c r="A97" s="124"/>
      <c r="B97" s="124"/>
      <c r="C97" s="124"/>
      <c r="D97" s="124"/>
      <c r="E97" s="124"/>
      <c r="F97" s="124"/>
      <c r="G97" s="124"/>
      <c r="H97" s="124"/>
      <c r="I97" s="125"/>
      <c r="J97" s="124"/>
      <c r="K97" s="124"/>
      <c r="L97" s="124"/>
      <c r="M97" s="125"/>
    </row>
    <row r="98" spans="1:13" ht="63.75" customHeight="1" x14ac:dyDescent="0.2">
      <c r="A98" s="32" t="s">
        <v>376</v>
      </c>
      <c r="B98" s="126" t="s">
        <v>268</v>
      </c>
      <c r="C98" s="32" t="s">
        <v>377</v>
      </c>
      <c r="D98" s="126" t="s">
        <v>269</v>
      </c>
      <c r="E98" s="127" t="s">
        <v>29</v>
      </c>
      <c r="F98" s="128" t="s">
        <v>350</v>
      </c>
      <c r="G98" s="127" t="s">
        <v>279</v>
      </c>
      <c r="H98" s="127" t="s">
        <v>348</v>
      </c>
      <c r="I98" s="127" t="s">
        <v>361</v>
      </c>
      <c r="J98" s="127" t="s">
        <v>351</v>
      </c>
      <c r="K98" s="127" t="s">
        <v>280</v>
      </c>
      <c r="L98" s="127" t="s">
        <v>349</v>
      </c>
      <c r="M98" s="127" t="s">
        <v>362</v>
      </c>
    </row>
    <row r="99" spans="1:13" ht="12.75" x14ac:dyDescent="0.2">
      <c r="A99" s="145"/>
      <c r="B99" s="166"/>
      <c r="C99" s="147"/>
      <c r="D99" s="153"/>
      <c r="E99" s="148"/>
      <c r="F99" s="167"/>
      <c r="G99" s="139"/>
      <c r="H99" s="168"/>
      <c r="I99" s="168"/>
      <c r="J99" s="151"/>
      <c r="K99" s="169"/>
      <c r="L99" s="152"/>
      <c r="M99" s="152"/>
    </row>
    <row r="100" spans="1:13" ht="27.75" customHeight="1" x14ac:dyDescent="0.2">
      <c r="A100" s="140"/>
      <c r="B100" s="140"/>
      <c r="C100" s="140"/>
      <c r="D100" s="141"/>
      <c r="E100" s="141"/>
      <c r="F100" s="141"/>
      <c r="G100" s="141"/>
      <c r="H100" s="141"/>
      <c r="I100" s="142"/>
      <c r="J100" s="143"/>
      <c r="K100" s="143"/>
      <c r="L100" s="140"/>
      <c r="M100" s="144"/>
    </row>
    <row r="101" spans="1:13" ht="27.75" customHeight="1" x14ac:dyDescent="0.2">
      <c r="A101" s="140"/>
      <c r="B101" s="140"/>
      <c r="C101" s="140"/>
      <c r="D101" s="141"/>
      <c r="E101" s="141"/>
      <c r="F101" s="141"/>
      <c r="G101" s="141"/>
      <c r="H101" s="141"/>
      <c r="I101" s="142"/>
      <c r="J101" s="143"/>
      <c r="K101" s="143"/>
      <c r="L101" s="140"/>
      <c r="M101" s="144"/>
    </row>
    <row r="102" spans="1:13" ht="39.950000000000003" customHeight="1" x14ac:dyDescent="0.2">
      <c r="A102" s="396" t="str">
        <f>Overview!B4&amp;" - Effective from "&amp;TEXT(Overview!$D$4,"d mmmm yyyy")&amp;" - Final Schedule of Charges for use of the Distribution System by EHV Properties (including LDNOs with EHV Properties/end-users) in WPD South Wales Area (GSP Group_K)"</f>
        <v>Leep Electricity Networks Limited - Effective from 1 April 2027 - Final Schedule of Charges for use of the Distribution System by EHV Properties (including LDNOs with EHV Properties/end-users) in WPD South Wales Area (GSP Group_K)</v>
      </c>
      <c r="B102" s="397"/>
      <c r="C102" s="397"/>
      <c r="D102" s="397"/>
      <c r="E102" s="397"/>
      <c r="F102" s="397"/>
      <c r="G102" s="397"/>
      <c r="H102" s="397"/>
      <c r="I102" s="397"/>
      <c r="J102" s="397"/>
      <c r="K102" s="397"/>
      <c r="L102" s="436"/>
      <c r="M102" s="437"/>
    </row>
    <row r="103" spans="1:13" ht="27.75" customHeight="1" x14ac:dyDescent="0.2">
      <c r="A103" s="124"/>
      <c r="B103" s="124"/>
      <c r="C103" s="124"/>
      <c r="D103" s="124"/>
      <c r="E103" s="124"/>
      <c r="F103" s="124"/>
      <c r="G103" s="124"/>
      <c r="H103" s="124"/>
      <c r="I103" s="124"/>
      <c r="J103" s="124"/>
      <c r="K103" s="124"/>
      <c r="L103" s="124"/>
      <c r="M103" s="124"/>
    </row>
    <row r="104" spans="1:13" ht="27.75" customHeight="1" x14ac:dyDescent="0.2">
      <c r="A104" s="438" t="s">
        <v>375</v>
      </c>
      <c r="B104" s="439"/>
      <c r="C104" s="439"/>
      <c r="D104" s="439"/>
      <c r="E104" s="439"/>
      <c r="F104" s="440"/>
      <c r="G104" s="124"/>
      <c r="H104" s="124"/>
      <c r="I104" s="124"/>
      <c r="J104" s="124"/>
      <c r="K104" s="124"/>
      <c r="L104" s="124"/>
      <c r="M104" s="124"/>
    </row>
    <row r="105" spans="1:13" ht="27.75" customHeight="1" x14ac:dyDescent="0.2">
      <c r="A105" s="460" t="s">
        <v>13</v>
      </c>
      <c r="B105" s="461"/>
      <c r="C105" s="461"/>
      <c r="D105" s="462" t="s">
        <v>286</v>
      </c>
      <c r="E105" s="463"/>
      <c r="F105" s="464"/>
      <c r="G105" s="124"/>
      <c r="H105" s="124"/>
      <c r="I105" s="124"/>
      <c r="J105" s="124"/>
      <c r="K105" s="124"/>
      <c r="L105" s="124"/>
      <c r="M105" s="124"/>
    </row>
    <row r="106" spans="1:13" ht="45" customHeight="1" x14ac:dyDescent="0.2">
      <c r="A106" s="468" t="s">
        <v>379</v>
      </c>
      <c r="B106" s="468"/>
      <c r="C106" s="468"/>
      <c r="D106" s="431" t="s">
        <v>380</v>
      </c>
      <c r="E106" s="432"/>
      <c r="F106" s="433"/>
      <c r="G106" s="124"/>
      <c r="H106" s="124"/>
      <c r="I106" s="124"/>
      <c r="J106" s="124"/>
      <c r="K106" s="124"/>
      <c r="L106" s="124"/>
      <c r="M106" s="124"/>
    </row>
    <row r="107" spans="1:13" ht="20.25" customHeight="1" x14ac:dyDescent="0.2">
      <c r="A107" s="417" t="s">
        <v>14</v>
      </c>
      <c r="B107" s="417"/>
      <c r="C107" s="417"/>
      <c r="D107" s="391" t="s">
        <v>15</v>
      </c>
      <c r="E107" s="392"/>
      <c r="F107" s="393"/>
      <c r="G107" s="124"/>
      <c r="H107" s="124"/>
      <c r="I107" s="124"/>
      <c r="J107" s="124"/>
      <c r="K107" s="124"/>
      <c r="L107" s="124"/>
      <c r="M107" s="124"/>
    </row>
    <row r="108" spans="1:13" ht="27.75" customHeight="1" x14ac:dyDescent="0.2">
      <c r="A108" s="465"/>
      <c r="B108" s="465"/>
      <c r="C108" s="465"/>
      <c r="D108" s="469"/>
      <c r="E108" s="432"/>
      <c r="F108" s="470"/>
      <c r="G108" s="124"/>
      <c r="H108" s="124"/>
      <c r="I108" s="124"/>
      <c r="J108" s="124"/>
      <c r="K108" s="124"/>
      <c r="L108" s="124"/>
      <c r="M108" s="124"/>
    </row>
    <row r="109" spans="1:13" ht="63.75" customHeight="1" x14ac:dyDescent="0.2">
      <c r="A109" s="32" t="s">
        <v>376</v>
      </c>
      <c r="B109" s="126" t="s">
        <v>268</v>
      </c>
      <c r="C109" s="32" t="s">
        <v>377</v>
      </c>
      <c r="D109" s="126" t="s">
        <v>269</v>
      </c>
      <c r="E109" s="127" t="s">
        <v>29</v>
      </c>
      <c r="F109" s="128" t="s">
        <v>350</v>
      </c>
      <c r="G109" s="127" t="s">
        <v>279</v>
      </c>
      <c r="H109" s="127" t="s">
        <v>348</v>
      </c>
      <c r="I109" s="127" t="s">
        <v>361</v>
      </c>
      <c r="J109" s="127" t="s">
        <v>351</v>
      </c>
      <c r="K109" s="127" t="s">
        <v>280</v>
      </c>
      <c r="L109" s="127" t="s">
        <v>349</v>
      </c>
      <c r="M109" s="127" t="s">
        <v>362</v>
      </c>
    </row>
    <row r="110" spans="1:13" ht="15" customHeight="1" x14ac:dyDescent="0.2">
      <c r="A110" s="145"/>
      <c r="B110" s="146"/>
      <c r="C110" s="147"/>
      <c r="D110" s="146"/>
      <c r="E110" s="148"/>
      <c r="F110" s="149"/>
      <c r="G110" s="150"/>
      <c r="H110" s="150"/>
      <c r="I110" s="150"/>
      <c r="J110" s="151"/>
      <c r="K110" s="152"/>
      <c r="L110" s="152"/>
      <c r="M110" s="152"/>
    </row>
    <row r="111" spans="1:13" ht="27.75" customHeight="1" x14ac:dyDescent="0.2">
      <c r="A111" s="140"/>
      <c r="B111" s="140"/>
      <c r="C111" s="140"/>
      <c r="D111" s="141"/>
      <c r="E111" s="141"/>
      <c r="F111" s="141"/>
      <c r="G111" s="141"/>
      <c r="H111" s="141"/>
      <c r="I111" s="142"/>
      <c r="J111" s="143"/>
      <c r="K111" s="143"/>
      <c r="L111" s="140"/>
      <c r="M111" s="144"/>
    </row>
    <row r="112" spans="1:13" ht="27.75" customHeight="1" x14ac:dyDescent="0.2">
      <c r="A112" s="140"/>
      <c r="B112" s="140"/>
      <c r="C112" s="140"/>
      <c r="D112" s="141"/>
      <c r="E112" s="141"/>
      <c r="F112" s="141"/>
      <c r="G112" s="141"/>
      <c r="H112" s="141"/>
      <c r="I112" s="142"/>
      <c r="J112" s="143"/>
      <c r="K112" s="143"/>
      <c r="L112" s="140"/>
      <c r="M112" s="144"/>
    </row>
    <row r="113" spans="1:13" ht="39.950000000000003" customHeight="1" x14ac:dyDescent="0.2">
      <c r="A113" s="396" t="str">
        <f>Overview!B4&amp;" - Effective from "&amp;TEXT(Overview!$D$4,"d mmmm yyyy")&amp;" - Final Schedule of Charges for use of the Distribution System by EHV Properties (including LDNOs with EHV Properties/end-users) in WPD South West Area (GSP Group_L)"</f>
        <v>Leep Electricity Networks Limited - Effective from 1 April 2027 - Final Schedule of Charges for use of the Distribution System by EHV Properties (including LDNOs with EHV Properties/end-users) in WPD South West Area (GSP Group_L)</v>
      </c>
      <c r="B113" s="397"/>
      <c r="C113" s="397"/>
      <c r="D113" s="397"/>
      <c r="E113" s="397"/>
      <c r="F113" s="397"/>
      <c r="G113" s="397"/>
      <c r="H113" s="397"/>
      <c r="I113" s="397"/>
      <c r="J113" s="397"/>
      <c r="K113" s="397"/>
      <c r="L113" s="436"/>
      <c r="M113" s="437"/>
    </row>
    <row r="114" spans="1:13" ht="27.75" customHeight="1" x14ac:dyDescent="0.2">
      <c r="A114" s="124"/>
      <c r="B114" s="124"/>
      <c r="C114" s="124"/>
      <c r="D114" s="124"/>
      <c r="E114" s="124"/>
      <c r="F114" s="124"/>
      <c r="G114" s="124"/>
      <c r="H114" s="124"/>
      <c r="I114" s="124"/>
      <c r="J114" s="124"/>
      <c r="K114" s="124"/>
      <c r="L114" s="124"/>
      <c r="M114" s="124"/>
    </row>
    <row r="115" spans="1:13" ht="27.75" customHeight="1" x14ac:dyDescent="0.2">
      <c r="A115" s="438" t="s">
        <v>375</v>
      </c>
      <c r="B115" s="439"/>
      <c r="C115" s="439"/>
      <c r="D115" s="439"/>
      <c r="E115" s="439"/>
      <c r="F115" s="440"/>
      <c r="G115" s="124"/>
      <c r="H115" s="124"/>
      <c r="I115" s="124"/>
      <c r="J115" s="124"/>
      <c r="K115" s="124"/>
      <c r="L115" s="124"/>
      <c r="M115" s="124"/>
    </row>
    <row r="116" spans="1:13" ht="27.75" customHeight="1" x14ac:dyDescent="0.2">
      <c r="A116" s="456" t="s">
        <v>13</v>
      </c>
      <c r="B116" s="457"/>
      <c r="C116" s="457"/>
      <c r="D116" s="444" t="s">
        <v>286</v>
      </c>
      <c r="E116" s="445"/>
      <c r="F116" s="446"/>
      <c r="G116" s="124"/>
      <c r="H116" s="124"/>
      <c r="I116" s="124"/>
      <c r="J116" s="124"/>
      <c r="K116" s="124"/>
      <c r="L116" s="124"/>
      <c r="M116" s="124"/>
    </row>
    <row r="117" spans="1:13" ht="45" customHeight="1" x14ac:dyDescent="0.2">
      <c r="A117" s="417" t="s">
        <v>379</v>
      </c>
      <c r="B117" s="417"/>
      <c r="C117" s="417"/>
      <c r="D117" s="391" t="s">
        <v>381</v>
      </c>
      <c r="E117" s="392"/>
      <c r="F117" s="393"/>
      <c r="G117" s="124"/>
      <c r="H117" s="124"/>
      <c r="I117" s="124"/>
      <c r="J117" s="124"/>
      <c r="K117" s="124"/>
      <c r="L117" s="124"/>
      <c r="M117" s="124"/>
    </row>
    <row r="118" spans="1:13" ht="20.25" customHeight="1" x14ac:dyDescent="0.2">
      <c r="A118" s="417" t="s">
        <v>14</v>
      </c>
      <c r="B118" s="417"/>
      <c r="C118" s="417"/>
      <c r="D118" s="391" t="s">
        <v>15</v>
      </c>
      <c r="E118" s="392"/>
      <c r="F118" s="393"/>
      <c r="G118" s="124"/>
      <c r="H118" s="124"/>
      <c r="I118" s="124"/>
      <c r="J118" s="124"/>
      <c r="K118" s="124"/>
      <c r="L118" s="124"/>
      <c r="M118" s="124"/>
    </row>
    <row r="119" spans="1:13" ht="27.75" customHeight="1" x14ac:dyDescent="0.2">
      <c r="A119" s="471"/>
      <c r="B119" s="471"/>
      <c r="C119" s="471"/>
      <c r="D119" s="472"/>
      <c r="E119" s="392"/>
      <c r="F119" s="473"/>
      <c r="G119" s="124"/>
      <c r="H119" s="124"/>
      <c r="I119" s="124"/>
      <c r="J119" s="124"/>
      <c r="K119" s="124"/>
      <c r="L119" s="124"/>
      <c r="M119" s="124"/>
    </row>
    <row r="120" spans="1:13" ht="63.75" customHeight="1" x14ac:dyDescent="0.2">
      <c r="A120" s="32" t="s">
        <v>376</v>
      </c>
      <c r="B120" s="126" t="s">
        <v>268</v>
      </c>
      <c r="C120" s="32" t="s">
        <v>377</v>
      </c>
      <c r="D120" s="126" t="s">
        <v>269</v>
      </c>
      <c r="E120" s="127" t="s">
        <v>29</v>
      </c>
      <c r="F120" s="128" t="s">
        <v>350</v>
      </c>
      <c r="G120" s="127" t="s">
        <v>279</v>
      </c>
      <c r="H120" s="127" t="s">
        <v>348</v>
      </c>
      <c r="I120" s="127" t="s">
        <v>361</v>
      </c>
      <c r="J120" s="127" t="s">
        <v>351</v>
      </c>
      <c r="K120" s="127" t="s">
        <v>280</v>
      </c>
      <c r="L120" s="127" t="s">
        <v>349</v>
      </c>
      <c r="M120" s="127" t="s">
        <v>362</v>
      </c>
    </row>
    <row r="121" spans="1:13" ht="15" customHeight="1" x14ac:dyDescent="0.2">
      <c r="A121" s="145"/>
      <c r="B121" s="146"/>
      <c r="C121" s="146"/>
      <c r="D121" s="159"/>
      <c r="E121" s="146"/>
      <c r="F121" s="149"/>
      <c r="G121" s="150"/>
      <c r="H121" s="150"/>
      <c r="I121" s="150"/>
      <c r="J121" s="151"/>
      <c r="K121" s="152"/>
      <c r="L121" s="152"/>
      <c r="M121" s="152"/>
    </row>
    <row r="122" spans="1:13" ht="27.75" customHeight="1" x14ac:dyDescent="0.2">
      <c r="A122" s="140"/>
      <c r="B122" s="140"/>
      <c r="C122" s="140"/>
      <c r="D122" s="141"/>
      <c r="E122" s="141"/>
      <c r="F122" s="141"/>
      <c r="G122" s="141"/>
      <c r="H122" s="141"/>
      <c r="I122" s="142"/>
      <c r="J122" s="143"/>
      <c r="K122" s="143"/>
      <c r="L122" s="140"/>
      <c r="M122" s="144"/>
    </row>
    <row r="123" spans="1:13" ht="27.75" customHeight="1" x14ac:dyDescent="0.2">
      <c r="A123" s="140"/>
      <c r="B123" s="140"/>
      <c r="C123" s="140"/>
      <c r="D123" s="141"/>
      <c r="E123" s="141"/>
      <c r="F123" s="141"/>
      <c r="G123" s="141"/>
      <c r="H123" s="141"/>
      <c r="I123" s="142"/>
      <c r="J123" s="143"/>
      <c r="K123" s="143"/>
      <c r="L123" s="140"/>
      <c r="M123" s="144"/>
    </row>
    <row r="124" spans="1:13" ht="39.950000000000003" customHeight="1" x14ac:dyDescent="0.2">
      <c r="A124" s="396" t="str">
        <f>Overview!B4&amp;" - Effective from "&amp;TEXT(Overview!$D$4,"d mmmm yyyy")&amp;" - Final Schedule of Charges for use of the Distribution System by EHV Properties (including LDNOs with EHV Properties/end-users) in NPG Yorkshire Area (GSP Group_M)"</f>
        <v>Leep Electricity Networks Limited - Effective from 1 April 2027 - Final Schedule of Charges for use of the Distribution System by EHV Properties (including LDNOs with EHV Properties/end-users) in NPG Yorkshire Area (GSP Group_M)</v>
      </c>
      <c r="B124" s="397"/>
      <c r="C124" s="397"/>
      <c r="D124" s="397"/>
      <c r="E124" s="397"/>
      <c r="F124" s="397"/>
      <c r="G124" s="397"/>
      <c r="H124" s="397"/>
      <c r="I124" s="397"/>
      <c r="J124" s="397"/>
      <c r="K124" s="397"/>
      <c r="L124" s="436"/>
      <c r="M124" s="437"/>
    </row>
    <row r="125" spans="1:13" ht="27.75" customHeight="1" x14ac:dyDescent="0.2">
      <c r="A125" s="124"/>
      <c r="B125" s="124"/>
      <c r="C125" s="124"/>
      <c r="D125" s="124"/>
      <c r="E125" s="124"/>
      <c r="F125" s="124"/>
      <c r="G125" s="124"/>
      <c r="H125" s="124"/>
      <c r="I125" s="124"/>
      <c r="J125" s="124"/>
      <c r="K125" s="124"/>
      <c r="L125" s="124"/>
      <c r="M125" s="124"/>
    </row>
    <row r="126" spans="1:13" ht="27.75" customHeight="1" x14ac:dyDescent="0.2">
      <c r="A126" s="438" t="s">
        <v>375</v>
      </c>
      <c r="B126" s="439"/>
      <c r="C126" s="439"/>
      <c r="D126" s="439"/>
      <c r="E126" s="439"/>
      <c r="F126" s="440"/>
      <c r="G126" s="124"/>
      <c r="H126" s="124"/>
      <c r="I126" s="124"/>
      <c r="J126" s="124"/>
      <c r="K126" s="124"/>
      <c r="L126" s="124"/>
      <c r="M126" s="124"/>
    </row>
    <row r="127" spans="1:13" ht="27.75" customHeight="1" x14ac:dyDescent="0.2">
      <c r="A127" s="441" t="s">
        <v>13</v>
      </c>
      <c r="B127" s="442"/>
      <c r="C127" s="443"/>
      <c r="D127" s="444" t="s">
        <v>286</v>
      </c>
      <c r="E127" s="445"/>
      <c r="F127" s="446"/>
      <c r="G127" s="124"/>
      <c r="H127" s="124"/>
      <c r="I127" s="124"/>
      <c r="J127" s="124"/>
      <c r="K127" s="124"/>
      <c r="L127" s="124"/>
      <c r="M127" s="124"/>
    </row>
    <row r="128" spans="1:13" ht="45" customHeight="1" x14ac:dyDescent="0.2">
      <c r="A128" s="405" t="s">
        <v>285</v>
      </c>
      <c r="B128" s="423"/>
      <c r="C128" s="406"/>
      <c r="D128" s="391" t="s">
        <v>398</v>
      </c>
      <c r="E128" s="392"/>
      <c r="F128" s="393"/>
      <c r="G128" s="124"/>
      <c r="H128" s="124"/>
      <c r="I128" s="124"/>
      <c r="J128" s="124"/>
      <c r="K128" s="124"/>
      <c r="L128" s="124"/>
      <c r="M128" s="124"/>
    </row>
    <row r="129" spans="1:13" ht="20.25" customHeight="1" x14ac:dyDescent="0.2">
      <c r="A129" s="417" t="s">
        <v>14</v>
      </c>
      <c r="B129" s="417"/>
      <c r="C129" s="417"/>
      <c r="D129" s="391" t="s">
        <v>15</v>
      </c>
      <c r="E129" s="392"/>
      <c r="F129" s="393"/>
      <c r="G129" s="124"/>
      <c r="H129" s="158"/>
      <c r="I129" s="158"/>
      <c r="J129" s="158"/>
      <c r="K129" s="158"/>
      <c r="L129" s="158"/>
      <c r="M129" s="158"/>
    </row>
    <row r="130" spans="1:13" ht="27.75" customHeight="1" x14ac:dyDescent="0.2">
      <c r="A130" s="124"/>
      <c r="B130" s="124"/>
      <c r="C130" s="124"/>
      <c r="D130" s="124"/>
      <c r="E130" s="124"/>
      <c r="F130" s="124"/>
      <c r="G130" s="124"/>
      <c r="H130" s="124"/>
      <c r="I130" s="124"/>
      <c r="J130" s="124"/>
      <c r="K130" s="124"/>
      <c r="L130" s="124"/>
      <c r="M130" s="124"/>
    </row>
    <row r="131" spans="1:13" ht="63.75" customHeight="1" x14ac:dyDescent="0.2">
      <c r="A131" s="32" t="s">
        <v>376</v>
      </c>
      <c r="B131" s="126" t="s">
        <v>268</v>
      </c>
      <c r="C131" s="32" t="s">
        <v>377</v>
      </c>
      <c r="D131" s="126" t="s">
        <v>269</v>
      </c>
      <c r="E131" s="127" t="s">
        <v>29</v>
      </c>
      <c r="F131" s="128" t="s">
        <v>350</v>
      </c>
      <c r="G131" s="127" t="s">
        <v>279</v>
      </c>
      <c r="H131" s="127" t="s">
        <v>348</v>
      </c>
      <c r="I131" s="127" t="s">
        <v>361</v>
      </c>
      <c r="J131" s="127" t="s">
        <v>351</v>
      </c>
      <c r="K131" s="127" t="s">
        <v>280</v>
      </c>
      <c r="L131" s="127" t="s">
        <v>349</v>
      </c>
      <c r="M131" s="127" t="s">
        <v>362</v>
      </c>
    </row>
    <row r="132" spans="1:13" ht="15" customHeight="1" x14ac:dyDescent="0.2">
      <c r="A132" s="171"/>
      <c r="B132" s="159"/>
      <c r="C132" s="171"/>
      <c r="D132" s="159"/>
      <c r="E132" s="148"/>
      <c r="F132" s="172"/>
      <c r="G132" s="173"/>
      <c r="H132" s="173"/>
      <c r="I132" s="173"/>
      <c r="J132" s="174"/>
      <c r="K132" s="175"/>
      <c r="L132" s="175"/>
      <c r="M132" s="175"/>
    </row>
    <row r="133" spans="1:13" ht="27.75" customHeight="1" x14ac:dyDescent="0.2">
      <c r="C133" s="96"/>
      <c r="D133" s="96"/>
      <c r="E133" s="96"/>
      <c r="F133" s="96"/>
      <c r="G133" s="96"/>
      <c r="H133" s="96"/>
      <c r="I133" s="96"/>
    </row>
    <row r="134" spans="1:13" ht="27.75" customHeight="1" x14ac:dyDescent="0.2">
      <c r="A134" s="140"/>
      <c r="B134" s="140"/>
      <c r="C134" s="140"/>
      <c r="D134" s="141"/>
      <c r="E134" s="141"/>
      <c r="F134" s="141"/>
      <c r="G134" s="141"/>
      <c r="H134" s="141"/>
      <c r="I134" s="142"/>
      <c r="J134" s="143"/>
      <c r="K134" s="143"/>
      <c r="L134" s="140"/>
      <c r="M134" s="144"/>
    </row>
    <row r="135" spans="1:13" ht="39.950000000000003" customHeight="1" x14ac:dyDescent="0.2">
      <c r="A135" s="396" t="str">
        <f>Overview!B4&amp;" - Effective from "&amp;TEXT(Overview!$D$4,"d mmmm yyyy")&amp;" - Final Schedule of Charges for use of the Distribution System by EHV Properties (including LDNOs with EHV Properties/end-users) in SP Distribution Area (GSP Group_N)"</f>
        <v>Leep Electricity Networks Limited - Effective from 1 April 2027 - Final Schedule of Charges for use of the Distribution System by EHV Properties (including LDNOs with EHV Properties/end-users) in SP Distribution Area (GSP Group_N)</v>
      </c>
      <c r="B135" s="397"/>
      <c r="C135" s="397"/>
      <c r="D135" s="397"/>
      <c r="E135" s="397"/>
      <c r="F135" s="397"/>
      <c r="G135" s="397"/>
      <c r="H135" s="397"/>
      <c r="I135" s="397"/>
      <c r="J135" s="397"/>
      <c r="K135" s="397"/>
      <c r="L135" s="397"/>
      <c r="M135" s="398"/>
    </row>
    <row r="136" spans="1:13" ht="27.75" customHeight="1" x14ac:dyDescent="0.2">
      <c r="A136" s="124"/>
      <c r="B136" s="124"/>
      <c r="C136" s="124"/>
      <c r="D136" s="124"/>
      <c r="E136" s="124"/>
      <c r="F136" s="124"/>
      <c r="G136" s="124"/>
      <c r="H136" s="124"/>
      <c r="I136" s="125"/>
      <c r="J136" s="124"/>
      <c r="K136" s="124"/>
      <c r="L136" s="124"/>
      <c r="M136" s="125"/>
    </row>
    <row r="137" spans="1:13" ht="27.75" customHeight="1" x14ac:dyDescent="0.2">
      <c r="A137" s="438" t="s">
        <v>375</v>
      </c>
      <c r="B137" s="439"/>
      <c r="C137" s="439"/>
      <c r="D137" s="439"/>
      <c r="E137" s="439"/>
      <c r="F137" s="440"/>
      <c r="G137" s="124"/>
      <c r="H137" s="124"/>
      <c r="I137" s="125"/>
      <c r="J137" s="124"/>
      <c r="K137" s="124"/>
      <c r="L137" s="124"/>
      <c r="M137" s="125"/>
    </row>
    <row r="138" spans="1:13" ht="27.75" customHeight="1" x14ac:dyDescent="0.2">
      <c r="A138" s="447" t="s">
        <v>13</v>
      </c>
      <c r="B138" s="448"/>
      <c r="C138" s="448"/>
      <c r="D138" s="449" t="s">
        <v>286</v>
      </c>
      <c r="E138" s="450"/>
      <c r="F138" s="451"/>
      <c r="G138" s="124"/>
      <c r="H138" s="124"/>
      <c r="I138" s="125"/>
      <c r="J138" s="124"/>
      <c r="K138" s="124"/>
      <c r="L138" s="124"/>
      <c r="M138" s="125"/>
    </row>
    <row r="139" spans="1:13" ht="39.950000000000003" customHeight="1" x14ac:dyDescent="0.2">
      <c r="A139" s="417" t="s">
        <v>284</v>
      </c>
      <c r="B139" s="417"/>
      <c r="C139" s="417"/>
      <c r="D139" s="452"/>
      <c r="E139" s="452"/>
      <c r="F139" s="452"/>
      <c r="G139" s="124"/>
      <c r="H139" s="124"/>
      <c r="I139" s="125"/>
      <c r="J139" s="124"/>
      <c r="K139" s="124"/>
      <c r="L139" s="124"/>
      <c r="M139" s="125"/>
    </row>
    <row r="140" spans="1:13" ht="39.950000000000003" customHeight="1" x14ac:dyDescent="0.2">
      <c r="A140" s="417" t="s">
        <v>285</v>
      </c>
      <c r="B140" s="417"/>
      <c r="C140" s="417"/>
      <c r="D140" s="375" t="s">
        <v>378</v>
      </c>
      <c r="E140" s="375"/>
      <c r="F140" s="375"/>
      <c r="G140" s="124"/>
      <c r="H140" s="124"/>
      <c r="I140" s="125"/>
      <c r="J140" s="124"/>
      <c r="K140" s="124"/>
      <c r="L140" s="124"/>
      <c r="M140" s="125"/>
    </row>
    <row r="141" spans="1:13" ht="27.75" customHeight="1" x14ac:dyDescent="0.2">
      <c r="A141" s="417" t="s">
        <v>14</v>
      </c>
      <c r="B141" s="417"/>
      <c r="C141" s="417"/>
      <c r="D141" s="375" t="s">
        <v>15</v>
      </c>
      <c r="E141" s="375"/>
      <c r="F141" s="375"/>
      <c r="G141" s="124"/>
      <c r="H141" s="124"/>
      <c r="I141" s="125"/>
      <c r="J141" s="124"/>
      <c r="K141" s="124"/>
      <c r="L141" s="124"/>
      <c r="M141" s="125"/>
    </row>
    <row r="142" spans="1:13" ht="27.75" customHeight="1" x14ac:dyDescent="0.2">
      <c r="A142" s="124"/>
      <c r="B142" s="124"/>
      <c r="C142" s="124"/>
      <c r="D142" s="124"/>
      <c r="E142" s="124"/>
      <c r="F142" s="124"/>
      <c r="G142" s="124"/>
      <c r="H142" s="124"/>
      <c r="I142" s="125"/>
      <c r="J142" s="124"/>
      <c r="K142" s="124"/>
      <c r="L142" s="124"/>
      <c r="M142" s="125"/>
    </row>
    <row r="143" spans="1:13" ht="63.95" customHeight="1" x14ac:dyDescent="0.2">
      <c r="A143" s="32" t="s">
        <v>376</v>
      </c>
      <c r="B143" s="126" t="s">
        <v>268</v>
      </c>
      <c r="C143" s="32" t="s">
        <v>377</v>
      </c>
      <c r="D143" s="126" t="s">
        <v>269</v>
      </c>
      <c r="E143" s="127" t="s">
        <v>29</v>
      </c>
      <c r="F143" s="128" t="s">
        <v>350</v>
      </c>
      <c r="G143" s="127" t="s">
        <v>279</v>
      </c>
      <c r="H143" s="127" t="s">
        <v>348</v>
      </c>
      <c r="I143" s="127" t="s">
        <v>361</v>
      </c>
      <c r="J143" s="127" t="s">
        <v>351</v>
      </c>
      <c r="K143" s="127" t="s">
        <v>280</v>
      </c>
      <c r="L143" s="127" t="s">
        <v>349</v>
      </c>
      <c r="M143" s="127" t="s">
        <v>362</v>
      </c>
    </row>
    <row r="144" spans="1:13" ht="27.75" customHeight="1" x14ac:dyDescent="0.2">
      <c r="A144" s="145"/>
      <c r="B144" s="166"/>
      <c r="C144" s="147"/>
      <c r="D144" s="153"/>
      <c r="E144" s="148"/>
      <c r="F144" s="167"/>
      <c r="G144" s="139"/>
      <c r="H144" s="168"/>
      <c r="I144" s="168"/>
      <c r="J144" s="151"/>
      <c r="K144" s="169"/>
      <c r="L144" s="152"/>
      <c r="M144" s="152"/>
    </row>
    <row r="145" spans="1:13" ht="27.75" customHeight="1" x14ac:dyDescent="0.2">
      <c r="C145" s="96"/>
      <c r="D145" s="96"/>
      <c r="E145" s="96"/>
      <c r="F145" s="96"/>
      <c r="G145" s="96"/>
      <c r="H145" s="96"/>
      <c r="I145" s="96"/>
    </row>
    <row r="146" spans="1:13" ht="27.75" customHeight="1" x14ac:dyDescent="0.2">
      <c r="A146" s="140"/>
      <c r="B146" s="140"/>
      <c r="C146" s="140"/>
      <c r="D146" s="141"/>
      <c r="E146" s="141"/>
      <c r="F146" s="141"/>
      <c r="G146" s="141"/>
      <c r="H146" s="141"/>
      <c r="I146" s="142"/>
      <c r="J146" s="143"/>
      <c r="K146" s="143"/>
      <c r="L146" s="140"/>
      <c r="M146" s="144"/>
    </row>
    <row r="147" spans="1:13" ht="48.75" customHeight="1" x14ac:dyDescent="0.2">
      <c r="A147" s="396" t="str">
        <f>Overview!$B$4&amp;" - Effective from "&amp;Overview!$D$4&amp;" - Final Schedule of Charges for use of the Distribution System by EHV Properties (including LDNOs with EHV Properties/end-users) in SSE SHEPD Area (GSP Group_P)"</f>
        <v>Leep Electricity Networks Limited - Effective from 46478 - Final Schedule of Charges for use of the Distribution System by EHV Properties (including LDNOs with EHV Properties/end-users) in SSE SHEPD Area (GSP Group_P)</v>
      </c>
      <c r="B147" s="397"/>
      <c r="C147" s="397"/>
      <c r="D147" s="397"/>
      <c r="E147" s="397"/>
      <c r="F147" s="397"/>
      <c r="G147" s="397"/>
      <c r="H147" s="397"/>
      <c r="I147" s="397"/>
      <c r="J147" s="397"/>
      <c r="K147" s="397"/>
      <c r="L147" s="436"/>
      <c r="M147" s="437"/>
    </row>
    <row r="148" spans="1:13" ht="27.75" customHeight="1" x14ac:dyDescent="0.2">
      <c r="A148" s="140"/>
      <c r="B148" s="140"/>
      <c r="C148" s="140"/>
      <c r="D148" s="141"/>
      <c r="E148" s="141"/>
      <c r="F148" s="141"/>
      <c r="G148" s="141"/>
      <c r="H148" s="141"/>
      <c r="I148" s="142"/>
      <c r="J148" s="143"/>
      <c r="K148" s="143"/>
      <c r="L148" s="140"/>
      <c r="M148" s="144"/>
    </row>
    <row r="149" spans="1:13" ht="27.75" customHeight="1" x14ac:dyDescent="0.2">
      <c r="A149" s="438" t="s">
        <v>375</v>
      </c>
      <c r="B149" s="439"/>
      <c r="C149" s="439"/>
      <c r="D149" s="439"/>
      <c r="E149" s="439"/>
      <c r="F149" s="440"/>
      <c r="G149" s="141"/>
      <c r="H149" s="141"/>
      <c r="I149" s="142"/>
      <c r="J149" s="143"/>
      <c r="K149" s="143"/>
      <c r="L149" s="140"/>
      <c r="M149" s="144"/>
    </row>
    <row r="150" spans="1:13" ht="27.75" customHeight="1" x14ac:dyDescent="0.2">
      <c r="A150" s="441" t="s">
        <v>13</v>
      </c>
      <c r="B150" s="442"/>
      <c r="C150" s="443"/>
      <c r="D150" s="444" t="s">
        <v>286</v>
      </c>
      <c r="E150" s="445"/>
      <c r="F150" s="446"/>
      <c r="G150" s="141"/>
      <c r="H150" s="141"/>
      <c r="I150" s="142"/>
      <c r="J150" s="143"/>
      <c r="K150" s="143"/>
      <c r="L150" s="140"/>
      <c r="M150" s="144"/>
    </row>
    <row r="151" spans="1:13" ht="48" customHeight="1" x14ac:dyDescent="0.2">
      <c r="A151" s="417" t="s">
        <v>285</v>
      </c>
      <c r="B151" s="417"/>
      <c r="C151" s="417"/>
      <c r="D151" s="375" t="s">
        <v>370</v>
      </c>
      <c r="E151" s="375"/>
      <c r="F151" s="375"/>
      <c r="G151" s="141"/>
      <c r="H151" s="141"/>
      <c r="I151" s="142"/>
      <c r="J151" s="143"/>
      <c r="K151" s="143"/>
      <c r="L151" s="140"/>
      <c r="M151" s="144"/>
    </row>
    <row r="152" spans="1:13" ht="27.75" customHeight="1" x14ac:dyDescent="0.2">
      <c r="A152" s="417" t="s">
        <v>14</v>
      </c>
      <c r="B152" s="417"/>
      <c r="C152" s="417"/>
      <c r="D152" s="391" t="s">
        <v>15</v>
      </c>
      <c r="E152" s="392"/>
      <c r="F152" s="393"/>
      <c r="G152" s="141"/>
      <c r="H152" s="141"/>
      <c r="I152" s="142"/>
      <c r="J152" s="143"/>
      <c r="K152" s="143"/>
      <c r="L152" s="140"/>
      <c r="M152" s="144"/>
    </row>
    <row r="153" spans="1:13" ht="27.75" customHeight="1" x14ac:dyDescent="0.2">
      <c r="A153" s="140"/>
      <c r="B153" s="140"/>
      <c r="C153" s="140"/>
      <c r="D153" s="141"/>
      <c r="E153" s="141"/>
      <c r="F153" s="141"/>
      <c r="G153" s="141"/>
      <c r="H153" s="141"/>
      <c r="I153" s="142"/>
      <c r="J153" s="143"/>
      <c r="K153" s="143"/>
      <c r="L153" s="140"/>
      <c r="M153" s="144"/>
    </row>
    <row r="154" spans="1:13" ht="63.95" customHeight="1" x14ac:dyDescent="0.2">
      <c r="A154" s="32" t="s">
        <v>376</v>
      </c>
      <c r="B154" s="126" t="s">
        <v>268</v>
      </c>
      <c r="C154" s="32" t="s">
        <v>377</v>
      </c>
      <c r="D154" s="126" t="s">
        <v>269</v>
      </c>
      <c r="E154" s="127" t="s">
        <v>29</v>
      </c>
      <c r="F154" s="128" t="s">
        <v>350</v>
      </c>
      <c r="G154" s="127" t="s">
        <v>279</v>
      </c>
      <c r="H154" s="127" t="s">
        <v>348</v>
      </c>
      <c r="I154" s="127" t="s">
        <v>361</v>
      </c>
      <c r="J154" s="127" t="s">
        <v>351</v>
      </c>
      <c r="K154" s="127" t="s">
        <v>280</v>
      </c>
      <c r="L154" s="127" t="s">
        <v>349</v>
      </c>
      <c r="M154" s="127" t="s">
        <v>362</v>
      </c>
    </row>
    <row r="155" spans="1:13" ht="27.75" customHeight="1" x14ac:dyDescent="0.2">
      <c r="A155" s="147"/>
      <c r="B155" s="159"/>
      <c r="C155" s="147"/>
      <c r="D155" s="159"/>
      <c r="E155" s="148"/>
      <c r="F155" s="164"/>
      <c r="G155" s="165"/>
      <c r="H155" s="165"/>
      <c r="I155" s="165"/>
      <c r="J155" s="162"/>
      <c r="K155" s="163"/>
      <c r="L155" s="163"/>
      <c r="M155" s="163"/>
    </row>
    <row r="156" spans="1:13" ht="27.75" customHeight="1" x14ac:dyDescent="0.2">
      <c r="C156" s="96"/>
      <c r="D156" s="96"/>
      <c r="E156" s="96"/>
      <c r="F156" s="96"/>
      <c r="G156" s="96"/>
      <c r="H156" s="96"/>
      <c r="I156" s="96"/>
    </row>
    <row r="157" spans="1:13" ht="27.75" customHeight="1" x14ac:dyDescent="0.2">
      <c r="A157" s="140"/>
      <c r="B157" s="140"/>
      <c r="C157" s="140"/>
      <c r="D157" s="141"/>
      <c r="E157" s="141"/>
      <c r="F157" s="141"/>
      <c r="G157" s="141"/>
      <c r="H157" s="141"/>
      <c r="I157" s="142"/>
      <c r="J157" s="143"/>
      <c r="K157" s="143"/>
      <c r="L157" s="140"/>
      <c r="M157" s="144"/>
    </row>
  </sheetData>
  <sheetProtection autoFilter="0"/>
  <mergeCells count="125">
    <mergeCell ref="A129:C129"/>
    <mergeCell ref="D129:F129"/>
    <mergeCell ref="A124:M124"/>
    <mergeCell ref="A126:F126"/>
    <mergeCell ref="A127:C127"/>
    <mergeCell ref="D127:F127"/>
    <mergeCell ref="A128:C128"/>
    <mergeCell ref="D128:F128"/>
    <mergeCell ref="A115:F115"/>
    <mergeCell ref="A116:C116"/>
    <mergeCell ref="D116:F116"/>
    <mergeCell ref="A117:C117"/>
    <mergeCell ref="D117:F117"/>
    <mergeCell ref="A118:C118"/>
    <mergeCell ref="D118:F118"/>
    <mergeCell ref="A119:C119"/>
    <mergeCell ref="D119:F119"/>
    <mergeCell ref="A105:C105"/>
    <mergeCell ref="D105:F105"/>
    <mergeCell ref="A106:C106"/>
    <mergeCell ref="D106:F106"/>
    <mergeCell ref="A107:C107"/>
    <mergeCell ref="D107:F107"/>
    <mergeCell ref="A108:C108"/>
    <mergeCell ref="D108:F108"/>
    <mergeCell ref="A113:M113"/>
    <mergeCell ref="A74:C74"/>
    <mergeCell ref="D74:F74"/>
    <mergeCell ref="A104:F104"/>
    <mergeCell ref="A75:C75"/>
    <mergeCell ref="D75:F75"/>
    <mergeCell ref="A91:M91"/>
    <mergeCell ref="A93:F93"/>
    <mergeCell ref="A94:C94"/>
    <mergeCell ref="D94:F94"/>
    <mergeCell ref="A95:C95"/>
    <mergeCell ref="D95:F95"/>
    <mergeCell ref="A96:C96"/>
    <mergeCell ref="D96:F96"/>
    <mergeCell ref="A102:M102"/>
    <mergeCell ref="A80:M80"/>
    <mergeCell ref="A82:F82"/>
    <mergeCell ref="A83:C83"/>
    <mergeCell ref="D83:F83"/>
    <mergeCell ref="A84:C84"/>
    <mergeCell ref="D84:F84"/>
    <mergeCell ref="A85:C85"/>
    <mergeCell ref="D85:F85"/>
    <mergeCell ref="A62:C62"/>
    <mergeCell ref="D62:F62"/>
    <mergeCell ref="A63:C63"/>
    <mergeCell ref="D63:F63"/>
    <mergeCell ref="A64:C64"/>
    <mergeCell ref="D64:F64"/>
    <mergeCell ref="A70:M70"/>
    <mergeCell ref="A72:F72"/>
    <mergeCell ref="A73:C73"/>
    <mergeCell ref="D73:F73"/>
    <mergeCell ref="A39:C39"/>
    <mergeCell ref="D39:F39"/>
    <mergeCell ref="A40:C40"/>
    <mergeCell ref="D40:F40"/>
    <mergeCell ref="A41:C41"/>
    <mergeCell ref="D41:F41"/>
    <mergeCell ref="A42:C42"/>
    <mergeCell ref="D42:F42"/>
    <mergeCell ref="A61:F61"/>
    <mergeCell ref="A48:M48"/>
    <mergeCell ref="A50:F50"/>
    <mergeCell ref="A51:C51"/>
    <mergeCell ref="D51:F51"/>
    <mergeCell ref="A52:C52"/>
    <mergeCell ref="D52:F52"/>
    <mergeCell ref="A53:C53"/>
    <mergeCell ref="D53:F53"/>
    <mergeCell ref="A54:C54"/>
    <mergeCell ref="D54:F54"/>
    <mergeCell ref="A59:M59"/>
    <mergeCell ref="D27:F27"/>
    <mergeCell ref="A28:C28"/>
    <mergeCell ref="D28:F28"/>
    <mergeCell ref="A29:C29"/>
    <mergeCell ref="D29:F29"/>
    <mergeCell ref="A30:C30"/>
    <mergeCell ref="D30:F30"/>
    <mergeCell ref="A36:M36"/>
    <mergeCell ref="A38:F38"/>
    <mergeCell ref="A27:C27"/>
    <mergeCell ref="A6:C6"/>
    <mergeCell ref="D6:F6"/>
    <mergeCell ref="D1:M1"/>
    <mergeCell ref="A2:M2"/>
    <mergeCell ref="A4:F4"/>
    <mergeCell ref="A5:C5"/>
    <mergeCell ref="D5:F5"/>
    <mergeCell ref="A26:F26"/>
    <mergeCell ref="A7:C7"/>
    <mergeCell ref="D7:F7"/>
    <mergeCell ref="A13:M13"/>
    <mergeCell ref="A15:F15"/>
    <mergeCell ref="A16:C16"/>
    <mergeCell ref="D16:F16"/>
    <mergeCell ref="A17:C17"/>
    <mergeCell ref="D17:F17"/>
    <mergeCell ref="A18:C18"/>
    <mergeCell ref="D18:F18"/>
    <mergeCell ref="A24:M24"/>
    <mergeCell ref="A147:M147"/>
    <mergeCell ref="A149:F149"/>
    <mergeCell ref="A150:C150"/>
    <mergeCell ref="D150:F150"/>
    <mergeCell ref="A151:C151"/>
    <mergeCell ref="D151:F151"/>
    <mergeCell ref="A152:C152"/>
    <mergeCell ref="D152:F152"/>
    <mergeCell ref="A135:M135"/>
    <mergeCell ref="A137:F137"/>
    <mergeCell ref="A138:C138"/>
    <mergeCell ref="D138:F138"/>
    <mergeCell ref="A140:C140"/>
    <mergeCell ref="D140:F140"/>
    <mergeCell ref="A141:C141"/>
    <mergeCell ref="D141:F141"/>
    <mergeCell ref="A139:C139"/>
    <mergeCell ref="D139:F139"/>
  </mergeCells>
  <hyperlinks>
    <hyperlink ref="A1" location="Overview!A1" display="Back to Overview" xr:uid="{62B916AB-3053-4963-A3C7-31D2522FE49B}"/>
  </hyperlinks>
  <pageMargins left="0.39370078740157483" right="0.35433070866141736" top="0.86614173228346458" bottom="0.55118110236220474" header="0.27559055118110237" footer="0.27559055118110237"/>
  <pageSetup paperSize="9" scale="73" fitToHeight="0" orientation="landscape" r:id="rId1"/>
  <headerFooter differentFirst="1" scaleWithDoc="0">
    <oddFooter>&amp;L&amp;8Note: The list of MPANs / MSIDs provided may be incomplete; the DNO reserves the right to apply the listed charges to any other MPANs / MSIDs associated with the site.&amp;R&amp;8&amp;P of &amp;N</oddFooter>
    <firstHeader>&amp;L
Annex 2 -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site.&amp;R&amp;8&amp;P of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2"/>
  <sheetViews>
    <sheetView zoomScale="80" zoomScaleNormal="80" workbookViewId="0"/>
  </sheetViews>
  <sheetFormatPr defaultRowHeight="12.75" x14ac:dyDescent="0.2"/>
  <cols>
    <col min="1" max="1" width="47.7109375" customWidth="1"/>
    <col min="2" max="2" width="17.5703125" customWidth="1"/>
    <col min="4" max="10" width="17.5703125" customWidth="1"/>
  </cols>
  <sheetData>
    <row r="1" spans="1:12" s="1" customFormat="1" ht="27.75" customHeight="1" x14ac:dyDescent="0.2">
      <c r="A1" s="31" t="s">
        <v>19</v>
      </c>
      <c r="B1" s="2"/>
      <c r="D1" s="2"/>
      <c r="E1" s="2"/>
      <c r="F1" s="2"/>
      <c r="G1" s="7"/>
      <c r="H1" s="3"/>
      <c r="I1" s="3"/>
    </row>
    <row r="2" spans="1:12" s="1" customFormat="1" ht="27" customHeight="1" x14ac:dyDescent="0.2">
      <c r="A2" s="384" t="str">
        <f>Overview!B4&amp; " - Effective from "&amp;TEXT(Overview!$D$4,"d mmmm yyyy")&amp;" - "&amp;Overview!E4&amp;" LV and HV tariffs in E &amp; W"</f>
        <v>Leep Electricity Networks Limited - Effective from 1 April 2027 - Final LV and HV tariffs in E &amp; W</v>
      </c>
      <c r="B2" s="384"/>
      <c r="C2" s="384"/>
      <c r="D2" s="384"/>
      <c r="E2" s="384"/>
      <c r="F2" s="384"/>
      <c r="G2" s="384"/>
      <c r="H2" s="384"/>
      <c r="I2" s="384"/>
      <c r="J2" s="384"/>
      <c r="K2" s="3"/>
      <c r="L2" s="3"/>
    </row>
    <row r="3" spans="1:12" s="1" customFormat="1" ht="27" customHeight="1" x14ac:dyDescent="0.2">
      <c r="A3" s="474" t="s">
        <v>260</v>
      </c>
      <c r="B3" s="474"/>
      <c r="C3" s="474"/>
      <c r="D3" s="474"/>
      <c r="E3" s="474"/>
      <c r="F3" s="474"/>
      <c r="G3" s="474"/>
      <c r="H3" s="474"/>
      <c r="I3" s="474"/>
      <c r="J3" s="474"/>
      <c r="K3" s="3"/>
      <c r="L3" s="3"/>
    </row>
    <row r="4" spans="1:12" s="1" customFormat="1" ht="71.25" customHeight="1" x14ac:dyDescent="0.2">
      <c r="A4" s="9"/>
      <c r="B4" s="19" t="s">
        <v>0</v>
      </c>
      <c r="C4" s="16" t="s">
        <v>24</v>
      </c>
      <c r="D4" s="16"/>
      <c r="E4" s="16"/>
      <c r="F4" s="16"/>
      <c r="G4" s="16"/>
      <c r="H4" s="16"/>
      <c r="I4" s="16"/>
      <c r="J4" s="16"/>
      <c r="K4" s="3"/>
      <c r="L4" s="3"/>
    </row>
    <row r="5" spans="1:12" s="1" customFormat="1" ht="32.25" customHeight="1" x14ac:dyDescent="0.2">
      <c r="A5" s="10"/>
      <c r="B5" s="24"/>
      <c r="C5" s="177"/>
      <c r="D5" s="178"/>
      <c r="E5" s="178"/>
      <c r="F5" s="178"/>
      <c r="G5" s="17"/>
      <c r="H5" s="17"/>
      <c r="I5" s="17"/>
      <c r="J5" s="17"/>
      <c r="K5" s="3"/>
      <c r="L5" s="3"/>
    </row>
    <row r="6" spans="1:12" ht="20.100000000000001" customHeight="1" x14ac:dyDescent="0.2">
      <c r="A6" s="179" t="s">
        <v>2</v>
      </c>
      <c r="B6" s="475" t="s">
        <v>3</v>
      </c>
      <c r="C6" s="476"/>
      <c r="D6" s="476"/>
      <c r="E6" s="476"/>
      <c r="F6" s="476"/>
      <c r="G6" s="476"/>
      <c r="H6" s="477"/>
      <c r="I6" s="477"/>
      <c r="J6" s="478"/>
    </row>
    <row r="7" spans="1:12" x14ac:dyDescent="0.2">
      <c r="A7" s="30"/>
      <c r="B7" s="30"/>
      <c r="C7" s="30"/>
      <c r="D7" s="30"/>
      <c r="E7" s="30"/>
      <c r="F7" s="30"/>
      <c r="G7" s="30"/>
      <c r="H7" s="30"/>
      <c r="I7" s="30"/>
      <c r="J7" s="30"/>
    </row>
    <row r="8" spans="1:12" x14ac:dyDescent="0.2">
      <c r="A8" s="30"/>
      <c r="B8" s="30"/>
      <c r="C8" s="30"/>
      <c r="D8" s="30"/>
      <c r="E8" s="30"/>
      <c r="F8" s="30"/>
      <c r="G8" s="30"/>
      <c r="H8" s="30"/>
      <c r="I8" s="30"/>
      <c r="J8" s="30"/>
    </row>
    <row r="9" spans="1:12" s="1" customFormat="1" ht="27" customHeight="1" x14ac:dyDescent="0.2">
      <c r="A9" s="474" t="s">
        <v>261</v>
      </c>
      <c r="B9" s="474"/>
      <c r="C9" s="474"/>
      <c r="D9" s="474"/>
      <c r="E9" s="474"/>
      <c r="F9" s="474"/>
      <c r="G9" s="474"/>
      <c r="H9" s="474"/>
      <c r="I9" s="474"/>
      <c r="J9" s="474"/>
      <c r="K9" s="3"/>
      <c r="L9" s="3"/>
    </row>
    <row r="10" spans="1:12" s="1" customFormat="1" ht="58.5" customHeight="1" x14ac:dyDescent="0.2">
      <c r="A10" s="9"/>
      <c r="B10" s="19" t="s">
        <v>0</v>
      </c>
      <c r="C10" s="16" t="s">
        <v>24</v>
      </c>
      <c r="D10" s="19" t="s">
        <v>352</v>
      </c>
      <c r="E10" s="19" t="s">
        <v>353</v>
      </c>
      <c r="F10" s="19" t="s">
        <v>354</v>
      </c>
      <c r="G10" s="16" t="s">
        <v>25</v>
      </c>
      <c r="H10" s="16" t="s">
        <v>26</v>
      </c>
      <c r="I10" s="19" t="s">
        <v>360</v>
      </c>
      <c r="J10" s="16" t="s">
        <v>259</v>
      </c>
      <c r="K10" s="3"/>
      <c r="L10" s="3"/>
    </row>
    <row r="11" spans="1:12" s="1" customFormat="1" ht="32.25" customHeight="1" x14ac:dyDescent="0.2">
      <c r="A11" s="10"/>
      <c r="B11" s="18"/>
      <c r="C11" s="11"/>
      <c r="D11" s="114"/>
      <c r="E11" s="115"/>
      <c r="F11" s="116"/>
      <c r="G11" s="28"/>
      <c r="H11" s="28"/>
      <c r="I11" s="89"/>
      <c r="J11" s="25"/>
      <c r="K11"/>
      <c r="L11" s="3"/>
    </row>
    <row r="12" spans="1:12" x14ac:dyDescent="0.2">
      <c r="A12" s="120" t="s">
        <v>2</v>
      </c>
      <c r="B12" s="479"/>
      <c r="C12" s="479"/>
      <c r="D12" s="479"/>
      <c r="E12" s="479"/>
      <c r="F12" s="479"/>
      <c r="G12" s="479"/>
      <c r="H12" s="480"/>
      <c r="I12" s="480"/>
      <c r="J12" s="480"/>
    </row>
  </sheetData>
  <mergeCells count="5">
    <mergeCell ref="A2:J2"/>
    <mergeCell ref="A3:J3"/>
    <mergeCell ref="B6:J6"/>
    <mergeCell ref="A9:J9"/>
    <mergeCell ref="B12:J12"/>
  </mergeCells>
  <hyperlinks>
    <hyperlink ref="A1" location="Overview!A1" display="Back to Overview" xr:uid="{2DE371DC-0E28-4429-AEEB-C8B5C4F1C4E4}"/>
  </hyperlinks>
  <pageMargins left="0.70866141732283472" right="0.70866141732283472" top="1.0236220472440944" bottom="0.74803149606299213" header="0.31496062992125984" footer="0.31496062992125984"/>
  <pageSetup paperSize="9" scale="54" fitToHeight="0" orientation="portrait" r:id="rId1"/>
  <headerFooter scaleWithDoc="0">
    <oddHeader>&amp;L
&amp;"Arial,Bold"Annex 3&amp;"Arial,Regular" - Schedule of Chargesfor use of the Distribution System to Preserved/Additional LLFC Classes</oddHeader>
    <oddFooter>&amp;C&amp;P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85546875" style="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384" width="9.140625" style="1"/>
  </cols>
  <sheetData>
    <row r="1" spans="1:11" ht="27.75" customHeight="1" x14ac:dyDescent="0.2">
      <c r="A1" s="31" t="s">
        <v>19</v>
      </c>
      <c r="B1" s="1"/>
      <c r="F1" s="1"/>
      <c r="G1" s="1"/>
      <c r="H1" s="1"/>
      <c r="I1" s="3"/>
      <c r="J1" s="1"/>
    </row>
    <row r="2" spans="1:11" ht="31.5" customHeight="1" x14ac:dyDescent="0.2">
      <c r="A2" s="454" t="str">
        <f>Overview!B4&amp;" - Effective from "&amp;TEXT(Overview!$D$4,"d mmmm yyyy")&amp;" - Final LDNO tariffs in UKPN EPN Area (GSP Group_A)"</f>
        <v>Leep Electricity Networks Limited - Effective from 1 April 2027 - Final LDNO tariffs in UKPN EPN Area (GSP Group_A)</v>
      </c>
      <c r="B2" s="454"/>
      <c r="C2" s="454"/>
      <c r="D2" s="454"/>
      <c r="E2" s="454"/>
      <c r="F2" s="454"/>
      <c r="G2" s="454"/>
      <c r="H2" s="454"/>
      <c r="I2" s="454"/>
      <c r="J2" s="454"/>
    </row>
    <row r="3" spans="1:11" ht="8.25" customHeight="1" x14ac:dyDescent="0.2">
      <c r="A3" s="46"/>
      <c r="B3" s="46"/>
      <c r="C3" s="46"/>
      <c r="D3" s="46"/>
      <c r="E3" s="46"/>
      <c r="F3" s="46"/>
      <c r="G3" s="46"/>
      <c r="H3" s="46"/>
      <c r="I3" s="46"/>
      <c r="J3" s="46"/>
    </row>
    <row r="4" spans="1:11" ht="27" customHeight="1" x14ac:dyDescent="0.2">
      <c r="A4" s="396" t="s">
        <v>290</v>
      </c>
      <c r="B4" s="397"/>
      <c r="C4" s="397"/>
      <c r="D4" s="398"/>
      <c r="E4" s="50"/>
      <c r="F4" s="396" t="s">
        <v>289</v>
      </c>
      <c r="G4" s="397"/>
      <c r="H4" s="397"/>
      <c r="I4" s="397"/>
      <c r="J4" s="398"/>
    </row>
    <row r="5" spans="1:11" ht="32.25" customHeight="1" x14ac:dyDescent="0.2">
      <c r="A5" s="39" t="s">
        <v>13</v>
      </c>
      <c r="B5" s="256" t="s">
        <v>281</v>
      </c>
      <c r="C5" s="180" t="s">
        <v>282</v>
      </c>
      <c r="D5" s="41" t="s">
        <v>283</v>
      </c>
      <c r="E5" s="45"/>
      <c r="F5" s="381"/>
      <c r="G5" s="382"/>
      <c r="H5" s="43" t="s">
        <v>287</v>
      </c>
      <c r="I5" s="44" t="s">
        <v>288</v>
      </c>
      <c r="J5" s="41" t="s">
        <v>283</v>
      </c>
    </row>
    <row r="6" spans="1:11" ht="56.25" customHeight="1" x14ac:dyDescent="0.2">
      <c r="A6" s="42" t="str">
        <f>'Annex 1 LV and HV charges_A'!A6</f>
        <v>Monday to Friday 
(Including Bank Holidays)
All Year</v>
      </c>
      <c r="B6" s="248" t="str">
        <f>'Annex 1 LV and HV charges_A'!B6</f>
        <v>16:00 - 19:00</v>
      </c>
      <c r="C6" s="248" t="str">
        <f>'Annex 1 LV and HV charges_A'!C6</f>
        <v>07:00 - 16:00
19:00 - 23:00</v>
      </c>
      <c r="D6" s="95" t="str">
        <f>'Annex 1 LV and HV charges_A'!E6</f>
        <v>00:00 - 07:00
23:00 - 24:00</v>
      </c>
      <c r="E6" s="45"/>
      <c r="F6" s="377" t="str">
        <f>'Annex 1 LV and HV charges_A'!G6</f>
        <v>Monday to Friday 
(Including Bank Holidays)
November to February Inclusive</v>
      </c>
      <c r="G6" s="378">
        <f>'Annex 1 LV and HV charges_A'!H6</f>
        <v>0</v>
      </c>
      <c r="H6" s="248" t="str">
        <f>'Annex 1 LV and HV charges_A'!I6</f>
        <v>16:00 - 19:00</v>
      </c>
      <c r="I6" s="248" t="str">
        <f>'Annex 1 LV and HV charges_A'!J6</f>
        <v>07:00 - 16:00
19:00 - 23:00</v>
      </c>
      <c r="J6" s="95" t="str">
        <f>'Annex 1 LV and HV charges_A'!K6</f>
        <v>00:00 - 07:00
23:00 - 24:00</v>
      </c>
    </row>
    <row r="7" spans="1:11" ht="56.25" customHeight="1" x14ac:dyDescent="0.2">
      <c r="A7" s="42" t="str">
        <f>'Annex 1 LV and HV charges_A'!A7</f>
        <v>Saturday and Sunday
All Year</v>
      </c>
      <c r="B7" s="250" t="str">
        <f>'Annex 1 LV and HV charges_A'!B7</f>
        <v/>
      </c>
      <c r="C7" s="181" t="str">
        <f>'Annex 1 LV and HV charges_A'!C7</f>
        <v/>
      </c>
      <c r="D7" s="248" t="str">
        <f>'Annex 1 LV and HV charges_A'!E7</f>
        <v>00:00 - 24:00</v>
      </c>
      <c r="E7" s="45"/>
      <c r="F7" s="377" t="str">
        <f>'Annex 1 LV and HV charges_A'!G7</f>
        <v>Monday to Friday 
(Including Bank Holidays)
March to October Inclusive</v>
      </c>
      <c r="G7" s="378">
        <f>'Annex 1 LV and HV charges_A'!H7</f>
        <v>0</v>
      </c>
      <c r="H7" s="250" t="str">
        <f>'Annex 1 LV and HV charges_A'!I7</f>
        <v/>
      </c>
      <c r="I7" s="248" t="str">
        <f>'Annex 1 LV and HV charges_A'!J7</f>
        <v>07:00 - 23:00</v>
      </c>
      <c r="J7" s="95" t="str">
        <f>'Annex 1 LV and HV charges_A'!K7</f>
        <v>00:00 - 07:00
23:00 - 24:00</v>
      </c>
    </row>
    <row r="8" spans="1:11" ht="55.5" customHeight="1" x14ac:dyDescent="0.2">
      <c r="A8" s="257" t="str">
        <f>'Annex 1 LV and HV charges_A'!A8</f>
        <v>Notes</v>
      </c>
      <c r="B8" s="377" t="str">
        <f>'Annex 1 LV and HV charges_A'!B8</f>
        <v>All the above times are in UK Clock time</v>
      </c>
      <c r="C8" s="404">
        <f>'Annex 1 LV and HV charges_A'!C8</f>
        <v>0</v>
      </c>
      <c r="D8" s="378">
        <f>'Annex 1 LV and HV charges_A'!D8</f>
        <v>0</v>
      </c>
      <c r="E8" s="45"/>
      <c r="F8" s="377" t="str">
        <f>'Annex 1 LV and HV charges_A'!G8</f>
        <v>Saturday and Sunday
All Year</v>
      </c>
      <c r="G8" s="378">
        <f>'Annex 1 LV and HV charges_A'!H8</f>
        <v>0</v>
      </c>
      <c r="H8" s="250" t="str">
        <f>'Annex 1 LV and HV charges_A'!I8</f>
        <v/>
      </c>
      <c r="I8" s="250" t="str">
        <f>'Annex 1 LV and HV charges_A'!J8</f>
        <v/>
      </c>
      <c r="J8" s="248" t="str">
        <f>'Annex 1 LV and HV charges_A'!K8</f>
        <v>00:00 - 24:00</v>
      </c>
    </row>
    <row r="9" spans="1:11" s="40" customFormat="1" ht="37.5" customHeight="1" x14ac:dyDescent="0.2">
      <c r="B9" s="45"/>
      <c r="C9" s="45"/>
      <c r="D9" s="45"/>
      <c r="E9" s="47"/>
      <c r="F9" s="405" t="str">
        <f>'Annex 1 LV and HV charges_A'!G9</f>
        <v>Notes</v>
      </c>
      <c r="G9" s="406">
        <f>'Annex 1 LV and HV charges_A'!H9</f>
        <v>0</v>
      </c>
      <c r="H9" s="377" t="str">
        <f>'Annex 1 LV and HV charges_A'!I9</f>
        <v>All the above times are in UK Clock time</v>
      </c>
      <c r="I9" s="404">
        <f>'Annex 1 LV and HV charges_A'!J9</f>
        <v>0</v>
      </c>
      <c r="J9" s="378">
        <f>'Annex 1 LV and HV charges_A'!K9</f>
        <v>0</v>
      </c>
    </row>
    <row r="10" spans="1:11" s="40" customFormat="1" ht="12" customHeight="1" x14ac:dyDescent="0.2">
      <c r="A10" s="45"/>
      <c r="B10" s="45"/>
      <c r="C10" s="45"/>
      <c r="D10" s="45"/>
      <c r="E10" s="45"/>
      <c r="F10" s="48"/>
      <c r="G10" s="48"/>
      <c r="H10" s="49"/>
      <c r="I10" s="49"/>
      <c r="J10" s="49"/>
    </row>
    <row r="11" spans="1:11" s="40" customFormat="1" ht="12" customHeight="1" x14ac:dyDescent="0.2">
      <c r="A11" s="45"/>
      <c r="B11" s="45"/>
      <c r="C11" s="45"/>
      <c r="D11" s="45"/>
      <c r="E11" s="45"/>
      <c r="F11" s="48"/>
      <c r="G11" s="48"/>
      <c r="H11" s="49"/>
      <c r="I11" s="49"/>
      <c r="J11" s="49"/>
    </row>
    <row r="12" spans="1:11" s="40" customFormat="1" ht="12" customHeight="1" x14ac:dyDescent="0.2">
      <c r="A12" s="45"/>
      <c r="B12" s="45"/>
      <c r="C12" s="45"/>
      <c r="D12" s="45"/>
      <c r="E12" s="45"/>
      <c r="F12" s="48"/>
      <c r="G12" s="48"/>
      <c r="H12" s="49"/>
      <c r="I12" s="49"/>
      <c r="J12" s="49"/>
    </row>
    <row r="13" spans="1:11" ht="66" customHeight="1" x14ac:dyDescent="0.2">
      <c r="A13" s="19" t="s">
        <v>359</v>
      </c>
      <c r="B13" s="19" t="s">
        <v>31</v>
      </c>
      <c r="C13" s="16" t="s">
        <v>24</v>
      </c>
      <c r="D13" s="16" t="s">
        <v>478</v>
      </c>
      <c r="E13" s="16" t="s">
        <v>479</v>
      </c>
      <c r="F13" s="16" t="s">
        <v>480</v>
      </c>
      <c r="G13" s="16" t="s">
        <v>25</v>
      </c>
      <c r="H13" s="16" t="s">
        <v>26</v>
      </c>
      <c r="I13" s="16" t="s">
        <v>360</v>
      </c>
      <c r="J13" s="16" t="s">
        <v>259</v>
      </c>
    </row>
    <row r="14" spans="1:11" ht="27" customHeight="1" x14ac:dyDescent="0.2">
      <c r="A14" s="322" t="s">
        <v>680</v>
      </c>
      <c r="B14" s="24"/>
      <c r="C14" s="324" t="s">
        <v>802</v>
      </c>
      <c r="D14" s="90">
        <v>9.69</v>
      </c>
      <c r="E14" s="91">
        <v>1.5880000000000001</v>
      </c>
      <c r="F14" s="92">
        <v>0.214</v>
      </c>
      <c r="G14" s="317">
        <v>7.57</v>
      </c>
      <c r="H14" s="318" t="s">
        <v>797</v>
      </c>
      <c r="I14" s="319" t="s">
        <v>797</v>
      </c>
      <c r="J14" s="26" t="s">
        <v>797</v>
      </c>
      <c r="K14" s="326" t="str">
        <f ca="1">IFERROR(IF(#REF!="","",INDEX(INDIRECT("'Annex 1 LV and HV charges"&amp;MID($A$2,FIND("_",$A$2),2)&amp;"'!$A$10:$K$51"),MATCH(MID($A14,FIND(":",$A14)+2,LEN($A14)-FIND(":",$A14)+2),INDIRECT("'Annex 1 LV and HV charges"&amp;MID($A$2,FIND("_",$A$2),2)&amp;"'!$A$10:$A$51"),0),MATCH(J$13,$A$13:$J$13,0))-J14),"")</f>
        <v/>
      </c>
    </row>
    <row r="15" spans="1:11" ht="27" customHeight="1" x14ac:dyDescent="0.2">
      <c r="A15" s="322" t="s">
        <v>543</v>
      </c>
      <c r="B15" s="24"/>
      <c r="C15" s="324">
        <v>2</v>
      </c>
      <c r="D15" s="90">
        <v>9.69</v>
      </c>
      <c r="E15" s="91">
        <v>1.5880000000000001</v>
      </c>
      <c r="F15" s="92">
        <v>0.214</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charges"&amp;MID($A$2,FIND("_",$A$2),2)&amp;"'!$A$10:$A$51"),0),MATCH(J$13,$A$13:$J$13,0))-J15),"")</f>
        <v/>
      </c>
    </row>
    <row r="16" spans="1:11" ht="27" customHeight="1" x14ac:dyDescent="0.2">
      <c r="A16" s="322" t="s">
        <v>687</v>
      </c>
      <c r="B16" s="24"/>
      <c r="C16" s="324" t="s">
        <v>803</v>
      </c>
      <c r="D16" s="90">
        <v>7.4809999999999999</v>
      </c>
      <c r="E16" s="91">
        <v>1.226</v>
      </c>
      <c r="F16" s="92">
        <v>0.16500000000000001</v>
      </c>
      <c r="G16" s="317">
        <v>6.68</v>
      </c>
      <c r="H16" s="318" t="s">
        <v>797</v>
      </c>
      <c r="I16" s="319" t="s">
        <v>797</v>
      </c>
      <c r="J16" s="26" t="s">
        <v>797</v>
      </c>
      <c r="K16" s="326" t="str">
        <f ca="1">IFERROR(IF(#REF!="","",INDEX(INDIRECT("'Annex 1 LV and HV charges"&amp;MID($A$2,FIND("_",$A$2),2)&amp;"'!$A$10:$K$51"),MATCH(MID($A16,FIND(":",$A16)+2,LEN($A16)-FIND(":",$A16)+2),INDIRECT("'Annex 1 LV and HV charges"&amp;MID($A$2,FIND("_",$A$2),2)&amp;"'!$A$10:$A$51"),0),MATCH(J$13,$A$13:$J$13,0))-J16),"")</f>
        <v/>
      </c>
    </row>
    <row r="17" spans="1:11" ht="27" customHeight="1" x14ac:dyDescent="0.2">
      <c r="A17" s="322" t="s">
        <v>694</v>
      </c>
      <c r="B17" s="24"/>
      <c r="C17" s="324" t="s">
        <v>803</v>
      </c>
      <c r="D17" s="90">
        <v>7.4809999999999999</v>
      </c>
      <c r="E17" s="91">
        <v>1.226</v>
      </c>
      <c r="F17" s="92">
        <v>0.16500000000000001</v>
      </c>
      <c r="G17" s="317">
        <v>7.94</v>
      </c>
      <c r="H17" s="318" t="s">
        <v>797</v>
      </c>
      <c r="I17" s="319" t="s">
        <v>797</v>
      </c>
      <c r="J17" s="26" t="s">
        <v>797</v>
      </c>
      <c r="K17" s="326" t="str">
        <f ca="1">IFERROR(IF(#REF!="","",INDEX(INDIRECT("'Annex 1 LV and HV charges"&amp;MID($A$2,FIND("_",$A$2),2)&amp;"'!$A$10:$K$51"),MATCH(MID($A17,FIND(":",$A17)+2,LEN($A17)-FIND(":",$A17)+2),INDIRECT("'Annex 1 LV and HV charges"&amp;MID($A$2,FIND("_",$A$2),2)&amp;"'!$A$10:$A$51"),0),MATCH(J$13,$A$13:$J$13,0))-J17),"")</f>
        <v/>
      </c>
    </row>
    <row r="18" spans="1:11" ht="27" customHeight="1" x14ac:dyDescent="0.2">
      <c r="A18" s="322" t="s">
        <v>701</v>
      </c>
      <c r="B18" s="24"/>
      <c r="C18" s="324" t="s">
        <v>803</v>
      </c>
      <c r="D18" s="90">
        <v>7.4809999999999999</v>
      </c>
      <c r="E18" s="91">
        <v>1.226</v>
      </c>
      <c r="F18" s="92">
        <v>0.16500000000000001</v>
      </c>
      <c r="G18" s="317">
        <v>10.07</v>
      </c>
      <c r="H18" s="318" t="s">
        <v>797</v>
      </c>
      <c r="I18" s="319" t="s">
        <v>797</v>
      </c>
      <c r="J18" s="26" t="s">
        <v>797</v>
      </c>
      <c r="K18" s="326" t="str">
        <f ca="1">IFERROR(IF(#REF!="","",INDEX(INDIRECT("'Annex 1 LV and HV charges"&amp;MID($A$2,FIND("_",$A$2),2)&amp;"'!$A$10:$K$51"),MATCH(MID($A18,FIND(":",$A18)+2,LEN($A18)-FIND(":",$A18)+2),INDIRECT("'Annex 1 LV and HV charges"&amp;MID($A$2,FIND("_",$A$2),2)&amp;"'!$A$10:$A$51"),0),MATCH(J$13,$A$13:$J$13,0))-J18),"")</f>
        <v/>
      </c>
    </row>
    <row r="19" spans="1:11" ht="27" customHeight="1" x14ac:dyDescent="0.2">
      <c r="A19" s="322" t="s">
        <v>708</v>
      </c>
      <c r="B19" s="24"/>
      <c r="C19" s="324" t="s">
        <v>803</v>
      </c>
      <c r="D19" s="90">
        <v>7.4809999999999999</v>
      </c>
      <c r="E19" s="91">
        <v>1.226</v>
      </c>
      <c r="F19" s="92">
        <v>0.16500000000000001</v>
      </c>
      <c r="G19" s="317">
        <v>13.44</v>
      </c>
      <c r="H19" s="318" t="s">
        <v>797</v>
      </c>
      <c r="I19" s="319" t="s">
        <v>797</v>
      </c>
      <c r="J19" s="26" t="s">
        <v>797</v>
      </c>
      <c r="K19" s="326" t="str">
        <f ca="1">IFERROR(IF(#REF!="","",INDEX(INDIRECT("'Annex 1 LV and HV charges"&amp;MID($A$2,FIND("_",$A$2),2)&amp;"'!$A$10:$K$51"),MATCH(MID($A19,FIND(":",$A19)+2,LEN($A19)-FIND(":",$A19)+2),INDIRECT("'Annex 1 LV and HV charges"&amp;MID($A$2,FIND("_",$A$2),2)&amp;"'!$A$10:$A$51"),0),MATCH(J$13,$A$13:$J$13,0))-J19),"")</f>
        <v/>
      </c>
    </row>
    <row r="20" spans="1:11" ht="27" customHeight="1" x14ac:dyDescent="0.2">
      <c r="A20" s="322" t="s">
        <v>715</v>
      </c>
      <c r="B20" s="24"/>
      <c r="C20" s="324" t="s">
        <v>803</v>
      </c>
      <c r="D20" s="90">
        <v>7.4809999999999999</v>
      </c>
      <c r="E20" s="91">
        <v>1.226</v>
      </c>
      <c r="F20" s="92">
        <v>0.16500000000000001</v>
      </c>
      <c r="G20" s="317">
        <v>25.52</v>
      </c>
      <c r="H20" s="318" t="s">
        <v>797</v>
      </c>
      <c r="I20" s="319" t="s">
        <v>797</v>
      </c>
      <c r="J20" s="26" t="s">
        <v>797</v>
      </c>
      <c r="K20" s="326" t="str">
        <f ca="1">IFERROR(IF(#REF!="","",INDEX(INDIRECT("'Annex 1 LV and HV charges"&amp;MID($A$2,FIND("_",$A$2),2)&amp;"'!$A$10:$K$51"),MATCH(MID($A20,FIND(":",$A20)+2,LEN($A20)-FIND(":",$A20)+2),INDIRECT("'Annex 1 LV and HV charges"&amp;MID($A$2,FIND("_",$A$2),2)&amp;"'!$A$10:$A$51"),0),MATCH(J$13,$A$13:$J$13,0))-J20),"")</f>
        <v/>
      </c>
    </row>
    <row r="21" spans="1:11" ht="27" customHeight="1" x14ac:dyDescent="0.2">
      <c r="A21" s="322" t="s">
        <v>481</v>
      </c>
      <c r="B21" s="24"/>
      <c r="C21" s="324">
        <v>4</v>
      </c>
      <c r="D21" s="90">
        <v>7.4809999999999999</v>
      </c>
      <c r="E21" s="91">
        <v>1.226</v>
      </c>
      <c r="F21" s="92">
        <v>0.16500000000000001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charges"&amp;MID($A$2,FIND("_",$A$2),2)&amp;"'!$A$10:$A$51"),0),MATCH(J$13,$A$13:$J$13,0))-J21),"")</f>
        <v/>
      </c>
    </row>
    <row r="22" spans="1:11" ht="27" customHeight="1" x14ac:dyDescent="0.2">
      <c r="A22" s="322" t="s">
        <v>544</v>
      </c>
      <c r="B22" s="18"/>
      <c r="C22" s="324">
        <v>0</v>
      </c>
      <c r="D22" s="90">
        <v>5.4779999999999998</v>
      </c>
      <c r="E22" s="91">
        <v>0.85399999999999998</v>
      </c>
      <c r="F22" s="92">
        <v>0.108</v>
      </c>
      <c r="G22" s="317">
        <v>15.98</v>
      </c>
      <c r="H22" s="317">
        <v>5.64</v>
      </c>
      <c r="I22" s="320">
        <v>5.64</v>
      </c>
      <c r="J22" s="25">
        <v>0.27400000000000002</v>
      </c>
      <c r="K22" s="326" t="str">
        <f ca="1">IFERROR(IF(#REF!="","",INDEX(INDIRECT("'Annex 1 LV and HV charges"&amp;MID($A$2,FIND("_",$A$2),2)&amp;"'!$A$10:$K$51"),MATCH(MID($A22,FIND(":",$A22)+2,LEN($A22)-FIND(":",$A22)+2),INDIRECT("'Annex 1 LV and HV charges"&amp;MID($A$2,FIND("_",$A$2),2)&amp;"'!$A$10:$A$51"),0),MATCH(J$13,$A$13:$J$13,0))-J22),"")</f>
        <v/>
      </c>
    </row>
    <row r="23" spans="1:11" ht="27" customHeight="1" x14ac:dyDescent="0.2">
      <c r="A23" s="322" t="s">
        <v>545</v>
      </c>
      <c r="B23" s="24"/>
      <c r="C23" s="324">
        <v>0</v>
      </c>
      <c r="D23" s="90">
        <v>5.4779999999999998</v>
      </c>
      <c r="E23" s="91">
        <v>0.85399999999999998</v>
      </c>
      <c r="F23" s="92">
        <v>0.108</v>
      </c>
      <c r="G23" s="317">
        <v>55.87</v>
      </c>
      <c r="H23" s="317">
        <v>5.64</v>
      </c>
      <c r="I23" s="320">
        <v>5.64</v>
      </c>
      <c r="J23" s="25">
        <v>0.27400000000000002</v>
      </c>
      <c r="K23" s="326" t="str">
        <f ca="1">IFERROR(IF(#REF!="","",INDEX(INDIRECT("'Annex 1 LV and HV charges"&amp;MID($A$2,FIND("_",$A$2),2)&amp;"'!$A$10:$K$51"),MATCH(MID($A23,FIND(":",$A23)+2,LEN($A23)-FIND(":",$A23)+2),INDIRECT("'Annex 1 LV and HV charges"&amp;MID($A$2,FIND("_",$A$2),2)&amp;"'!$A$10:$A$51"),0),MATCH(J$13,$A$13:$J$13,0))-J23),"")</f>
        <v/>
      </c>
    </row>
    <row r="24" spans="1:11" ht="27" customHeight="1" x14ac:dyDescent="0.2">
      <c r="A24" s="322" t="s">
        <v>546</v>
      </c>
      <c r="B24" s="18"/>
      <c r="C24" s="324">
        <v>0</v>
      </c>
      <c r="D24" s="90">
        <v>5.4779999999999998</v>
      </c>
      <c r="E24" s="91">
        <v>0.85399999999999998</v>
      </c>
      <c r="F24" s="92">
        <v>0.108</v>
      </c>
      <c r="G24" s="317">
        <v>79.069999999999993</v>
      </c>
      <c r="H24" s="317">
        <v>5.64</v>
      </c>
      <c r="I24" s="320">
        <v>5.64</v>
      </c>
      <c r="J24" s="25">
        <v>0.27400000000000002</v>
      </c>
      <c r="K24" s="326" t="str">
        <f ca="1">IFERROR(IF(#REF!="","",INDEX(INDIRECT("'Annex 1 LV and HV charges"&amp;MID($A$2,FIND("_",$A$2),2)&amp;"'!$A$10:$K$51"),MATCH(MID($A24,FIND(":",$A24)+2,LEN($A24)-FIND(":",$A24)+2),INDIRECT("'Annex 1 LV and HV charges"&amp;MID($A$2,FIND("_",$A$2),2)&amp;"'!$A$10:$A$51"),0),MATCH(J$13,$A$13:$J$13,0))-J24),"")</f>
        <v/>
      </c>
    </row>
    <row r="25" spans="1:11" ht="27" customHeight="1" x14ac:dyDescent="0.2">
      <c r="A25" s="322" t="s">
        <v>547</v>
      </c>
      <c r="B25" s="18"/>
      <c r="C25" s="324">
        <v>0</v>
      </c>
      <c r="D25" s="90">
        <v>5.4779999999999998</v>
      </c>
      <c r="E25" s="91">
        <v>0.85399999999999998</v>
      </c>
      <c r="F25" s="92">
        <v>0.108</v>
      </c>
      <c r="G25" s="317">
        <v>111.45</v>
      </c>
      <c r="H25" s="317">
        <v>5.64</v>
      </c>
      <c r="I25" s="320">
        <v>5.64</v>
      </c>
      <c r="J25" s="25">
        <v>0.27400000000000002</v>
      </c>
      <c r="K25" s="326" t="str">
        <f ca="1">IFERROR(IF(#REF!="","",INDEX(INDIRECT("'Annex 1 LV and HV charges"&amp;MID($A$2,FIND("_",$A$2),2)&amp;"'!$A$10:$K$51"),MATCH(MID($A25,FIND(":",$A25)+2,LEN($A25)-FIND(":",$A25)+2),INDIRECT("'Annex 1 LV and HV charges"&amp;MID($A$2,FIND("_",$A$2),2)&amp;"'!$A$10:$A$51"),0),MATCH(J$13,$A$13:$J$13,0))-J25),"")</f>
        <v/>
      </c>
    </row>
    <row r="26" spans="1:11" ht="27" customHeight="1" x14ac:dyDescent="0.2">
      <c r="A26" s="322" t="s">
        <v>548</v>
      </c>
      <c r="B26" s="18"/>
      <c r="C26" s="324">
        <v>0</v>
      </c>
      <c r="D26" s="90">
        <v>5.4779999999999998</v>
      </c>
      <c r="E26" s="91">
        <v>0.85399999999999998</v>
      </c>
      <c r="F26" s="92">
        <v>0.108</v>
      </c>
      <c r="G26" s="317">
        <v>237.71</v>
      </c>
      <c r="H26" s="317">
        <v>5.64</v>
      </c>
      <c r="I26" s="320">
        <v>5.64</v>
      </c>
      <c r="J26" s="25">
        <v>0.27400000000000002</v>
      </c>
      <c r="K26" s="326" t="str">
        <f ca="1">IFERROR(IF(#REF!="","",INDEX(INDIRECT("'Annex 1 LV and HV charges"&amp;MID($A$2,FIND("_",$A$2),2)&amp;"'!$A$10:$K$51"),MATCH(MID($A26,FIND(":",$A26)+2,LEN($A26)-FIND(":",$A26)+2),INDIRECT("'Annex 1 LV and HV charges"&amp;MID($A$2,FIND("_",$A$2),2)&amp;"'!$A$10:$A$51"),0),MATCH(J$13,$A$13:$J$13,0))-J26),"")</f>
        <v/>
      </c>
    </row>
    <row r="27" spans="1:11" ht="27" customHeight="1" x14ac:dyDescent="0.2">
      <c r="A27" s="322" t="s">
        <v>482</v>
      </c>
      <c r="B27" s="24"/>
      <c r="C27" s="324" t="s">
        <v>804</v>
      </c>
      <c r="D27" s="93">
        <v>28.539000000000001</v>
      </c>
      <c r="E27" s="94">
        <v>2.94</v>
      </c>
      <c r="F27" s="92">
        <v>1.7050000000000001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charges"&amp;MID($A$2,FIND("_",$A$2),2)&amp;"'!$A$10:$A$51"),0),MATCH(J$13,$A$13:$J$13,0))-J27),"")</f>
        <v/>
      </c>
    </row>
    <row r="28" spans="1:11" ht="27" customHeight="1" x14ac:dyDescent="0.2">
      <c r="A28" s="322" t="s">
        <v>511</v>
      </c>
      <c r="B28" s="24"/>
      <c r="C28" s="324" t="s">
        <v>805</v>
      </c>
      <c r="D28" s="90">
        <v>-8.76</v>
      </c>
      <c r="E28" s="91">
        <v>-1.4350000000000001</v>
      </c>
      <c r="F28" s="92">
        <v>-0.19400000000000001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charges"&amp;MID($A$2,FIND("_",$A$2),2)&amp;"'!$A$10:$A$51"),0),MATCH(J$13,$A$13:$J$13,0))-J28),"")</f>
        <v/>
      </c>
    </row>
    <row r="29" spans="1:11" ht="27" customHeight="1" x14ac:dyDescent="0.2">
      <c r="A29" s="322" t="s">
        <v>512</v>
      </c>
      <c r="B29" s="24"/>
      <c r="C29" s="324">
        <v>0</v>
      </c>
      <c r="D29" s="90">
        <v>-8.76</v>
      </c>
      <c r="E29" s="91">
        <v>-1.4350000000000001</v>
      </c>
      <c r="F29" s="92">
        <v>-0.19400000000000001</v>
      </c>
      <c r="G29" s="317" t="s">
        <v>797</v>
      </c>
      <c r="H29" s="318" t="s">
        <v>797</v>
      </c>
      <c r="I29" s="319" t="s">
        <v>797</v>
      </c>
      <c r="J29" s="25">
        <v>0.5</v>
      </c>
      <c r="K29" s="326" t="str">
        <f ca="1">IFERROR(IF(#REF!="","",INDEX(INDIRECT("'Annex 1 LV and HV charges"&amp;MID($A$2,FIND("_",$A$2),2)&amp;"'!$A$10:$K$51"),MATCH(MID($A29,FIND(":",$A29)+2,LEN($A29)-FIND(":",$A29)+2),INDIRECT("'Annex 1 LV and HV charges"&amp;MID($A$2,FIND("_",$A$2),2)&amp;"'!$A$10:$A$51"),0),MATCH(J$13,$A$13:$J$13,0))-J29),"")</f>
        <v/>
      </c>
    </row>
    <row r="30" spans="1:11" ht="27" customHeight="1" x14ac:dyDescent="0.2">
      <c r="A30" s="323" t="s">
        <v>681</v>
      </c>
      <c r="B30" s="24"/>
      <c r="C30" s="324" t="s">
        <v>802</v>
      </c>
      <c r="D30" s="90">
        <v>7.5190000000000001</v>
      </c>
      <c r="E30" s="91">
        <v>1.232</v>
      </c>
      <c r="F30" s="92">
        <v>0.16600000000000001</v>
      </c>
      <c r="G30" s="317">
        <v>5.87</v>
      </c>
      <c r="H30" s="318" t="s">
        <v>797</v>
      </c>
      <c r="I30" s="319" t="s">
        <v>797</v>
      </c>
      <c r="J30" s="26" t="s">
        <v>797</v>
      </c>
      <c r="K30" s="326" t="str">
        <f ca="1">IFERROR(IF(#REF!="","",INDEX(INDIRECT("'Annex 1 LV and HV charges"&amp;MID($A$2,FIND("_",$A$2),2)&amp;"'!$A$10:$K$51"),MATCH(MID($A30,FIND(":",$A30)+2,LEN($A30)-FIND(":",$A30)+2),INDIRECT("'Annex 1 LV and HV charges"&amp;MID($A$2,FIND("_",$A$2),2)&amp;"'!$A$10:$A$51"),0),MATCH(J$13,$A$13:$J$13,0))-J30),"")</f>
        <v/>
      </c>
    </row>
    <row r="31" spans="1:11" ht="27" customHeight="1" x14ac:dyDescent="0.2">
      <c r="A31" s="323" t="s">
        <v>549</v>
      </c>
      <c r="B31" s="24"/>
      <c r="C31" s="324">
        <v>2</v>
      </c>
      <c r="D31" s="90">
        <v>7.5190000000000001</v>
      </c>
      <c r="E31" s="91">
        <v>1.232</v>
      </c>
      <c r="F31" s="92">
        <v>0.16600000000000001</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charges"&amp;MID($A$2,FIND("_",$A$2),2)&amp;"'!$A$10:$A$51"),0),MATCH(J$13,$A$13:$J$13,0))-J31),"")</f>
        <v/>
      </c>
    </row>
    <row r="32" spans="1:11" ht="27" customHeight="1" x14ac:dyDescent="0.2">
      <c r="A32" s="323" t="s">
        <v>688</v>
      </c>
      <c r="B32" s="18"/>
      <c r="C32" s="324" t="s">
        <v>803</v>
      </c>
      <c r="D32" s="90">
        <v>5.8049999999999997</v>
      </c>
      <c r="E32" s="91">
        <v>0.95099999999999996</v>
      </c>
      <c r="F32" s="92">
        <v>0.128</v>
      </c>
      <c r="G32" s="317">
        <v>5.18</v>
      </c>
      <c r="H32" s="318" t="s">
        <v>797</v>
      </c>
      <c r="I32" s="319" t="s">
        <v>797</v>
      </c>
      <c r="J32" s="26" t="s">
        <v>797</v>
      </c>
      <c r="K32" s="326" t="str">
        <f ca="1">IFERROR(IF(#REF!="","",INDEX(INDIRECT("'Annex 1 LV and HV charges"&amp;MID($A$2,FIND("_",$A$2),2)&amp;"'!$A$10:$K$51"),MATCH(MID($A32,FIND(":",$A32)+2,LEN($A32)-FIND(":",$A32)+2),INDIRECT("'Annex 1 LV and HV charges"&amp;MID($A$2,FIND("_",$A$2),2)&amp;"'!$A$10:$A$51"),0),MATCH(J$13,$A$13:$J$13,0))-J32),"")</f>
        <v/>
      </c>
    </row>
    <row r="33" spans="1:11" ht="27" customHeight="1" x14ac:dyDescent="0.2">
      <c r="A33" s="323" t="s">
        <v>695</v>
      </c>
      <c r="B33" s="24"/>
      <c r="C33" s="324" t="s">
        <v>803</v>
      </c>
      <c r="D33" s="90">
        <v>5.8049999999999997</v>
      </c>
      <c r="E33" s="91">
        <v>0.95099999999999996</v>
      </c>
      <c r="F33" s="92">
        <v>0.128</v>
      </c>
      <c r="G33" s="317">
        <v>6.16</v>
      </c>
      <c r="H33" s="318" t="s">
        <v>797</v>
      </c>
      <c r="I33" s="319" t="s">
        <v>797</v>
      </c>
      <c r="J33" s="26" t="s">
        <v>797</v>
      </c>
      <c r="K33" s="326" t="str">
        <f ca="1">IFERROR(IF(#REF!="","",INDEX(INDIRECT("'Annex 1 LV and HV charges"&amp;MID($A$2,FIND("_",$A$2),2)&amp;"'!$A$10:$K$51"),MATCH(MID($A33,FIND(":",$A33)+2,LEN($A33)-FIND(":",$A33)+2),INDIRECT("'Annex 1 LV and HV charges"&amp;MID($A$2,FIND("_",$A$2),2)&amp;"'!$A$10:$A$51"),0),MATCH(J$13,$A$13:$J$13,0))-J33),"")</f>
        <v/>
      </c>
    </row>
    <row r="34" spans="1:11" ht="27" customHeight="1" x14ac:dyDescent="0.2">
      <c r="A34" s="323" t="s">
        <v>702</v>
      </c>
      <c r="B34" s="18"/>
      <c r="C34" s="324" t="s">
        <v>803</v>
      </c>
      <c r="D34" s="90">
        <v>5.8049999999999997</v>
      </c>
      <c r="E34" s="91">
        <v>0.95099999999999996</v>
      </c>
      <c r="F34" s="92">
        <v>0.128</v>
      </c>
      <c r="G34" s="317">
        <v>7.81</v>
      </c>
      <c r="H34" s="318" t="s">
        <v>797</v>
      </c>
      <c r="I34" s="319" t="s">
        <v>797</v>
      </c>
      <c r="J34" s="26" t="s">
        <v>797</v>
      </c>
      <c r="K34" s="326" t="str">
        <f ca="1">IFERROR(IF(#REF!="","",INDEX(INDIRECT("'Annex 1 LV and HV charges"&amp;MID($A$2,FIND("_",$A$2),2)&amp;"'!$A$10:$K$51"),MATCH(MID($A34,FIND(":",$A34)+2,LEN($A34)-FIND(":",$A34)+2),INDIRECT("'Annex 1 LV and HV charges"&amp;MID($A$2,FIND("_",$A$2),2)&amp;"'!$A$10:$A$51"),0),MATCH(J$13,$A$13:$J$13,0))-J34),"")</f>
        <v/>
      </c>
    </row>
    <row r="35" spans="1:11" ht="27" customHeight="1" x14ac:dyDescent="0.2">
      <c r="A35" s="323" t="s">
        <v>709</v>
      </c>
      <c r="B35" s="18"/>
      <c r="C35" s="324" t="s">
        <v>803</v>
      </c>
      <c r="D35" s="90">
        <v>5.8049999999999997</v>
      </c>
      <c r="E35" s="91">
        <v>0.95099999999999996</v>
      </c>
      <c r="F35" s="92">
        <v>0.128</v>
      </c>
      <c r="G35" s="317">
        <v>10.43</v>
      </c>
      <c r="H35" s="318" t="s">
        <v>797</v>
      </c>
      <c r="I35" s="319" t="s">
        <v>797</v>
      </c>
      <c r="J35" s="26" t="s">
        <v>797</v>
      </c>
      <c r="K35" s="326" t="str">
        <f ca="1">IFERROR(IF(#REF!="","",INDEX(INDIRECT("'Annex 1 LV and HV charges"&amp;MID($A$2,FIND("_",$A$2),2)&amp;"'!$A$10:$K$51"),MATCH(MID($A35,FIND(":",$A35)+2,LEN($A35)-FIND(":",$A35)+2),INDIRECT("'Annex 1 LV and HV charges"&amp;MID($A$2,FIND("_",$A$2),2)&amp;"'!$A$10:$A$51"),0),MATCH(J$13,$A$13:$J$13,0))-J35),"")</f>
        <v/>
      </c>
    </row>
    <row r="36" spans="1:11" ht="27" customHeight="1" x14ac:dyDescent="0.2">
      <c r="A36" s="323" t="s">
        <v>716</v>
      </c>
      <c r="B36" s="18"/>
      <c r="C36" s="324" t="s">
        <v>803</v>
      </c>
      <c r="D36" s="90">
        <v>5.8049999999999997</v>
      </c>
      <c r="E36" s="91">
        <v>0.95099999999999996</v>
      </c>
      <c r="F36" s="92">
        <v>0.128</v>
      </c>
      <c r="G36" s="317">
        <v>19.809999999999999</v>
      </c>
      <c r="H36" s="318" t="s">
        <v>797</v>
      </c>
      <c r="I36" s="319" t="s">
        <v>797</v>
      </c>
      <c r="J36" s="26" t="s">
        <v>797</v>
      </c>
      <c r="K36" s="326" t="str">
        <f ca="1">IFERROR(IF(#REF!="","",INDEX(INDIRECT("'Annex 1 LV and HV charges"&amp;MID($A$2,FIND("_",$A$2),2)&amp;"'!$A$10:$K$51"),MATCH(MID($A36,FIND(":",$A36)+2,LEN($A36)-FIND(":",$A36)+2),INDIRECT("'Annex 1 LV and HV charges"&amp;MID($A$2,FIND("_",$A$2),2)&amp;"'!$A$10:$A$51"),0),MATCH(J$13,$A$13:$J$13,0))-J36),"")</f>
        <v/>
      </c>
    </row>
    <row r="37" spans="1:11" ht="27" customHeight="1" x14ac:dyDescent="0.2">
      <c r="A37" s="323" t="s">
        <v>483</v>
      </c>
      <c r="B37" s="24"/>
      <c r="C37" s="324">
        <v>4</v>
      </c>
      <c r="D37" s="90">
        <v>5.8049999999999997</v>
      </c>
      <c r="E37" s="91">
        <v>0.95099999999999996</v>
      </c>
      <c r="F37" s="92">
        <v>0.128</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charges"&amp;MID($A$2,FIND("_",$A$2),2)&amp;"'!$A$10:$A$51"),0),MATCH(J$13,$A$13:$J$13,0))-J37),"")</f>
        <v/>
      </c>
    </row>
    <row r="38" spans="1:11" ht="27" customHeight="1" x14ac:dyDescent="0.2">
      <c r="A38" s="323" t="s">
        <v>550</v>
      </c>
      <c r="B38" s="18"/>
      <c r="C38" s="324">
        <v>0</v>
      </c>
      <c r="D38" s="90">
        <v>4.2510000000000003</v>
      </c>
      <c r="E38" s="91">
        <v>0.66300000000000003</v>
      </c>
      <c r="F38" s="92">
        <v>8.4000000000000005E-2</v>
      </c>
      <c r="G38" s="317">
        <v>12.4</v>
      </c>
      <c r="H38" s="317">
        <v>4.38</v>
      </c>
      <c r="I38" s="320">
        <v>4.38</v>
      </c>
      <c r="J38" s="25">
        <v>0.21299999999999999</v>
      </c>
      <c r="K38" s="326" t="str">
        <f ca="1">IFERROR(IF(#REF!="","",INDEX(INDIRECT("'Annex 1 LV and HV charges"&amp;MID($A$2,FIND("_",$A$2),2)&amp;"'!$A$10:$K$51"),MATCH(MID($A38,FIND(":",$A38)+2,LEN($A38)-FIND(":",$A38)+2),INDIRECT("'Annex 1 LV and HV charges"&amp;MID($A$2,FIND("_",$A$2),2)&amp;"'!$A$10:$A$51"),0),MATCH(J$13,$A$13:$J$13,0))-J38),"")</f>
        <v/>
      </c>
    </row>
    <row r="39" spans="1:11" ht="27" customHeight="1" x14ac:dyDescent="0.2">
      <c r="A39" s="323" t="s">
        <v>551</v>
      </c>
      <c r="B39" s="24"/>
      <c r="C39" s="324">
        <v>0</v>
      </c>
      <c r="D39" s="90">
        <v>4.2510000000000003</v>
      </c>
      <c r="E39" s="91">
        <v>0.66300000000000003</v>
      </c>
      <c r="F39" s="92">
        <v>8.4000000000000005E-2</v>
      </c>
      <c r="G39" s="317">
        <v>43.35</v>
      </c>
      <c r="H39" s="317">
        <v>4.38</v>
      </c>
      <c r="I39" s="320">
        <v>4.38</v>
      </c>
      <c r="J39" s="25">
        <v>0.21299999999999999</v>
      </c>
      <c r="K39" s="326" t="str">
        <f ca="1">IFERROR(IF(#REF!="","",INDEX(INDIRECT("'Annex 1 LV and HV charges"&amp;MID($A$2,FIND("_",$A$2),2)&amp;"'!$A$10:$K$51"),MATCH(MID($A39,FIND(":",$A39)+2,LEN($A39)-FIND(":",$A39)+2),INDIRECT("'Annex 1 LV and HV charges"&amp;MID($A$2,FIND("_",$A$2),2)&amp;"'!$A$10:$A$51"),0),MATCH(J$13,$A$13:$J$13,0))-J39),"")</f>
        <v/>
      </c>
    </row>
    <row r="40" spans="1:11" ht="27" customHeight="1" x14ac:dyDescent="0.2">
      <c r="A40" s="323" t="s">
        <v>552</v>
      </c>
      <c r="B40" s="18"/>
      <c r="C40" s="324">
        <v>0</v>
      </c>
      <c r="D40" s="90">
        <v>4.2510000000000003</v>
      </c>
      <c r="E40" s="91">
        <v>0.66300000000000003</v>
      </c>
      <c r="F40" s="92">
        <v>8.4000000000000005E-2</v>
      </c>
      <c r="G40" s="317">
        <v>61.35</v>
      </c>
      <c r="H40" s="317">
        <v>4.38</v>
      </c>
      <c r="I40" s="320">
        <v>4.38</v>
      </c>
      <c r="J40" s="25">
        <v>0.21299999999999999</v>
      </c>
      <c r="K40" s="326" t="str">
        <f ca="1">IFERROR(IF(#REF!="","",INDEX(INDIRECT("'Annex 1 LV and HV charges"&amp;MID($A$2,FIND("_",$A$2),2)&amp;"'!$A$10:$K$51"),MATCH(MID($A40,FIND(":",$A40)+2,LEN($A40)-FIND(":",$A40)+2),INDIRECT("'Annex 1 LV and HV charges"&amp;MID($A$2,FIND("_",$A$2),2)&amp;"'!$A$10:$A$51"),0),MATCH(J$13,$A$13:$J$13,0))-J40),"")</f>
        <v/>
      </c>
    </row>
    <row r="41" spans="1:11" ht="27" customHeight="1" x14ac:dyDescent="0.2">
      <c r="A41" s="323" t="s">
        <v>553</v>
      </c>
      <c r="B41" s="18"/>
      <c r="C41" s="324">
        <v>0</v>
      </c>
      <c r="D41" s="90">
        <v>4.2510000000000003</v>
      </c>
      <c r="E41" s="91">
        <v>0.66300000000000003</v>
      </c>
      <c r="F41" s="92">
        <v>8.4000000000000005E-2</v>
      </c>
      <c r="G41" s="317">
        <v>86.48</v>
      </c>
      <c r="H41" s="317">
        <v>4.38</v>
      </c>
      <c r="I41" s="320">
        <v>4.38</v>
      </c>
      <c r="J41" s="25">
        <v>0.21299999999999999</v>
      </c>
      <c r="K41" s="326" t="str">
        <f ca="1">IFERROR(IF(#REF!="","",INDEX(INDIRECT("'Annex 1 LV and HV charges"&amp;MID($A$2,FIND("_",$A$2),2)&amp;"'!$A$10:$K$51"),MATCH(MID($A41,FIND(":",$A41)+2,LEN($A41)-FIND(":",$A41)+2),INDIRECT("'Annex 1 LV and HV charges"&amp;MID($A$2,FIND("_",$A$2),2)&amp;"'!$A$10:$A$51"),0),MATCH(J$13,$A$13:$J$13,0))-J41),"")</f>
        <v/>
      </c>
    </row>
    <row r="42" spans="1:11" ht="27" customHeight="1" x14ac:dyDescent="0.2">
      <c r="A42" s="323" t="s">
        <v>554</v>
      </c>
      <c r="B42" s="18"/>
      <c r="C42" s="324">
        <v>0</v>
      </c>
      <c r="D42" s="90">
        <v>4.2510000000000003</v>
      </c>
      <c r="E42" s="91">
        <v>0.66300000000000003</v>
      </c>
      <c r="F42" s="92">
        <v>8.4000000000000005E-2</v>
      </c>
      <c r="G42" s="317">
        <v>184.45</v>
      </c>
      <c r="H42" s="317">
        <v>4.38</v>
      </c>
      <c r="I42" s="320">
        <v>4.38</v>
      </c>
      <c r="J42" s="25">
        <v>0.21299999999999999</v>
      </c>
      <c r="K42" s="326" t="str">
        <f ca="1">IFERROR(IF(#REF!="","",INDEX(INDIRECT("'Annex 1 LV and HV charges"&amp;MID($A$2,FIND("_",$A$2),2)&amp;"'!$A$10:$K$51"),MATCH(MID($A42,FIND(":",$A42)+2,LEN($A42)-FIND(":",$A42)+2),INDIRECT("'Annex 1 LV and HV charges"&amp;MID($A$2,FIND("_",$A$2),2)&amp;"'!$A$10:$A$51"),0),MATCH(J$13,$A$13:$J$13,0))-J42),"")</f>
        <v/>
      </c>
    </row>
    <row r="43" spans="1:11" ht="27" customHeight="1" x14ac:dyDescent="0.2">
      <c r="A43" s="323" t="s">
        <v>555</v>
      </c>
      <c r="B43" s="18"/>
      <c r="C43" s="324">
        <v>0</v>
      </c>
      <c r="D43" s="90">
        <v>4.2720000000000002</v>
      </c>
      <c r="E43" s="91">
        <v>0.61199999999999999</v>
      </c>
      <c r="F43" s="92">
        <v>6.8000000000000005E-2</v>
      </c>
      <c r="G43" s="317">
        <v>16.48</v>
      </c>
      <c r="H43" s="317">
        <v>5.0199999999999996</v>
      </c>
      <c r="I43" s="320">
        <v>5.0199999999999996</v>
      </c>
      <c r="J43" s="25">
        <v>0.19700000000000001</v>
      </c>
      <c r="K43" s="326" t="str">
        <f ca="1">IFERROR(IF(#REF!="","",INDEX(INDIRECT("'Annex 1 LV and HV charges"&amp;MID($A$2,FIND("_",$A$2),2)&amp;"'!$A$10:$K$51"),MATCH(MID($A43,FIND(":",$A43)+2,LEN($A43)-FIND(":",$A43)+2),INDIRECT("'Annex 1 LV and HV charges"&amp;MID($A$2,FIND("_",$A$2),2)&amp;"'!$A$10:$A$51"),0),MATCH(J$13,$A$13:$J$13,0))-J43),"")</f>
        <v/>
      </c>
    </row>
    <row r="44" spans="1:11" ht="27" customHeight="1" x14ac:dyDescent="0.2">
      <c r="A44" s="323" t="s">
        <v>556</v>
      </c>
      <c r="B44" s="24"/>
      <c r="C44" s="324">
        <v>0</v>
      </c>
      <c r="D44" s="90">
        <v>4.2720000000000002</v>
      </c>
      <c r="E44" s="91">
        <v>0.61199999999999999</v>
      </c>
      <c r="F44" s="92">
        <v>6.8000000000000005E-2</v>
      </c>
      <c r="G44" s="317">
        <v>65.36</v>
      </c>
      <c r="H44" s="317">
        <v>5.0199999999999996</v>
      </c>
      <c r="I44" s="320">
        <v>5.0199999999999996</v>
      </c>
      <c r="J44" s="25">
        <v>0.19700000000000001</v>
      </c>
      <c r="K44" s="326" t="str">
        <f ca="1">IFERROR(IF(#REF!="","",INDEX(INDIRECT("'Annex 1 LV and HV charges"&amp;MID($A$2,FIND("_",$A$2),2)&amp;"'!$A$10:$K$51"),MATCH(MID($A44,FIND(":",$A44)+2,LEN($A44)-FIND(":",$A44)+2),INDIRECT("'Annex 1 LV and HV charges"&amp;MID($A$2,FIND("_",$A$2),2)&amp;"'!$A$10:$A$51"),0),MATCH(J$13,$A$13:$J$13,0))-J44),"")</f>
        <v/>
      </c>
    </row>
    <row r="45" spans="1:11" ht="27" customHeight="1" x14ac:dyDescent="0.2">
      <c r="A45" s="323" t="s">
        <v>557</v>
      </c>
      <c r="B45" s="18"/>
      <c r="C45" s="324">
        <v>0</v>
      </c>
      <c r="D45" s="90">
        <v>4.2720000000000002</v>
      </c>
      <c r="E45" s="91">
        <v>0.61199999999999999</v>
      </c>
      <c r="F45" s="92">
        <v>6.8000000000000005E-2</v>
      </c>
      <c r="G45" s="317">
        <v>93.79</v>
      </c>
      <c r="H45" s="317">
        <v>5.0199999999999996</v>
      </c>
      <c r="I45" s="320">
        <v>5.0199999999999996</v>
      </c>
      <c r="J45" s="25">
        <v>0.19700000000000001</v>
      </c>
      <c r="K45" s="326" t="str">
        <f ca="1">IFERROR(IF(#REF!="","",INDEX(INDIRECT("'Annex 1 LV and HV charges"&amp;MID($A$2,FIND("_",$A$2),2)&amp;"'!$A$10:$K$51"),MATCH(MID($A45,FIND(":",$A45)+2,LEN($A45)-FIND(":",$A45)+2),INDIRECT("'Annex 1 LV and HV charges"&amp;MID($A$2,FIND("_",$A$2),2)&amp;"'!$A$10:$A$51"),0),MATCH(J$13,$A$13:$J$13,0))-J45),"")</f>
        <v/>
      </c>
    </row>
    <row r="46" spans="1:11" ht="27" customHeight="1" x14ac:dyDescent="0.2">
      <c r="A46" s="323" t="s">
        <v>558</v>
      </c>
      <c r="B46" s="18"/>
      <c r="C46" s="324">
        <v>0</v>
      </c>
      <c r="D46" s="90">
        <v>4.2720000000000002</v>
      </c>
      <c r="E46" s="91">
        <v>0.61199999999999999</v>
      </c>
      <c r="F46" s="92">
        <v>6.8000000000000005E-2</v>
      </c>
      <c r="G46" s="317">
        <v>133.47999999999999</v>
      </c>
      <c r="H46" s="317">
        <v>5.0199999999999996</v>
      </c>
      <c r="I46" s="320">
        <v>5.0199999999999996</v>
      </c>
      <c r="J46" s="25">
        <v>0.19700000000000001</v>
      </c>
      <c r="K46" s="326" t="str">
        <f ca="1">IFERROR(IF(#REF!="","",INDEX(INDIRECT("'Annex 1 LV and HV charges"&amp;MID($A$2,FIND("_",$A$2),2)&amp;"'!$A$10:$K$51"),MATCH(MID($A46,FIND(":",$A46)+2,LEN($A46)-FIND(":",$A46)+2),INDIRECT("'Annex 1 LV and HV charges"&amp;MID($A$2,FIND("_",$A$2),2)&amp;"'!$A$10:$A$51"),0),MATCH(J$13,$A$13:$J$13,0))-J46),"")</f>
        <v/>
      </c>
    </row>
    <row r="47" spans="1:11" ht="27" customHeight="1" x14ac:dyDescent="0.2">
      <c r="A47" s="323" t="s">
        <v>559</v>
      </c>
      <c r="B47" s="18"/>
      <c r="C47" s="324">
        <v>0</v>
      </c>
      <c r="D47" s="90">
        <v>4.2720000000000002</v>
      </c>
      <c r="E47" s="91">
        <v>0.61199999999999999</v>
      </c>
      <c r="F47" s="92">
        <v>6.8000000000000005E-2</v>
      </c>
      <c r="G47" s="317">
        <v>288.2</v>
      </c>
      <c r="H47" s="317">
        <v>5.0199999999999996</v>
      </c>
      <c r="I47" s="320">
        <v>5.0199999999999996</v>
      </c>
      <c r="J47" s="25">
        <v>0.19700000000000001</v>
      </c>
      <c r="K47" s="326" t="str">
        <f ca="1">IFERROR(IF(#REF!="","",INDEX(INDIRECT("'Annex 1 LV and HV charges"&amp;MID($A$2,FIND("_",$A$2),2)&amp;"'!$A$10:$K$51"),MATCH(MID($A47,FIND(":",$A47)+2,LEN($A47)-FIND(":",$A47)+2),INDIRECT("'Annex 1 LV and HV charges"&amp;MID($A$2,FIND("_",$A$2),2)&amp;"'!$A$10:$A$51"),0),MATCH(J$13,$A$13:$J$13,0))-J47),"")</f>
        <v/>
      </c>
    </row>
    <row r="48" spans="1:11" ht="27" customHeight="1" x14ac:dyDescent="0.2">
      <c r="A48" s="323" t="s">
        <v>560</v>
      </c>
      <c r="B48" s="18"/>
      <c r="C48" s="324">
        <v>0</v>
      </c>
      <c r="D48" s="90">
        <v>4.0960000000000001</v>
      </c>
      <c r="E48" s="91">
        <v>0.55500000000000005</v>
      </c>
      <c r="F48" s="92">
        <v>5.8999999999999997E-2</v>
      </c>
      <c r="G48" s="317">
        <v>195.33</v>
      </c>
      <c r="H48" s="317">
        <v>4.92</v>
      </c>
      <c r="I48" s="320">
        <v>4.92</v>
      </c>
      <c r="J48" s="25">
        <v>0.17799999999999999</v>
      </c>
      <c r="K48" s="326" t="str">
        <f ca="1">IFERROR(IF(#REF!="","",INDEX(INDIRECT("'Annex 1 LV and HV charges"&amp;MID($A$2,FIND("_",$A$2),2)&amp;"'!$A$10:$K$51"),MATCH(MID($A48,FIND(":",$A48)+2,LEN($A48)-FIND(":",$A48)+2),INDIRECT("'Annex 1 LV and HV charges"&amp;MID($A$2,FIND("_",$A$2),2)&amp;"'!$A$10:$A$51"),0),MATCH(J$13,$A$13:$J$13,0))-J48),"")</f>
        <v/>
      </c>
    </row>
    <row r="49" spans="1:11" ht="27" customHeight="1" x14ac:dyDescent="0.2">
      <c r="A49" s="323" t="s">
        <v>561</v>
      </c>
      <c r="B49" s="18"/>
      <c r="C49" s="324">
        <v>0</v>
      </c>
      <c r="D49" s="90">
        <v>4.0960000000000001</v>
      </c>
      <c r="E49" s="91">
        <v>0.55500000000000005</v>
      </c>
      <c r="F49" s="92">
        <v>5.8999999999999997E-2</v>
      </c>
      <c r="G49" s="317">
        <v>673.78</v>
      </c>
      <c r="H49" s="317">
        <v>4.92</v>
      </c>
      <c r="I49" s="320">
        <v>4.92</v>
      </c>
      <c r="J49" s="25">
        <v>0.17799999999999999</v>
      </c>
      <c r="K49" s="326" t="str">
        <f ca="1">IFERROR(IF(#REF!="","",INDEX(INDIRECT("'Annex 1 LV and HV charges"&amp;MID($A$2,FIND("_",$A$2),2)&amp;"'!$A$10:$K$51"),MATCH(MID($A49,FIND(":",$A49)+2,LEN($A49)-FIND(":",$A49)+2),INDIRECT("'Annex 1 LV and HV charges"&amp;MID($A$2,FIND("_",$A$2),2)&amp;"'!$A$10:$A$51"),0),MATCH(J$13,$A$13:$J$13,0))-J49),"")</f>
        <v/>
      </c>
    </row>
    <row r="50" spans="1:11" ht="27" customHeight="1" x14ac:dyDescent="0.2">
      <c r="A50" s="323" t="s">
        <v>562</v>
      </c>
      <c r="B50" s="24"/>
      <c r="C50" s="324">
        <v>0</v>
      </c>
      <c r="D50" s="90">
        <v>4.0960000000000001</v>
      </c>
      <c r="E50" s="91">
        <v>0.55500000000000005</v>
      </c>
      <c r="F50" s="92">
        <v>5.8999999999999997E-2</v>
      </c>
      <c r="G50" s="317">
        <v>1216.6199999999999</v>
      </c>
      <c r="H50" s="317">
        <v>4.92</v>
      </c>
      <c r="I50" s="320">
        <v>4.92</v>
      </c>
      <c r="J50" s="25">
        <v>0.17799999999999999</v>
      </c>
      <c r="K50" s="326" t="str">
        <f ca="1">IFERROR(IF(#REF!="","",INDEX(INDIRECT("'Annex 1 LV and HV charges"&amp;MID($A$2,FIND("_",$A$2),2)&amp;"'!$A$10:$K$51"),MATCH(MID($A50,FIND(":",$A50)+2,LEN($A50)-FIND(":",$A50)+2),INDIRECT("'Annex 1 LV and HV charges"&amp;MID($A$2,FIND("_",$A$2),2)&amp;"'!$A$10:$A$51"),0),MATCH(J$13,$A$13:$J$13,0))-J50),"")</f>
        <v/>
      </c>
    </row>
    <row r="51" spans="1:11" ht="27" customHeight="1" x14ac:dyDescent="0.2">
      <c r="A51" s="323" t="s">
        <v>563</v>
      </c>
      <c r="B51" s="18"/>
      <c r="C51" s="324">
        <v>0</v>
      </c>
      <c r="D51" s="90">
        <v>4.0960000000000001</v>
      </c>
      <c r="E51" s="91">
        <v>0.55500000000000005</v>
      </c>
      <c r="F51" s="92">
        <v>5.8999999999999997E-2</v>
      </c>
      <c r="G51" s="317">
        <v>1998.85</v>
      </c>
      <c r="H51" s="317">
        <v>4.92</v>
      </c>
      <c r="I51" s="320">
        <v>4.92</v>
      </c>
      <c r="J51" s="25">
        <v>0.17799999999999999</v>
      </c>
      <c r="K51" s="326" t="str">
        <f ca="1">IFERROR(IF(#REF!="","",INDEX(INDIRECT("'Annex 1 LV and HV charges"&amp;MID($A$2,FIND("_",$A$2),2)&amp;"'!$A$10:$K$51"),MATCH(MID($A51,FIND(":",$A51)+2,LEN($A51)-FIND(":",$A51)+2),INDIRECT("'Annex 1 LV and HV charges"&amp;MID($A$2,FIND("_",$A$2),2)&amp;"'!$A$10:$A$51"),0),MATCH(J$13,$A$13:$J$13,0))-J51),"")</f>
        <v/>
      </c>
    </row>
    <row r="52" spans="1:11" ht="27" customHeight="1" x14ac:dyDescent="0.2">
      <c r="A52" s="323" t="s">
        <v>564</v>
      </c>
      <c r="B52" s="18"/>
      <c r="C52" s="324">
        <v>0</v>
      </c>
      <c r="D52" s="90">
        <v>4.0960000000000001</v>
      </c>
      <c r="E52" s="91">
        <v>0.55500000000000005</v>
      </c>
      <c r="F52" s="92">
        <v>5.8999999999999997E-2</v>
      </c>
      <c r="G52" s="317">
        <v>5459.35</v>
      </c>
      <c r="H52" s="317">
        <v>4.92</v>
      </c>
      <c r="I52" s="320">
        <v>4.92</v>
      </c>
      <c r="J52" s="25">
        <v>0.17799999999999999</v>
      </c>
      <c r="K52" s="326" t="str">
        <f ca="1">IFERROR(IF(#REF!="","",INDEX(INDIRECT("'Annex 1 LV and HV charges"&amp;MID($A$2,FIND("_",$A$2),2)&amp;"'!$A$10:$K$51"),MATCH(MID($A52,FIND(":",$A52)+2,LEN($A52)-FIND(":",$A52)+2),INDIRECT("'Annex 1 LV and HV charges"&amp;MID($A$2,FIND("_",$A$2),2)&amp;"'!$A$10:$A$51"),0),MATCH(J$13,$A$13:$J$13,0))-J52),"")</f>
        <v/>
      </c>
    </row>
    <row r="53" spans="1:11" ht="27" customHeight="1" x14ac:dyDescent="0.2">
      <c r="A53" s="323" t="s">
        <v>484</v>
      </c>
      <c r="B53" s="24"/>
      <c r="C53" s="324" t="s">
        <v>804</v>
      </c>
      <c r="D53" s="93">
        <v>22.145</v>
      </c>
      <c r="E53" s="94">
        <v>2.282</v>
      </c>
      <c r="F53" s="92">
        <v>1.323</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charges"&amp;MID($A$2,FIND("_",$A$2),2)&amp;"'!$A$10:$A$51"),0),MATCH(J$13,$A$13:$J$13,0))-J53),"")</f>
        <v/>
      </c>
    </row>
    <row r="54" spans="1:11" ht="27" customHeight="1" x14ac:dyDescent="0.2">
      <c r="A54" s="323" t="s">
        <v>513</v>
      </c>
      <c r="B54" s="24"/>
      <c r="C54" s="324" t="s">
        <v>805</v>
      </c>
      <c r="D54" s="90">
        <v>-8.76</v>
      </c>
      <c r="E54" s="91">
        <v>-1.4350000000000001</v>
      </c>
      <c r="F54" s="92">
        <v>-0.19400000000000001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charges"&amp;MID($A$2,FIND("_",$A$2),2)&amp;"'!$A$10:$A$51"),0),MATCH(J$13,$A$13:$J$13,0))-J54),"")</f>
        <v/>
      </c>
    </row>
    <row r="55" spans="1:11" ht="27" customHeight="1" x14ac:dyDescent="0.2">
      <c r="A55" s="323" t="s">
        <v>514</v>
      </c>
      <c r="B55" s="321"/>
      <c r="C55" s="324">
        <v>0</v>
      </c>
      <c r="D55" s="90">
        <v>-6.9880000000000004</v>
      </c>
      <c r="E55" s="91">
        <v>-1.1060000000000001</v>
      </c>
      <c r="F55" s="92">
        <v>-0.14299999999999999</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charges"&amp;MID($A$2,FIND("_",$A$2),2)&amp;"'!$A$10:$A$51"),0),MATCH(J$13,$A$13:$J$13,0))-J55),"")</f>
        <v/>
      </c>
    </row>
    <row r="56" spans="1:11" ht="27" customHeight="1" x14ac:dyDescent="0.2">
      <c r="A56" s="323" t="s">
        <v>515</v>
      </c>
      <c r="B56" s="24"/>
      <c r="C56" s="324">
        <v>0</v>
      </c>
      <c r="D56" s="90">
        <v>-8.76</v>
      </c>
      <c r="E56" s="91">
        <v>-1.4350000000000001</v>
      </c>
      <c r="F56" s="92">
        <v>-0.19400000000000001</v>
      </c>
      <c r="G56" s="317" t="s">
        <v>797</v>
      </c>
      <c r="H56" s="318" t="s">
        <v>797</v>
      </c>
      <c r="I56" s="319" t="s">
        <v>797</v>
      </c>
      <c r="J56" s="25">
        <v>0.5</v>
      </c>
      <c r="K56" s="326" t="str">
        <f ca="1">IFERROR(IF(#REF!="","",INDEX(INDIRECT("'Annex 1 LV and HV charges"&amp;MID($A$2,FIND("_",$A$2),2)&amp;"'!$A$10:$K$51"),MATCH(MID($A56,FIND(":",$A56)+2,LEN($A56)-FIND(":",$A56)+2),INDIRECT("'Annex 1 LV and HV charges"&amp;MID($A$2,FIND("_",$A$2),2)&amp;"'!$A$10:$A$51"),0),MATCH(J$13,$A$13:$J$13,0))-J56),"")</f>
        <v/>
      </c>
    </row>
    <row r="57" spans="1:11" ht="27" customHeight="1" x14ac:dyDescent="0.2">
      <c r="A57" s="323" t="s">
        <v>516</v>
      </c>
      <c r="B57" s="24"/>
      <c r="C57" s="324">
        <v>0</v>
      </c>
      <c r="D57" s="90">
        <v>-6.9880000000000004</v>
      </c>
      <c r="E57" s="91">
        <v>-1.1060000000000001</v>
      </c>
      <c r="F57" s="92">
        <v>-0.14299999999999999</v>
      </c>
      <c r="G57" s="317" t="s">
        <v>797</v>
      </c>
      <c r="H57" s="318" t="s">
        <v>797</v>
      </c>
      <c r="I57" s="319" t="s">
        <v>797</v>
      </c>
      <c r="J57" s="25">
        <v>0.35399999999999998</v>
      </c>
      <c r="K57" s="326" t="str">
        <f ca="1">IFERROR(IF(#REF!="","",INDEX(INDIRECT("'Annex 1 LV and HV charges"&amp;MID($A$2,FIND("_",$A$2),2)&amp;"'!$A$10:$K$51"),MATCH(MID($A57,FIND(":",$A57)+2,LEN($A57)-FIND(":",$A57)+2),INDIRECT("'Annex 1 LV and HV charges"&amp;MID($A$2,FIND("_",$A$2),2)&amp;"'!$A$10:$A$51"),0),MATCH(J$13,$A$13:$J$13,0))-J57),"")</f>
        <v/>
      </c>
    </row>
    <row r="58" spans="1:11" ht="27" customHeight="1" x14ac:dyDescent="0.2">
      <c r="A58" s="323" t="s">
        <v>517</v>
      </c>
      <c r="B58" s="24"/>
      <c r="C58" s="324">
        <v>0</v>
      </c>
      <c r="D58" s="90">
        <v>-5.1269999999999998</v>
      </c>
      <c r="E58" s="91">
        <v>-0.73499999999999999</v>
      </c>
      <c r="F58" s="92">
        <v>-8.2000000000000003E-2</v>
      </c>
      <c r="G58" s="317" t="s">
        <v>797</v>
      </c>
      <c r="H58" s="318" t="s">
        <v>797</v>
      </c>
      <c r="I58" s="319" t="s">
        <v>797</v>
      </c>
      <c r="J58" s="25">
        <v>0.29899999999999999</v>
      </c>
      <c r="K58" s="326" t="str">
        <f ca="1">IFERROR(IF(#REF!="","",INDEX(INDIRECT("'Annex 1 LV and HV charges"&amp;MID($A$2,FIND("_",$A$2),2)&amp;"'!$A$10:$K$51"),MATCH(MID($A58,FIND(":",$A58)+2,LEN($A58)-FIND(":",$A58)+2),INDIRECT("'Annex 1 LV and HV charges"&amp;MID($A$2,FIND("_",$A$2),2)&amp;"'!$A$10:$A$51"),0),MATCH(J$13,$A$13:$J$13,0))-J58),"")</f>
        <v/>
      </c>
    </row>
    <row r="59" spans="1:11" ht="27" customHeight="1" x14ac:dyDescent="0.2">
      <c r="A59" s="322" t="s">
        <v>682</v>
      </c>
      <c r="B59" s="24"/>
      <c r="C59" s="324" t="s">
        <v>802</v>
      </c>
      <c r="D59" s="90">
        <v>6.5149999999999997</v>
      </c>
      <c r="E59" s="91">
        <v>1.0680000000000001</v>
      </c>
      <c r="F59" s="92">
        <v>0.14399999999999999</v>
      </c>
      <c r="G59" s="317">
        <v>5.09</v>
      </c>
      <c r="H59" s="318" t="s">
        <v>797</v>
      </c>
      <c r="I59" s="319" t="s">
        <v>797</v>
      </c>
      <c r="J59" s="26" t="s">
        <v>797</v>
      </c>
      <c r="K59" s="326" t="str">
        <f ca="1">IFERROR(IF(#REF!="","",INDEX(INDIRECT("'Annex 1 LV and HV charges"&amp;MID($A$2,FIND("_",$A$2),2)&amp;"'!$A$10:$K$51"),MATCH(MID($A59,FIND(":",$A59)+2,LEN($A59)-FIND(":",$A59)+2),INDIRECT("'Annex 1 LV and HV charges"&amp;MID($A$2,FIND("_",$A$2),2)&amp;"'!$A$10:$A$51"),0),MATCH(J$13,$A$13:$J$13,0))-J59),"")</f>
        <v/>
      </c>
    </row>
    <row r="60" spans="1:11" ht="27" customHeight="1" x14ac:dyDescent="0.2">
      <c r="A60" s="322" t="s">
        <v>565</v>
      </c>
      <c r="B60" s="24"/>
      <c r="C60" s="324">
        <v>2</v>
      </c>
      <c r="D60" s="90">
        <v>6.5149999999999997</v>
      </c>
      <c r="E60" s="91">
        <v>1.0680000000000001</v>
      </c>
      <c r="F60" s="92">
        <v>0.14399999999999999</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charges"&amp;MID($A$2,FIND("_",$A$2),2)&amp;"'!$A$10:$A$51"),0),MATCH(J$13,$A$13:$J$13,0))-J60),"")</f>
        <v/>
      </c>
    </row>
    <row r="61" spans="1:11" ht="27" customHeight="1" x14ac:dyDescent="0.2">
      <c r="A61" s="322" t="s">
        <v>689</v>
      </c>
      <c r="B61" s="18"/>
      <c r="C61" s="324" t="s">
        <v>803</v>
      </c>
      <c r="D61" s="90">
        <v>5.03</v>
      </c>
      <c r="E61" s="91">
        <v>0.82399999999999995</v>
      </c>
      <c r="F61" s="92">
        <v>0.111</v>
      </c>
      <c r="G61" s="317">
        <v>4.49</v>
      </c>
      <c r="H61" s="318" t="s">
        <v>797</v>
      </c>
      <c r="I61" s="319" t="s">
        <v>797</v>
      </c>
      <c r="J61" s="26" t="s">
        <v>797</v>
      </c>
      <c r="K61" s="326" t="str">
        <f ca="1">IFERROR(IF(#REF!="","",INDEX(INDIRECT("'Annex 1 LV and HV charges"&amp;MID($A$2,FIND("_",$A$2),2)&amp;"'!$A$10:$K$51"),MATCH(MID($A61,FIND(":",$A61)+2,LEN($A61)-FIND(":",$A61)+2),INDIRECT("'Annex 1 LV and HV charges"&amp;MID($A$2,FIND("_",$A$2),2)&amp;"'!$A$10:$A$51"),0),MATCH(J$13,$A$13:$J$13,0))-J61),"")</f>
        <v/>
      </c>
    </row>
    <row r="62" spans="1:11" ht="27" customHeight="1" x14ac:dyDescent="0.2">
      <c r="A62" s="322" t="s">
        <v>696</v>
      </c>
      <c r="B62" s="24"/>
      <c r="C62" s="324" t="s">
        <v>803</v>
      </c>
      <c r="D62" s="90">
        <v>5.03</v>
      </c>
      <c r="E62" s="91">
        <v>0.82399999999999995</v>
      </c>
      <c r="F62" s="92">
        <v>0.111</v>
      </c>
      <c r="G62" s="317">
        <v>5.34</v>
      </c>
      <c r="H62" s="318" t="s">
        <v>797</v>
      </c>
      <c r="I62" s="319" t="s">
        <v>797</v>
      </c>
      <c r="J62" s="26" t="s">
        <v>797</v>
      </c>
      <c r="K62" s="326" t="str">
        <f ca="1">IFERROR(IF(#REF!="","",INDEX(INDIRECT("'Annex 1 LV and HV charges"&amp;MID($A$2,FIND("_",$A$2),2)&amp;"'!$A$10:$K$51"),MATCH(MID($A62,FIND(":",$A62)+2,LEN($A62)-FIND(":",$A62)+2),INDIRECT("'Annex 1 LV and HV charges"&amp;MID($A$2,FIND("_",$A$2),2)&amp;"'!$A$10:$A$51"),0),MATCH(J$13,$A$13:$J$13,0))-J62),"")</f>
        <v/>
      </c>
    </row>
    <row r="63" spans="1:11" ht="27" customHeight="1" x14ac:dyDescent="0.2">
      <c r="A63" s="322" t="s">
        <v>703</v>
      </c>
      <c r="B63" s="18"/>
      <c r="C63" s="324" t="s">
        <v>803</v>
      </c>
      <c r="D63" s="90">
        <v>5.03</v>
      </c>
      <c r="E63" s="91">
        <v>0.82399999999999995</v>
      </c>
      <c r="F63" s="92">
        <v>0.111</v>
      </c>
      <c r="G63" s="317">
        <v>6.77</v>
      </c>
      <c r="H63" s="318" t="s">
        <v>797</v>
      </c>
      <c r="I63" s="319" t="s">
        <v>797</v>
      </c>
      <c r="J63" s="26" t="s">
        <v>797</v>
      </c>
      <c r="K63" s="326" t="str">
        <f ca="1">IFERROR(IF(#REF!="","",INDEX(INDIRECT("'Annex 1 LV and HV charges"&amp;MID($A$2,FIND("_",$A$2),2)&amp;"'!$A$10:$K$51"),MATCH(MID($A63,FIND(":",$A63)+2,LEN($A63)-FIND(":",$A63)+2),INDIRECT("'Annex 1 LV and HV charges"&amp;MID($A$2,FIND("_",$A$2),2)&amp;"'!$A$10:$A$51"),0),MATCH(J$13,$A$13:$J$13,0))-J63),"")</f>
        <v/>
      </c>
    </row>
    <row r="64" spans="1:11" ht="27" customHeight="1" x14ac:dyDescent="0.2">
      <c r="A64" s="322" t="s">
        <v>710</v>
      </c>
      <c r="B64" s="18"/>
      <c r="C64" s="324" t="s">
        <v>803</v>
      </c>
      <c r="D64" s="90">
        <v>5.03</v>
      </c>
      <c r="E64" s="91">
        <v>0.82399999999999995</v>
      </c>
      <c r="F64" s="92">
        <v>0.111</v>
      </c>
      <c r="G64" s="317">
        <v>9.0399999999999991</v>
      </c>
      <c r="H64" s="318" t="s">
        <v>797</v>
      </c>
      <c r="I64" s="319" t="s">
        <v>797</v>
      </c>
      <c r="J64" s="26" t="s">
        <v>797</v>
      </c>
      <c r="K64" s="326" t="str">
        <f ca="1">IFERROR(IF(#REF!="","",INDEX(INDIRECT("'Annex 1 LV and HV charges"&amp;MID($A$2,FIND("_",$A$2),2)&amp;"'!$A$10:$K$51"),MATCH(MID($A64,FIND(":",$A64)+2,LEN($A64)-FIND(":",$A64)+2),INDIRECT("'Annex 1 LV and HV charges"&amp;MID($A$2,FIND("_",$A$2),2)&amp;"'!$A$10:$A$51"),0),MATCH(J$13,$A$13:$J$13,0))-J64),"")</f>
        <v/>
      </c>
    </row>
    <row r="65" spans="1:11" ht="27" customHeight="1" x14ac:dyDescent="0.2">
      <c r="A65" s="322" t="s">
        <v>717</v>
      </c>
      <c r="B65" s="18"/>
      <c r="C65" s="324" t="s">
        <v>803</v>
      </c>
      <c r="D65" s="90">
        <v>5.03</v>
      </c>
      <c r="E65" s="91">
        <v>0.82399999999999995</v>
      </c>
      <c r="F65" s="92">
        <v>0.111</v>
      </c>
      <c r="G65" s="317">
        <v>17.16</v>
      </c>
      <c r="H65" s="318" t="s">
        <v>797</v>
      </c>
      <c r="I65" s="319" t="s">
        <v>797</v>
      </c>
      <c r="J65" s="26" t="s">
        <v>797</v>
      </c>
      <c r="K65" s="326" t="str">
        <f ca="1">IFERROR(IF(#REF!="","",INDEX(INDIRECT("'Annex 1 LV and HV charges"&amp;MID($A$2,FIND("_",$A$2),2)&amp;"'!$A$10:$K$51"),MATCH(MID($A65,FIND(":",$A65)+2,LEN($A65)-FIND(":",$A65)+2),INDIRECT("'Annex 1 LV and HV charges"&amp;MID($A$2,FIND("_",$A$2),2)&amp;"'!$A$10:$A$51"),0),MATCH(J$13,$A$13:$J$13,0))-J65),"")</f>
        <v/>
      </c>
    </row>
    <row r="66" spans="1:11" ht="27" customHeight="1" x14ac:dyDescent="0.2">
      <c r="A66" s="322" t="s">
        <v>485</v>
      </c>
      <c r="B66" s="24"/>
      <c r="C66" s="324">
        <v>4</v>
      </c>
      <c r="D66" s="90">
        <v>5.03</v>
      </c>
      <c r="E66" s="91">
        <v>0.82399999999999995</v>
      </c>
      <c r="F66" s="92">
        <v>0.111</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charges"&amp;MID($A$2,FIND("_",$A$2),2)&amp;"'!$A$10:$A$51"),0),MATCH(J$13,$A$13:$J$13,0))-J66),"")</f>
        <v/>
      </c>
    </row>
    <row r="67" spans="1:11" ht="27" customHeight="1" x14ac:dyDescent="0.2">
      <c r="A67" s="322" t="s">
        <v>566</v>
      </c>
      <c r="B67" s="18"/>
      <c r="C67" s="324">
        <v>0</v>
      </c>
      <c r="D67" s="90">
        <v>3.6829999999999998</v>
      </c>
      <c r="E67" s="91">
        <v>0.57399999999999995</v>
      </c>
      <c r="F67" s="92">
        <v>7.2999999999999995E-2</v>
      </c>
      <c r="G67" s="317">
        <v>10.75</v>
      </c>
      <c r="H67" s="317">
        <v>3.8</v>
      </c>
      <c r="I67" s="320">
        <v>3.8</v>
      </c>
      <c r="J67" s="25">
        <v>0.184</v>
      </c>
      <c r="K67" s="326" t="str">
        <f ca="1">IFERROR(IF(#REF!="","",INDEX(INDIRECT("'Annex 1 LV and HV charges"&amp;MID($A$2,FIND("_",$A$2),2)&amp;"'!$A$10:$K$51"),MATCH(MID($A67,FIND(":",$A67)+2,LEN($A67)-FIND(":",$A67)+2),INDIRECT("'Annex 1 LV and HV charges"&amp;MID($A$2,FIND("_",$A$2),2)&amp;"'!$A$10:$A$51"),0),MATCH(J$13,$A$13:$J$13,0))-J67),"")</f>
        <v/>
      </c>
    </row>
    <row r="68" spans="1:11" ht="27.75" customHeight="1" x14ac:dyDescent="0.2">
      <c r="A68" s="322" t="s">
        <v>567</v>
      </c>
      <c r="B68" s="24"/>
      <c r="C68" s="324">
        <v>0</v>
      </c>
      <c r="D68" s="90">
        <v>3.6829999999999998</v>
      </c>
      <c r="E68" s="91">
        <v>0.57399999999999995</v>
      </c>
      <c r="F68" s="92">
        <v>7.2999999999999995E-2</v>
      </c>
      <c r="G68" s="317">
        <v>37.57</v>
      </c>
      <c r="H68" s="317">
        <v>3.8</v>
      </c>
      <c r="I68" s="320">
        <v>3.8</v>
      </c>
      <c r="J68" s="25">
        <v>0.184</v>
      </c>
      <c r="K68" s="326" t="str">
        <f ca="1">IFERROR(IF(#REF!="","",INDEX(INDIRECT("'Annex 1 LV and HV charges"&amp;MID($A$2,FIND("_",$A$2),2)&amp;"'!$A$10:$K$51"),MATCH(MID($A68,FIND(":",$A68)+2,LEN($A68)-FIND(":",$A68)+2),INDIRECT("'Annex 1 LV and HV charges"&amp;MID($A$2,FIND("_",$A$2),2)&amp;"'!$A$10:$A$51"),0),MATCH(J$13,$A$13:$J$13,0))-J68),"")</f>
        <v/>
      </c>
    </row>
    <row r="69" spans="1:11" ht="27.75" customHeight="1" x14ac:dyDescent="0.2">
      <c r="A69" s="322" t="s">
        <v>568</v>
      </c>
      <c r="B69" s="18"/>
      <c r="C69" s="324">
        <v>0</v>
      </c>
      <c r="D69" s="90">
        <v>3.6829999999999998</v>
      </c>
      <c r="E69" s="91">
        <v>0.57399999999999995</v>
      </c>
      <c r="F69" s="92">
        <v>7.2999999999999995E-2</v>
      </c>
      <c r="G69" s="317">
        <v>53.16</v>
      </c>
      <c r="H69" s="317">
        <v>3.8</v>
      </c>
      <c r="I69" s="320">
        <v>3.8</v>
      </c>
      <c r="J69" s="25">
        <v>0.184</v>
      </c>
      <c r="K69" s="326" t="str">
        <f ca="1">IFERROR(IF(#REF!="","",INDEX(INDIRECT("'Annex 1 LV and HV charges"&amp;MID($A$2,FIND("_",$A$2),2)&amp;"'!$A$10:$K$51"),MATCH(MID($A69,FIND(":",$A69)+2,LEN($A69)-FIND(":",$A69)+2),INDIRECT("'Annex 1 LV and HV charges"&amp;MID($A$2,FIND("_",$A$2),2)&amp;"'!$A$10:$A$51"),0),MATCH(J$13,$A$13:$J$13,0))-J69),"")</f>
        <v/>
      </c>
    </row>
    <row r="70" spans="1:11" ht="27.75" customHeight="1" x14ac:dyDescent="0.2">
      <c r="A70" s="322" t="s">
        <v>569</v>
      </c>
      <c r="B70" s="18"/>
      <c r="C70" s="324">
        <v>0</v>
      </c>
      <c r="D70" s="90">
        <v>3.6829999999999998</v>
      </c>
      <c r="E70" s="91">
        <v>0.57399999999999995</v>
      </c>
      <c r="F70" s="92">
        <v>7.2999999999999995E-2</v>
      </c>
      <c r="G70" s="317">
        <v>74.94</v>
      </c>
      <c r="H70" s="317">
        <v>3.8</v>
      </c>
      <c r="I70" s="320">
        <v>3.8</v>
      </c>
      <c r="J70" s="25">
        <v>0.184</v>
      </c>
      <c r="K70" s="326" t="str">
        <f ca="1">IFERROR(IF(#REF!="","",INDEX(INDIRECT("'Annex 1 LV and HV charges"&amp;MID($A$2,FIND("_",$A$2),2)&amp;"'!$A$10:$K$51"),MATCH(MID($A70,FIND(":",$A70)+2,LEN($A70)-FIND(":",$A70)+2),INDIRECT("'Annex 1 LV and HV charges"&amp;MID($A$2,FIND("_",$A$2),2)&amp;"'!$A$10:$A$51"),0),MATCH(J$13,$A$13:$J$13,0))-J70),"")</f>
        <v/>
      </c>
    </row>
    <row r="71" spans="1:11" ht="27.75" customHeight="1" x14ac:dyDescent="0.2">
      <c r="A71" s="322" t="s">
        <v>570</v>
      </c>
      <c r="B71" s="18"/>
      <c r="C71" s="324">
        <v>0</v>
      </c>
      <c r="D71" s="90">
        <v>3.6829999999999998</v>
      </c>
      <c r="E71" s="91">
        <v>0.57399999999999995</v>
      </c>
      <c r="F71" s="92">
        <v>7.2999999999999995E-2</v>
      </c>
      <c r="G71" s="317">
        <v>159.83000000000001</v>
      </c>
      <c r="H71" s="317">
        <v>3.8</v>
      </c>
      <c r="I71" s="320">
        <v>3.8</v>
      </c>
      <c r="J71" s="25">
        <v>0.184</v>
      </c>
      <c r="K71" s="326" t="str">
        <f ca="1">IFERROR(IF(#REF!="","",INDEX(INDIRECT("'Annex 1 LV and HV charges"&amp;MID($A$2,FIND("_",$A$2),2)&amp;"'!$A$10:$K$51"),MATCH(MID($A71,FIND(":",$A71)+2,LEN($A71)-FIND(":",$A71)+2),INDIRECT("'Annex 1 LV and HV charges"&amp;MID($A$2,FIND("_",$A$2),2)&amp;"'!$A$10:$A$51"),0),MATCH(J$13,$A$13:$J$13,0))-J71),"")</f>
        <v/>
      </c>
    </row>
    <row r="72" spans="1:11" ht="27.75" customHeight="1" x14ac:dyDescent="0.2">
      <c r="A72" s="322" t="s">
        <v>571</v>
      </c>
      <c r="B72" s="18"/>
      <c r="C72" s="324">
        <v>0</v>
      </c>
      <c r="D72" s="90">
        <v>3.6019999999999999</v>
      </c>
      <c r="E72" s="91">
        <v>0.51600000000000001</v>
      </c>
      <c r="F72" s="92">
        <v>5.7000000000000002E-2</v>
      </c>
      <c r="G72" s="317">
        <v>13.9</v>
      </c>
      <c r="H72" s="317">
        <v>4.2300000000000004</v>
      </c>
      <c r="I72" s="320">
        <v>4.2300000000000004</v>
      </c>
      <c r="J72" s="25">
        <v>0.16600000000000001</v>
      </c>
      <c r="K72" s="326" t="str">
        <f ca="1">IFERROR(IF(#REF!="","",INDEX(INDIRECT("'Annex 1 LV and HV charges"&amp;MID($A$2,FIND("_",$A$2),2)&amp;"'!$A$10:$K$51"),MATCH(MID($A72,FIND(":",$A72)+2,LEN($A72)-FIND(":",$A72)+2),INDIRECT("'Annex 1 LV and HV charges"&amp;MID($A$2,FIND("_",$A$2),2)&amp;"'!$A$10:$A$51"),0),MATCH(J$13,$A$13:$J$13,0))-J72),"")</f>
        <v/>
      </c>
    </row>
    <row r="73" spans="1:11" ht="27.75" customHeight="1" x14ac:dyDescent="0.2">
      <c r="A73" s="322" t="s">
        <v>572</v>
      </c>
      <c r="B73" s="24"/>
      <c r="C73" s="324">
        <v>0</v>
      </c>
      <c r="D73" s="90">
        <v>3.6019999999999999</v>
      </c>
      <c r="E73" s="91">
        <v>0.51600000000000001</v>
      </c>
      <c r="F73" s="92">
        <v>5.7000000000000002E-2</v>
      </c>
      <c r="G73" s="317">
        <v>55.11</v>
      </c>
      <c r="H73" s="317">
        <v>4.2300000000000004</v>
      </c>
      <c r="I73" s="320">
        <v>4.2300000000000004</v>
      </c>
      <c r="J73" s="25">
        <v>0.16600000000000001</v>
      </c>
      <c r="K73" s="326" t="str">
        <f ca="1">IFERROR(IF(#REF!="","",INDEX(INDIRECT("'Annex 1 LV and HV charges"&amp;MID($A$2,FIND("_",$A$2),2)&amp;"'!$A$10:$K$51"),MATCH(MID($A73,FIND(":",$A73)+2,LEN($A73)-FIND(":",$A73)+2),INDIRECT("'Annex 1 LV and HV charges"&amp;MID($A$2,FIND("_",$A$2),2)&amp;"'!$A$10:$A$51"),0),MATCH(J$13,$A$13:$J$13,0))-J73),"")</f>
        <v/>
      </c>
    </row>
    <row r="74" spans="1:11" ht="27.75" customHeight="1" x14ac:dyDescent="0.2">
      <c r="A74" s="322" t="s">
        <v>573</v>
      </c>
      <c r="B74" s="18"/>
      <c r="C74" s="324">
        <v>0</v>
      </c>
      <c r="D74" s="90">
        <v>3.6019999999999999</v>
      </c>
      <c r="E74" s="91">
        <v>0.51600000000000001</v>
      </c>
      <c r="F74" s="92">
        <v>5.7000000000000002E-2</v>
      </c>
      <c r="G74" s="317">
        <v>79.08</v>
      </c>
      <c r="H74" s="317">
        <v>4.2300000000000004</v>
      </c>
      <c r="I74" s="320">
        <v>4.2300000000000004</v>
      </c>
      <c r="J74" s="25">
        <v>0.16600000000000001</v>
      </c>
      <c r="K74" s="326" t="str">
        <f ca="1">IFERROR(IF(#REF!="","",INDEX(INDIRECT("'Annex 1 LV and HV charges"&amp;MID($A$2,FIND("_",$A$2),2)&amp;"'!$A$10:$K$51"),MATCH(MID($A74,FIND(":",$A74)+2,LEN($A74)-FIND(":",$A74)+2),INDIRECT("'Annex 1 LV and HV charges"&amp;MID($A$2,FIND("_",$A$2),2)&amp;"'!$A$10:$A$51"),0),MATCH(J$13,$A$13:$J$13,0))-J74),"")</f>
        <v/>
      </c>
    </row>
    <row r="75" spans="1:11" ht="27.75" customHeight="1" x14ac:dyDescent="0.2">
      <c r="A75" s="322" t="s">
        <v>574</v>
      </c>
      <c r="B75" s="18"/>
      <c r="C75" s="324">
        <v>0</v>
      </c>
      <c r="D75" s="90">
        <v>3.6019999999999999</v>
      </c>
      <c r="E75" s="91">
        <v>0.51600000000000001</v>
      </c>
      <c r="F75" s="92">
        <v>5.7000000000000002E-2</v>
      </c>
      <c r="G75" s="317">
        <v>112.54</v>
      </c>
      <c r="H75" s="317">
        <v>4.2300000000000004</v>
      </c>
      <c r="I75" s="320">
        <v>4.2300000000000004</v>
      </c>
      <c r="J75" s="25">
        <v>0.16600000000000001</v>
      </c>
      <c r="K75" s="326" t="str">
        <f ca="1">IFERROR(IF(#REF!="","",INDEX(INDIRECT("'Annex 1 LV and HV charges"&amp;MID($A$2,FIND("_",$A$2),2)&amp;"'!$A$10:$K$51"),MATCH(MID($A75,FIND(":",$A75)+2,LEN($A75)-FIND(":",$A75)+2),INDIRECT("'Annex 1 LV and HV charges"&amp;MID($A$2,FIND("_",$A$2),2)&amp;"'!$A$10:$A$51"),0),MATCH(J$13,$A$13:$J$13,0))-J75),"")</f>
        <v/>
      </c>
    </row>
    <row r="76" spans="1:11" ht="27.75" customHeight="1" x14ac:dyDescent="0.2">
      <c r="A76" s="322" t="s">
        <v>575</v>
      </c>
      <c r="B76" s="18"/>
      <c r="C76" s="324">
        <v>0</v>
      </c>
      <c r="D76" s="90">
        <v>3.6019999999999999</v>
      </c>
      <c r="E76" s="91">
        <v>0.51600000000000001</v>
      </c>
      <c r="F76" s="92">
        <v>5.7000000000000002E-2</v>
      </c>
      <c r="G76" s="317">
        <v>243</v>
      </c>
      <c r="H76" s="317">
        <v>4.2300000000000004</v>
      </c>
      <c r="I76" s="320">
        <v>4.2300000000000004</v>
      </c>
      <c r="J76" s="25">
        <v>0.16600000000000001</v>
      </c>
      <c r="K76" s="326" t="str">
        <f ca="1">IFERROR(IF(#REF!="","",INDEX(INDIRECT("'Annex 1 LV and HV charges"&amp;MID($A$2,FIND("_",$A$2),2)&amp;"'!$A$10:$K$51"),MATCH(MID($A76,FIND(":",$A76)+2,LEN($A76)-FIND(":",$A76)+2),INDIRECT("'Annex 1 LV and HV charges"&amp;MID($A$2,FIND("_",$A$2),2)&amp;"'!$A$10:$A$51"),0),MATCH(J$13,$A$13:$J$13,0))-J76),"")</f>
        <v/>
      </c>
    </row>
    <row r="77" spans="1:11" ht="27.75" customHeight="1" x14ac:dyDescent="0.2">
      <c r="A77" s="322" t="s">
        <v>576</v>
      </c>
      <c r="B77" s="18"/>
      <c r="C77" s="324">
        <v>0</v>
      </c>
      <c r="D77" s="90">
        <v>3.4119999999999999</v>
      </c>
      <c r="E77" s="91">
        <v>0.46300000000000002</v>
      </c>
      <c r="F77" s="92">
        <v>4.9000000000000002E-2</v>
      </c>
      <c r="G77" s="317">
        <v>162.72999999999999</v>
      </c>
      <c r="H77" s="317">
        <v>4.0999999999999996</v>
      </c>
      <c r="I77" s="320">
        <v>4.0999999999999996</v>
      </c>
      <c r="J77" s="25">
        <v>0.14799999999999999</v>
      </c>
      <c r="K77" s="326" t="str">
        <f ca="1">IFERROR(IF(#REF!="","",INDEX(INDIRECT("'Annex 1 LV and HV charges"&amp;MID($A$2,FIND("_",$A$2),2)&amp;"'!$A$10:$K$51"),MATCH(MID($A77,FIND(":",$A77)+2,LEN($A77)-FIND(":",$A77)+2),INDIRECT("'Annex 1 LV and HV charges"&amp;MID($A$2,FIND("_",$A$2),2)&amp;"'!$A$10:$A$51"),0),MATCH(J$13,$A$13:$J$13,0))-J77),"")</f>
        <v/>
      </c>
    </row>
    <row r="78" spans="1:11" ht="27.75" customHeight="1" x14ac:dyDescent="0.2">
      <c r="A78" s="322" t="s">
        <v>577</v>
      </c>
      <c r="B78" s="24"/>
      <c r="C78" s="324">
        <v>0</v>
      </c>
      <c r="D78" s="90">
        <v>3.4119999999999999</v>
      </c>
      <c r="E78" s="91">
        <v>0.46300000000000002</v>
      </c>
      <c r="F78" s="92">
        <v>4.9000000000000002E-2</v>
      </c>
      <c r="G78" s="317">
        <v>561.33000000000004</v>
      </c>
      <c r="H78" s="317">
        <v>4.0999999999999996</v>
      </c>
      <c r="I78" s="320">
        <v>4.0999999999999996</v>
      </c>
      <c r="J78" s="25">
        <v>0.14799999999999999</v>
      </c>
      <c r="K78" s="326" t="str">
        <f ca="1">IFERROR(IF(#REF!="","",INDEX(INDIRECT("'Annex 1 LV and HV charges"&amp;MID($A$2,FIND("_",$A$2),2)&amp;"'!$A$10:$K$51"),MATCH(MID($A78,FIND(":",$A78)+2,LEN($A78)-FIND(":",$A78)+2),INDIRECT("'Annex 1 LV and HV charges"&amp;MID($A$2,FIND("_",$A$2),2)&amp;"'!$A$10:$A$51"),0),MATCH(J$13,$A$13:$J$13,0))-J78),"")</f>
        <v/>
      </c>
    </row>
    <row r="79" spans="1:11" ht="27.75" customHeight="1" x14ac:dyDescent="0.2">
      <c r="A79" s="322" t="s">
        <v>578</v>
      </c>
      <c r="B79" s="18"/>
      <c r="C79" s="324">
        <v>0</v>
      </c>
      <c r="D79" s="90">
        <v>3.4119999999999999</v>
      </c>
      <c r="E79" s="91">
        <v>0.46300000000000002</v>
      </c>
      <c r="F79" s="92">
        <v>4.9000000000000002E-2</v>
      </c>
      <c r="G79" s="317">
        <v>1013.57</v>
      </c>
      <c r="H79" s="317">
        <v>4.0999999999999996</v>
      </c>
      <c r="I79" s="320">
        <v>4.0999999999999996</v>
      </c>
      <c r="J79" s="25">
        <v>0.14799999999999999</v>
      </c>
      <c r="K79" s="326" t="str">
        <f ca="1">IFERROR(IF(#REF!="","",INDEX(INDIRECT("'Annex 1 LV and HV charges"&amp;MID($A$2,FIND("_",$A$2),2)&amp;"'!$A$10:$K$51"),MATCH(MID($A79,FIND(":",$A79)+2,LEN($A79)-FIND(":",$A79)+2),INDIRECT("'Annex 1 LV and HV charges"&amp;MID($A$2,FIND("_",$A$2),2)&amp;"'!$A$10:$A$51"),0),MATCH(J$13,$A$13:$J$13,0))-J79),"")</f>
        <v/>
      </c>
    </row>
    <row r="80" spans="1:11" ht="27.75" customHeight="1" x14ac:dyDescent="0.2">
      <c r="A80" s="322" t="s">
        <v>579</v>
      </c>
      <c r="B80" s="18"/>
      <c r="C80" s="324">
        <v>0</v>
      </c>
      <c r="D80" s="90">
        <v>3.4119999999999999</v>
      </c>
      <c r="E80" s="91">
        <v>0.46300000000000002</v>
      </c>
      <c r="F80" s="92">
        <v>4.9000000000000002E-2</v>
      </c>
      <c r="G80" s="317">
        <v>1665.25</v>
      </c>
      <c r="H80" s="317">
        <v>4.0999999999999996</v>
      </c>
      <c r="I80" s="320">
        <v>4.0999999999999996</v>
      </c>
      <c r="J80" s="25">
        <v>0.14799999999999999</v>
      </c>
      <c r="K80" s="326" t="str">
        <f ca="1">IFERROR(IF(#REF!="","",INDEX(INDIRECT("'Annex 1 LV and HV charges"&amp;MID($A$2,FIND("_",$A$2),2)&amp;"'!$A$10:$K$51"),MATCH(MID($A80,FIND(":",$A80)+2,LEN($A80)-FIND(":",$A80)+2),INDIRECT("'Annex 1 LV and HV charges"&amp;MID($A$2,FIND("_",$A$2),2)&amp;"'!$A$10:$A$51"),0),MATCH(J$13,$A$13:$J$13,0))-J80),"")</f>
        <v/>
      </c>
    </row>
    <row r="81" spans="1:11" ht="27.75" customHeight="1" x14ac:dyDescent="0.2">
      <c r="A81" s="322" t="s">
        <v>580</v>
      </c>
      <c r="B81" s="18"/>
      <c r="C81" s="324">
        <v>0</v>
      </c>
      <c r="D81" s="90">
        <v>3.4119999999999999</v>
      </c>
      <c r="E81" s="91">
        <v>0.46300000000000002</v>
      </c>
      <c r="F81" s="92">
        <v>4.9000000000000002E-2</v>
      </c>
      <c r="G81" s="317">
        <v>4548.21</v>
      </c>
      <c r="H81" s="317">
        <v>4.0999999999999996</v>
      </c>
      <c r="I81" s="320">
        <v>4.0999999999999996</v>
      </c>
      <c r="J81" s="25">
        <v>0.14799999999999999</v>
      </c>
      <c r="K81" s="326" t="str">
        <f ca="1">IFERROR(IF(#REF!="","",INDEX(INDIRECT("'Annex 1 LV and HV charges"&amp;MID($A$2,FIND("_",$A$2),2)&amp;"'!$A$10:$K$51"),MATCH(MID($A81,FIND(":",$A81)+2,LEN($A81)-FIND(":",$A81)+2),INDIRECT("'Annex 1 LV and HV charges"&amp;MID($A$2,FIND("_",$A$2),2)&amp;"'!$A$10:$A$51"),0),MATCH(J$13,$A$13:$J$13,0))-J81),"")</f>
        <v/>
      </c>
    </row>
    <row r="82" spans="1:11" ht="27.75" customHeight="1" x14ac:dyDescent="0.2">
      <c r="A82" s="322" t="s">
        <v>486</v>
      </c>
      <c r="B82" s="24"/>
      <c r="C82" s="324" t="s">
        <v>804</v>
      </c>
      <c r="D82" s="93">
        <v>19.189</v>
      </c>
      <c r="E82" s="94">
        <v>1.9770000000000001</v>
      </c>
      <c r="F82" s="92">
        <v>1.1459999999999999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charges"&amp;MID($A$2,FIND("_",$A$2),2)&amp;"'!$A$10:$A$51"),0),MATCH(J$13,$A$13:$J$13,0))-J82),"")</f>
        <v/>
      </c>
    </row>
    <row r="83" spans="1:11" ht="27.75" customHeight="1" x14ac:dyDescent="0.2">
      <c r="A83" s="322" t="s">
        <v>518</v>
      </c>
      <c r="B83" s="24"/>
      <c r="C83" s="324" t="s">
        <v>805</v>
      </c>
      <c r="D83" s="90">
        <v>-5.8140000000000001</v>
      </c>
      <c r="E83" s="91">
        <v>-0.95299999999999996</v>
      </c>
      <c r="F83" s="92">
        <v>-0.128</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charges"&amp;MID($A$2,FIND("_",$A$2),2)&amp;"'!$A$10:$A$51"),0),MATCH(J$13,$A$13:$J$13,0))-J83),"")</f>
        <v/>
      </c>
    </row>
    <row r="84" spans="1:11" ht="27.75" customHeight="1" x14ac:dyDescent="0.2">
      <c r="A84" s="322" t="s">
        <v>519</v>
      </c>
      <c r="B84" s="321"/>
      <c r="C84" s="324">
        <v>0</v>
      </c>
      <c r="D84" s="90">
        <v>-5.1219999999999999</v>
      </c>
      <c r="E84" s="91">
        <v>-0.81</v>
      </c>
      <c r="F84" s="92">
        <v>-0.105</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charges"&amp;MID($A$2,FIND("_",$A$2),2)&amp;"'!$A$10:$A$51"),0),MATCH(J$13,$A$13:$J$13,0))-J84),"")</f>
        <v/>
      </c>
    </row>
    <row r="85" spans="1:11" ht="27.75" customHeight="1" x14ac:dyDescent="0.2">
      <c r="A85" s="322" t="s">
        <v>520</v>
      </c>
      <c r="B85" s="24"/>
      <c r="C85" s="324">
        <v>0</v>
      </c>
      <c r="D85" s="90">
        <v>-5.8140000000000001</v>
      </c>
      <c r="E85" s="91">
        <v>-0.95299999999999996</v>
      </c>
      <c r="F85" s="92">
        <v>-0.128</v>
      </c>
      <c r="G85" s="317" t="s">
        <v>797</v>
      </c>
      <c r="H85" s="318" t="s">
        <v>797</v>
      </c>
      <c r="I85" s="319" t="s">
        <v>797</v>
      </c>
      <c r="J85" s="25">
        <v>0.33200000000000002</v>
      </c>
      <c r="K85" s="326" t="str">
        <f ca="1">IFERROR(IF(#REF!="","",INDEX(INDIRECT("'Annex 1 LV and HV charges"&amp;MID($A$2,FIND("_",$A$2),2)&amp;"'!$A$10:$K$51"),MATCH(MID($A85,FIND(":",$A85)+2,LEN($A85)-FIND(":",$A85)+2),INDIRECT("'Annex 1 LV and HV charges"&amp;MID($A$2,FIND("_",$A$2),2)&amp;"'!$A$10:$A$51"),0),MATCH(J$13,$A$13:$J$13,0))-J85),"")</f>
        <v/>
      </c>
    </row>
    <row r="86" spans="1:11" ht="27.75" customHeight="1" x14ac:dyDescent="0.2">
      <c r="A86" s="322" t="s">
        <v>521</v>
      </c>
      <c r="B86" s="24"/>
      <c r="C86" s="324">
        <v>0</v>
      </c>
      <c r="D86" s="90">
        <v>-5.1219999999999999</v>
      </c>
      <c r="E86" s="91">
        <v>-0.81</v>
      </c>
      <c r="F86" s="92">
        <v>-0.105</v>
      </c>
      <c r="G86" s="317" t="s">
        <v>797</v>
      </c>
      <c r="H86" s="318" t="s">
        <v>797</v>
      </c>
      <c r="I86" s="319" t="s">
        <v>797</v>
      </c>
      <c r="J86" s="25">
        <v>0.25900000000000001</v>
      </c>
      <c r="K86" s="326" t="str">
        <f ca="1">IFERROR(IF(#REF!="","",INDEX(INDIRECT("'Annex 1 LV and HV charges"&amp;MID($A$2,FIND("_",$A$2),2)&amp;"'!$A$10:$K$51"),MATCH(MID($A86,FIND(":",$A86)+2,LEN($A86)-FIND(":",$A86)+2),INDIRECT("'Annex 1 LV and HV charges"&amp;MID($A$2,FIND("_",$A$2),2)&amp;"'!$A$10:$A$51"),0),MATCH(J$13,$A$13:$J$13,0))-J86),"")</f>
        <v/>
      </c>
    </row>
    <row r="87" spans="1:11" ht="27.75" customHeight="1" x14ac:dyDescent="0.2">
      <c r="A87" s="322" t="s">
        <v>522</v>
      </c>
      <c r="B87" s="24"/>
      <c r="C87" s="324">
        <v>0</v>
      </c>
      <c r="D87" s="90">
        <v>-5.1269999999999998</v>
      </c>
      <c r="E87" s="91">
        <v>-0.73499999999999999</v>
      </c>
      <c r="F87" s="92">
        <v>-8.2000000000000003E-2</v>
      </c>
      <c r="G87" s="317">
        <v>15.58</v>
      </c>
      <c r="H87" s="318" t="s">
        <v>797</v>
      </c>
      <c r="I87" s="319" t="s">
        <v>797</v>
      </c>
      <c r="J87" s="25">
        <v>0.29899999999999999</v>
      </c>
      <c r="K87" s="326" t="str">
        <f ca="1">IFERROR(IF(#REF!="","",INDEX(INDIRECT("'Annex 1 LV and HV charges"&amp;MID($A$2,FIND("_",$A$2),2)&amp;"'!$A$10:$K$51"),MATCH(MID($A87,FIND(":",$A87)+2,LEN($A87)-FIND(":",$A87)+2),INDIRECT("'Annex 1 LV and HV charges"&amp;MID($A$2,FIND("_",$A$2),2)&amp;"'!$A$10:$A$51"),0),MATCH(J$13,$A$13:$J$13,0))-J87),"")</f>
        <v/>
      </c>
    </row>
    <row r="88" spans="1:11" ht="27.75" customHeight="1" x14ac:dyDescent="0.2">
      <c r="A88" s="322" t="s">
        <v>683</v>
      </c>
      <c r="B88" s="24"/>
      <c r="C88" s="324" t="s">
        <v>802</v>
      </c>
      <c r="D88" s="90">
        <v>5.0039999999999996</v>
      </c>
      <c r="E88" s="91">
        <v>0.82</v>
      </c>
      <c r="F88" s="92">
        <v>0.111</v>
      </c>
      <c r="G88" s="317">
        <v>3.91</v>
      </c>
      <c r="H88" s="318" t="s">
        <v>797</v>
      </c>
      <c r="I88" s="319" t="s">
        <v>797</v>
      </c>
      <c r="J88" s="26" t="s">
        <v>797</v>
      </c>
      <c r="K88" s="326" t="str">
        <f ca="1">IFERROR(IF(#REF!="","",INDEX(INDIRECT("'Annex 1 LV and HV charges"&amp;MID($A$2,FIND("_",$A$2),2)&amp;"'!$A$10:$K$51"),MATCH(MID($A88,FIND(":",$A88)+2,LEN($A88)-FIND(":",$A88)+2),INDIRECT("'Annex 1 LV and HV charges"&amp;MID($A$2,FIND("_",$A$2),2)&amp;"'!$A$10:$A$51"),0),MATCH(J$13,$A$13:$J$13,0))-J88),"")</f>
        <v/>
      </c>
    </row>
    <row r="89" spans="1:11" ht="27.75" customHeight="1" x14ac:dyDescent="0.2">
      <c r="A89" s="322" t="s">
        <v>581</v>
      </c>
      <c r="B89" s="24"/>
      <c r="C89" s="324">
        <v>2</v>
      </c>
      <c r="D89" s="90">
        <v>5.0039999999999996</v>
      </c>
      <c r="E89" s="91">
        <v>0.82</v>
      </c>
      <c r="F89" s="92">
        <v>0.111</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charges"&amp;MID($A$2,FIND("_",$A$2),2)&amp;"'!$A$10:$A$51"),0),MATCH(J$13,$A$13:$J$13,0))-J89),"")</f>
        <v/>
      </c>
    </row>
    <row r="90" spans="1:11" ht="27.75" customHeight="1" x14ac:dyDescent="0.2">
      <c r="A90" s="322" t="s">
        <v>690</v>
      </c>
      <c r="B90" s="18"/>
      <c r="C90" s="324" t="s">
        <v>803</v>
      </c>
      <c r="D90" s="90">
        <v>3.863</v>
      </c>
      <c r="E90" s="91">
        <v>0.63300000000000001</v>
      </c>
      <c r="F90" s="92">
        <v>8.5000000000000006E-2</v>
      </c>
      <c r="G90" s="317">
        <v>3.45</v>
      </c>
      <c r="H90" s="318" t="s">
        <v>797</v>
      </c>
      <c r="I90" s="319" t="s">
        <v>797</v>
      </c>
      <c r="J90" s="26" t="s">
        <v>797</v>
      </c>
      <c r="K90" s="326" t="str">
        <f ca="1">IFERROR(IF(#REF!="","",INDEX(INDIRECT("'Annex 1 LV and HV charges"&amp;MID($A$2,FIND("_",$A$2),2)&amp;"'!$A$10:$K$51"),MATCH(MID($A90,FIND(":",$A90)+2,LEN($A90)-FIND(":",$A90)+2),INDIRECT("'Annex 1 LV and HV charges"&amp;MID($A$2,FIND("_",$A$2),2)&amp;"'!$A$10:$A$51"),0),MATCH(J$13,$A$13:$J$13,0))-J90),"")</f>
        <v/>
      </c>
    </row>
    <row r="91" spans="1:11" ht="27.75" customHeight="1" x14ac:dyDescent="0.2">
      <c r="A91" s="322" t="s">
        <v>697</v>
      </c>
      <c r="B91" s="24"/>
      <c r="C91" s="324" t="s">
        <v>803</v>
      </c>
      <c r="D91" s="90">
        <v>3.863</v>
      </c>
      <c r="E91" s="91">
        <v>0.63300000000000001</v>
      </c>
      <c r="F91" s="92">
        <v>8.5000000000000006E-2</v>
      </c>
      <c r="G91" s="317">
        <v>4.0999999999999996</v>
      </c>
      <c r="H91" s="318" t="s">
        <v>797</v>
      </c>
      <c r="I91" s="319" t="s">
        <v>797</v>
      </c>
      <c r="J91" s="26" t="s">
        <v>797</v>
      </c>
      <c r="K91" s="326" t="str">
        <f ca="1">IFERROR(IF(#REF!="","",INDEX(INDIRECT("'Annex 1 LV and HV charges"&amp;MID($A$2,FIND("_",$A$2),2)&amp;"'!$A$10:$K$51"),MATCH(MID($A91,FIND(":",$A91)+2,LEN($A91)-FIND(":",$A91)+2),INDIRECT("'Annex 1 LV and HV charges"&amp;MID($A$2,FIND("_",$A$2),2)&amp;"'!$A$10:$A$51"),0),MATCH(J$13,$A$13:$J$13,0))-J91),"")</f>
        <v/>
      </c>
    </row>
    <row r="92" spans="1:11" ht="27.75" customHeight="1" x14ac:dyDescent="0.2">
      <c r="A92" s="322" t="s">
        <v>704</v>
      </c>
      <c r="B92" s="18"/>
      <c r="C92" s="324" t="s">
        <v>803</v>
      </c>
      <c r="D92" s="90">
        <v>3.863</v>
      </c>
      <c r="E92" s="91">
        <v>0.63300000000000001</v>
      </c>
      <c r="F92" s="92">
        <v>8.5000000000000006E-2</v>
      </c>
      <c r="G92" s="317">
        <v>5.2</v>
      </c>
      <c r="H92" s="318" t="s">
        <v>797</v>
      </c>
      <c r="I92" s="319" t="s">
        <v>797</v>
      </c>
      <c r="J92" s="26" t="s">
        <v>797</v>
      </c>
      <c r="K92" s="326" t="str">
        <f ca="1">IFERROR(IF(#REF!="","",INDEX(INDIRECT("'Annex 1 LV and HV charges"&amp;MID($A$2,FIND("_",$A$2),2)&amp;"'!$A$10:$K$51"),MATCH(MID($A92,FIND(":",$A92)+2,LEN($A92)-FIND(":",$A92)+2),INDIRECT("'Annex 1 LV and HV charges"&amp;MID($A$2,FIND("_",$A$2),2)&amp;"'!$A$10:$A$51"),0),MATCH(J$13,$A$13:$J$13,0))-J92),"")</f>
        <v/>
      </c>
    </row>
    <row r="93" spans="1:11" ht="27.75" customHeight="1" x14ac:dyDescent="0.2">
      <c r="A93" s="322" t="s">
        <v>711</v>
      </c>
      <c r="B93" s="18"/>
      <c r="C93" s="324" t="s">
        <v>803</v>
      </c>
      <c r="D93" s="90">
        <v>3.863</v>
      </c>
      <c r="E93" s="91">
        <v>0.63300000000000001</v>
      </c>
      <c r="F93" s="92">
        <v>8.5000000000000006E-2</v>
      </c>
      <c r="G93" s="317">
        <v>6.94</v>
      </c>
      <c r="H93" s="318" t="s">
        <v>797</v>
      </c>
      <c r="I93" s="319" t="s">
        <v>797</v>
      </c>
      <c r="J93" s="26" t="s">
        <v>797</v>
      </c>
      <c r="K93" s="326" t="str">
        <f ca="1">IFERROR(IF(#REF!="","",INDEX(INDIRECT("'Annex 1 LV and HV charges"&amp;MID($A$2,FIND("_",$A$2),2)&amp;"'!$A$10:$K$51"),MATCH(MID($A93,FIND(":",$A93)+2,LEN($A93)-FIND(":",$A93)+2),INDIRECT("'Annex 1 LV and HV charges"&amp;MID($A$2,FIND("_",$A$2),2)&amp;"'!$A$10:$A$51"),0),MATCH(J$13,$A$13:$J$13,0))-J93),"")</f>
        <v/>
      </c>
    </row>
    <row r="94" spans="1:11" ht="27.75" customHeight="1" x14ac:dyDescent="0.2">
      <c r="A94" s="322" t="s">
        <v>718</v>
      </c>
      <c r="B94" s="18"/>
      <c r="C94" s="324" t="s">
        <v>803</v>
      </c>
      <c r="D94" s="90">
        <v>3.863</v>
      </c>
      <c r="E94" s="91">
        <v>0.63300000000000001</v>
      </c>
      <c r="F94" s="92">
        <v>8.5000000000000006E-2</v>
      </c>
      <c r="G94" s="317">
        <v>13.18</v>
      </c>
      <c r="H94" s="318" t="s">
        <v>797</v>
      </c>
      <c r="I94" s="319" t="s">
        <v>797</v>
      </c>
      <c r="J94" s="26" t="s">
        <v>797</v>
      </c>
      <c r="K94" s="326" t="str">
        <f ca="1">IFERROR(IF(#REF!="","",INDEX(INDIRECT("'Annex 1 LV and HV charges"&amp;MID($A$2,FIND("_",$A$2),2)&amp;"'!$A$10:$K$51"),MATCH(MID($A94,FIND(":",$A94)+2,LEN($A94)-FIND(":",$A94)+2),INDIRECT("'Annex 1 LV and HV charges"&amp;MID($A$2,FIND("_",$A$2),2)&amp;"'!$A$10:$A$51"),0),MATCH(J$13,$A$13:$J$13,0))-J94),"")</f>
        <v/>
      </c>
    </row>
    <row r="95" spans="1:11" ht="27.75" customHeight="1" x14ac:dyDescent="0.2">
      <c r="A95" s="322" t="s">
        <v>487</v>
      </c>
      <c r="B95" s="24"/>
      <c r="C95" s="324">
        <v>4</v>
      </c>
      <c r="D95" s="90">
        <v>3.863</v>
      </c>
      <c r="E95" s="91">
        <v>0.63300000000000001</v>
      </c>
      <c r="F95" s="92">
        <v>8.5000000000000006E-2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charges"&amp;MID($A$2,FIND("_",$A$2),2)&amp;"'!$A$10:$A$51"),0),MATCH(J$13,$A$13:$J$13,0))-J95),"")</f>
        <v/>
      </c>
    </row>
    <row r="96" spans="1:11" ht="27.75" customHeight="1" x14ac:dyDescent="0.2">
      <c r="A96" s="322" t="s">
        <v>582</v>
      </c>
      <c r="B96" s="18"/>
      <c r="C96" s="324">
        <v>0</v>
      </c>
      <c r="D96" s="90">
        <v>2.8290000000000002</v>
      </c>
      <c r="E96" s="91">
        <v>0.441</v>
      </c>
      <c r="F96" s="92">
        <v>5.6000000000000001E-2</v>
      </c>
      <c r="G96" s="317">
        <v>8.25</v>
      </c>
      <c r="H96" s="317">
        <v>2.91</v>
      </c>
      <c r="I96" s="320">
        <v>2.91</v>
      </c>
      <c r="J96" s="25">
        <v>0.14199999999999999</v>
      </c>
      <c r="K96" s="326" t="str">
        <f ca="1">IFERROR(IF(#REF!="","",INDEX(INDIRECT("'Annex 1 LV and HV charges"&amp;MID($A$2,FIND("_",$A$2),2)&amp;"'!$A$10:$K$51"),MATCH(MID($A96,FIND(":",$A96)+2,LEN($A96)-FIND(":",$A96)+2),INDIRECT("'Annex 1 LV and HV charges"&amp;MID($A$2,FIND("_",$A$2),2)&amp;"'!$A$10:$A$51"),0),MATCH(J$13,$A$13:$J$13,0))-J96),"")</f>
        <v/>
      </c>
    </row>
    <row r="97" spans="1:11" ht="27.75" customHeight="1" x14ac:dyDescent="0.2">
      <c r="A97" s="322" t="s">
        <v>583</v>
      </c>
      <c r="B97" s="24"/>
      <c r="C97" s="324">
        <v>0</v>
      </c>
      <c r="D97" s="90">
        <v>2.8290000000000002</v>
      </c>
      <c r="E97" s="91">
        <v>0.441</v>
      </c>
      <c r="F97" s="92">
        <v>5.6000000000000001E-2</v>
      </c>
      <c r="G97" s="317">
        <v>28.85</v>
      </c>
      <c r="H97" s="317">
        <v>2.91</v>
      </c>
      <c r="I97" s="320">
        <v>2.91</v>
      </c>
      <c r="J97" s="25">
        <v>0.14199999999999999</v>
      </c>
      <c r="K97" s="326" t="str">
        <f ca="1">IFERROR(IF(#REF!="","",INDEX(INDIRECT("'Annex 1 LV and HV charges"&amp;MID($A$2,FIND("_",$A$2),2)&amp;"'!$A$10:$K$51"),MATCH(MID($A97,FIND(":",$A97)+2,LEN($A97)-FIND(":",$A97)+2),INDIRECT("'Annex 1 LV and HV charges"&amp;MID($A$2,FIND("_",$A$2),2)&amp;"'!$A$10:$A$51"),0),MATCH(J$13,$A$13:$J$13,0))-J97),"")</f>
        <v/>
      </c>
    </row>
    <row r="98" spans="1:11" ht="27.75" customHeight="1" x14ac:dyDescent="0.2">
      <c r="A98" s="322" t="s">
        <v>584</v>
      </c>
      <c r="B98" s="18"/>
      <c r="C98" s="324">
        <v>0</v>
      </c>
      <c r="D98" s="90">
        <v>2.8290000000000002</v>
      </c>
      <c r="E98" s="91">
        <v>0.441</v>
      </c>
      <c r="F98" s="92">
        <v>5.6000000000000001E-2</v>
      </c>
      <c r="G98" s="317">
        <v>40.83</v>
      </c>
      <c r="H98" s="317">
        <v>2.91</v>
      </c>
      <c r="I98" s="320">
        <v>2.91</v>
      </c>
      <c r="J98" s="25">
        <v>0.14199999999999999</v>
      </c>
      <c r="K98" s="326" t="str">
        <f ca="1">IFERROR(IF(#REF!="","",INDEX(INDIRECT("'Annex 1 LV and HV charges"&amp;MID($A$2,FIND("_",$A$2),2)&amp;"'!$A$10:$K$51"),MATCH(MID($A98,FIND(":",$A98)+2,LEN($A98)-FIND(":",$A98)+2),INDIRECT("'Annex 1 LV and HV charges"&amp;MID($A$2,FIND("_",$A$2),2)&amp;"'!$A$10:$A$51"),0),MATCH(J$13,$A$13:$J$13,0))-J98),"")</f>
        <v/>
      </c>
    </row>
    <row r="99" spans="1:11" ht="27.75" customHeight="1" x14ac:dyDescent="0.2">
      <c r="A99" s="322" t="s">
        <v>585</v>
      </c>
      <c r="B99" s="18"/>
      <c r="C99" s="324">
        <v>0</v>
      </c>
      <c r="D99" s="90">
        <v>2.8290000000000002</v>
      </c>
      <c r="E99" s="91">
        <v>0.441</v>
      </c>
      <c r="F99" s="92">
        <v>5.6000000000000001E-2</v>
      </c>
      <c r="G99" s="317">
        <v>57.55</v>
      </c>
      <c r="H99" s="317">
        <v>2.91</v>
      </c>
      <c r="I99" s="320">
        <v>2.91</v>
      </c>
      <c r="J99" s="25">
        <v>0.14199999999999999</v>
      </c>
      <c r="K99" s="326" t="str">
        <f ca="1">IFERROR(IF(#REF!="","",INDEX(INDIRECT("'Annex 1 LV and HV charges"&amp;MID($A$2,FIND("_",$A$2),2)&amp;"'!$A$10:$K$51"),MATCH(MID($A99,FIND(":",$A99)+2,LEN($A99)-FIND(":",$A99)+2),INDIRECT("'Annex 1 LV and HV charges"&amp;MID($A$2,FIND("_",$A$2),2)&amp;"'!$A$10:$A$51"),0),MATCH(J$13,$A$13:$J$13,0))-J99),"")</f>
        <v/>
      </c>
    </row>
    <row r="100" spans="1:11" ht="27.75" customHeight="1" x14ac:dyDescent="0.2">
      <c r="A100" s="322" t="s">
        <v>586</v>
      </c>
      <c r="B100" s="18"/>
      <c r="C100" s="324">
        <v>0</v>
      </c>
      <c r="D100" s="90">
        <v>2.8290000000000002</v>
      </c>
      <c r="E100" s="91">
        <v>0.441</v>
      </c>
      <c r="F100" s="92">
        <v>5.6000000000000001E-2</v>
      </c>
      <c r="G100" s="317">
        <v>122.75</v>
      </c>
      <c r="H100" s="317">
        <v>2.91</v>
      </c>
      <c r="I100" s="320">
        <v>2.91</v>
      </c>
      <c r="J100" s="25">
        <v>0.14199999999999999</v>
      </c>
      <c r="K100" s="326" t="str">
        <f ca="1">IFERROR(IF(#REF!="","",INDEX(INDIRECT("'Annex 1 LV and HV charges"&amp;MID($A$2,FIND("_",$A$2),2)&amp;"'!$A$10:$K$51"),MATCH(MID($A100,FIND(":",$A100)+2,LEN($A100)-FIND(":",$A100)+2),INDIRECT("'Annex 1 LV and HV charges"&amp;MID($A$2,FIND("_",$A$2),2)&amp;"'!$A$10:$A$51"),0),MATCH(J$13,$A$13:$J$13,0))-J100),"")</f>
        <v/>
      </c>
    </row>
    <row r="101" spans="1:11" ht="27.75" customHeight="1" x14ac:dyDescent="0.2">
      <c r="A101" s="322" t="s">
        <v>587</v>
      </c>
      <c r="B101" s="18"/>
      <c r="C101" s="324">
        <v>0</v>
      </c>
      <c r="D101" s="90">
        <v>2.766</v>
      </c>
      <c r="E101" s="91">
        <v>0.39600000000000002</v>
      </c>
      <c r="F101" s="92">
        <v>4.3999999999999997E-2</v>
      </c>
      <c r="G101" s="317">
        <v>10.67</v>
      </c>
      <c r="H101" s="317">
        <v>3.25</v>
      </c>
      <c r="I101" s="320">
        <v>3.25</v>
      </c>
      <c r="J101" s="25">
        <v>0.127</v>
      </c>
      <c r="K101" s="326" t="str">
        <f ca="1">IFERROR(IF(#REF!="","",INDEX(INDIRECT("'Annex 1 LV and HV charges"&amp;MID($A$2,FIND("_",$A$2),2)&amp;"'!$A$10:$K$51"),MATCH(MID($A101,FIND(":",$A101)+2,LEN($A101)-FIND(":",$A101)+2),INDIRECT("'Annex 1 LV and HV charges"&amp;MID($A$2,FIND("_",$A$2),2)&amp;"'!$A$10:$A$51"),0),MATCH(J$13,$A$13:$J$13,0))-J101),"")</f>
        <v/>
      </c>
    </row>
    <row r="102" spans="1:11" ht="27.75" customHeight="1" x14ac:dyDescent="0.2">
      <c r="A102" s="322" t="s">
        <v>588</v>
      </c>
      <c r="B102" s="24"/>
      <c r="C102" s="324">
        <v>0</v>
      </c>
      <c r="D102" s="90">
        <v>2.766</v>
      </c>
      <c r="E102" s="91">
        <v>0.39600000000000002</v>
      </c>
      <c r="F102" s="92">
        <v>4.3999999999999997E-2</v>
      </c>
      <c r="G102" s="317">
        <v>42.33</v>
      </c>
      <c r="H102" s="317">
        <v>3.25</v>
      </c>
      <c r="I102" s="320">
        <v>3.25</v>
      </c>
      <c r="J102" s="25">
        <v>0.127</v>
      </c>
      <c r="K102" s="326" t="str">
        <f ca="1">IFERROR(IF(#REF!="","",INDEX(INDIRECT("'Annex 1 LV and HV charges"&amp;MID($A$2,FIND("_",$A$2),2)&amp;"'!$A$10:$K$51"),MATCH(MID($A102,FIND(":",$A102)+2,LEN($A102)-FIND(":",$A102)+2),INDIRECT("'Annex 1 LV and HV charges"&amp;MID($A$2,FIND("_",$A$2),2)&amp;"'!$A$10:$A$51"),0),MATCH(J$13,$A$13:$J$13,0))-J102),"")</f>
        <v/>
      </c>
    </row>
    <row r="103" spans="1:11" ht="27.75" customHeight="1" x14ac:dyDescent="0.2">
      <c r="A103" s="322" t="s">
        <v>589</v>
      </c>
      <c r="B103" s="18"/>
      <c r="C103" s="324">
        <v>0</v>
      </c>
      <c r="D103" s="90">
        <v>2.766</v>
      </c>
      <c r="E103" s="91">
        <v>0.39600000000000002</v>
      </c>
      <c r="F103" s="92">
        <v>4.3999999999999997E-2</v>
      </c>
      <c r="G103" s="317">
        <v>60.73</v>
      </c>
      <c r="H103" s="317">
        <v>3.25</v>
      </c>
      <c r="I103" s="320">
        <v>3.25</v>
      </c>
      <c r="J103" s="25">
        <v>0.127</v>
      </c>
      <c r="K103" s="326" t="str">
        <f ca="1">IFERROR(IF(#REF!="","",INDEX(INDIRECT("'Annex 1 LV and HV charges"&amp;MID($A$2,FIND("_",$A$2),2)&amp;"'!$A$10:$K$51"),MATCH(MID($A103,FIND(":",$A103)+2,LEN($A103)-FIND(":",$A103)+2),INDIRECT("'Annex 1 LV and HV charges"&amp;MID($A$2,FIND("_",$A$2),2)&amp;"'!$A$10:$A$51"),0),MATCH(J$13,$A$13:$J$13,0))-J103),"")</f>
        <v/>
      </c>
    </row>
    <row r="104" spans="1:11" ht="27.75" customHeight="1" x14ac:dyDescent="0.2">
      <c r="A104" s="322" t="s">
        <v>590</v>
      </c>
      <c r="B104" s="18"/>
      <c r="C104" s="324">
        <v>0</v>
      </c>
      <c r="D104" s="90">
        <v>2.766</v>
      </c>
      <c r="E104" s="91">
        <v>0.39600000000000002</v>
      </c>
      <c r="F104" s="92">
        <v>4.3999999999999997E-2</v>
      </c>
      <c r="G104" s="317">
        <v>86.43</v>
      </c>
      <c r="H104" s="317">
        <v>3.25</v>
      </c>
      <c r="I104" s="320">
        <v>3.25</v>
      </c>
      <c r="J104" s="25">
        <v>0.127</v>
      </c>
      <c r="K104" s="326" t="str">
        <f ca="1">IFERROR(IF(#REF!="","",INDEX(INDIRECT("'Annex 1 LV and HV charges"&amp;MID($A$2,FIND("_",$A$2),2)&amp;"'!$A$10:$K$51"),MATCH(MID($A104,FIND(":",$A104)+2,LEN($A104)-FIND(":",$A104)+2),INDIRECT("'Annex 1 LV and HV charges"&amp;MID($A$2,FIND("_",$A$2),2)&amp;"'!$A$10:$A$51"),0),MATCH(J$13,$A$13:$J$13,0))-J104),"")</f>
        <v/>
      </c>
    </row>
    <row r="105" spans="1:11" ht="27.75" customHeight="1" x14ac:dyDescent="0.2">
      <c r="A105" s="322" t="s">
        <v>591</v>
      </c>
      <c r="B105" s="18"/>
      <c r="C105" s="324">
        <v>0</v>
      </c>
      <c r="D105" s="90">
        <v>2.766</v>
      </c>
      <c r="E105" s="91">
        <v>0.39600000000000002</v>
      </c>
      <c r="F105" s="92">
        <v>4.3999999999999997E-2</v>
      </c>
      <c r="G105" s="317">
        <v>186.62</v>
      </c>
      <c r="H105" s="317">
        <v>3.25</v>
      </c>
      <c r="I105" s="320">
        <v>3.25</v>
      </c>
      <c r="J105" s="25">
        <v>0.127</v>
      </c>
      <c r="K105" s="326" t="str">
        <f ca="1">IFERROR(IF(#REF!="","",INDEX(INDIRECT("'Annex 1 LV and HV charges"&amp;MID($A$2,FIND("_",$A$2),2)&amp;"'!$A$10:$K$51"),MATCH(MID($A105,FIND(":",$A105)+2,LEN($A105)-FIND(":",$A105)+2),INDIRECT("'Annex 1 LV and HV charges"&amp;MID($A$2,FIND("_",$A$2),2)&amp;"'!$A$10:$A$51"),0),MATCH(J$13,$A$13:$J$13,0))-J105),"")</f>
        <v/>
      </c>
    </row>
    <row r="106" spans="1:11" ht="27.75" customHeight="1" x14ac:dyDescent="0.2">
      <c r="A106" s="322" t="s">
        <v>592</v>
      </c>
      <c r="B106" s="18"/>
      <c r="C106" s="324">
        <v>0</v>
      </c>
      <c r="D106" s="90">
        <v>2.621</v>
      </c>
      <c r="E106" s="91">
        <v>0.35499999999999998</v>
      </c>
      <c r="F106" s="92">
        <v>3.6999999999999998E-2</v>
      </c>
      <c r="G106" s="317">
        <v>124.97</v>
      </c>
      <c r="H106" s="317">
        <v>3.15</v>
      </c>
      <c r="I106" s="320">
        <v>3.15</v>
      </c>
      <c r="J106" s="25">
        <v>0.114</v>
      </c>
      <c r="K106" s="326" t="str">
        <f ca="1">IFERROR(IF(#REF!="","",INDEX(INDIRECT("'Annex 1 LV and HV charges"&amp;MID($A$2,FIND("_",$A$2),2)&amp;"'!$A$10:$K$51"),MATCH(MID($A106,FIND(":",$A106)+2,LEN($A106)-FIND(":",$A106)+2),INDIRECT("'Annex 1 LV and HV charges"&amp;MID($A$2,FIND("_",$A$2),2)&amp;"'!$A$10:$A$51"),0),MATCH(J$13,$A$13:$J$13,0))-J106),"")</f>
        <v/>
      </c>
    </row>
    <row r="107" spans="1:11" ht="27.75" customHeight="1" x14ac:dyDescent="0.2">
      <c r="A107" s="322" t="s">
        <v>593</v>
      </c>
      <c r="B107" s="24"/>
      <c r="C107" s="324">
        <v>0</v>
      </c>
      <c r="D107" s="90">
        <v>2.621</v>
      </c>
      <c r="E107" s="91">
        <v>0.35499999999999998</v>
      </c>
      <c r="F107" s="92">
        <v>3.6999999999999998E-2</v>
      </c>
      <c r="G107" s="317">
        <v>431.1</v>
      </c>
      <c r="H107" s="317">
        <v>3.15</v>
      </c>
      <c r="I107" s="320">
        <v>3.15</v>
      </c>
      <c r="J107" s="25">
        <v>0.114</v>
      </c>
      <c r="K107" s="326" t="str">
        <f ca="1">IFERROR(IF(#REF!="","",INDEX(INDIRECT("'Annex 1 LV and HV charges"&amp;MID($A$2,FIND("_",$A$2),2)&amp;"'!$A$10:$K$51"),MATCH(MID($A107,FIND(":",$A107)+2,LEN($A107)-FIND(":",$A107)+2),INDIRECT("'Annex 1 LV and HV charges"&amp;MID($A$2,FIND("_",$A$2),2)&amp;"'!$A$10:$A$51"),0),MATCH(J$13,$A$13:$J$13,0))-J107),"")</f>
        <v/>
      </c>
    </row>
    <row r="108" spans="1:11" ht="27.75" customHeight="1" x14ac:dyDescent="0.2">
      <c r="A108" s="322" t="s">
        <v>594</v>
      </c>
      <c r="B108" s="18"/>
      <c r="C108" s="324">
        <v>0</v>
      </c>
      <c r="D108" s="90">
        <v>2.621</v>
      </c>
      <c r="E108" s="91">
        <v>0.35499999999999998</v>
      </c>
      <c r="F108" s="92">
        <v>3.6999999999999998E-2</v>
      </c>
      <c r="G108" s="317">
        <v>778.41</v>
      </c>
      <c r="H108" s="317">
        <v>3.15</v>
      </c>
      <c r="I108" s="320">
        <v>3.15</v>
      </c>
      <c r="J108" s="25">
        <v>0.114</v>
      </c>
      <c r="K108" s="326" t="str">
        <f ca="1">IFERROR(IF(#REF!="","",INDEX(INDIRECT("'Annex 1 LV and HV charges"&amp;MID($A$2,FIND("_",$A$2),2)&amp;"'!$A$10:$K$51"),MATCH(MID($A108,FIND(":",$A108)+2,LEN($A108)-FIND(":",$A108)+2),INDIRECT("'Annex 1 LV and HV charges"&amp;MID($A$2,FIND("_",$A$2),2)&amp;"'!$A$10:$A$51"),0),MATCH(J$13,$A$13:$J$13,0))-J108),"")</f>
        <v/>
      </c>
    </row>
    <row r="109" spans="1:11" ht="27.75" customHeight="1" x14ac:dyDescent="0.2">
      <c r="A109" s="322" t="s">
        <v>595</v>
      </c>
      <c r="B109" s="18"/>
      <c r="C109" s="324">
        <v>0</v>
      </c>
      <c r="D109" s="90">
        <v>2.621</v>
      </c>
      <c r="E109" s="91">
        <v>0.35499999999999998</v>
      </c>
      <c r="F109" s="92">
        <v>3.6999999999999998E-2</v>
      </c>
      <c r="G109" s="317">
        <v>1278.9000000000001</v>
      </c>
      <c r="H109" s="317">
        <v>3.15</v>
      </c>
      <c r="I109" s="320">
        <v>3.15</v>
      </c>
      <c r="J109" s="25">
        <v>0.114</v>
      </c>
      <c r="K109" s="326" t="str">
        <f ca="1">IFERROR(IF(#REF!="","",INDEX(INDIRECT("'Annex 1 LV and HV charges"&amp;MID($A$2,FIND("_",$A$2),2)&amp;"'!$A$10:$K$51"),MATCH(MID($A109,FIND(":",$A109)+2,LEN($A109)-FIND(":",$A109)+2),INDIRECT("'Annex 1 LV and HV charges"&amp;MID($A$2,FIND("_",$A$2),2)&amp;"'!$A$10:$A$51"),0),MATCH(J$13,$A$13:$J$13,0))-J109),"")</f>
        <v/>
      </c>
    </row>
    <row r="110" spans="1:11" ht="27.75" customHeight="1" x14ac:dyDescent="0.2">
      <c r="A110" s="322" t="s">
        <v>596</v>
      </c>
      <c r="B110" s="18"/>
      <c r="C110" s="324">
        <v>0</v>
      </c>
      <c r="D110" s="90">
        <v>2.621</v>
      </c>
      <c r="E110" s="91">
        <v>0.35499999999999998</v>
      </c>
      <c r="F110" s="92">
        <v>3.6999999999999998E-2</v>
      </c>
      <c r="G110" s="317">
        <v>3492.99</v>
      </c>
      <c r="H110" s="317">
        <v>3.15</v>
      </c>
      <c r="I110" s="320">
        <v>3.15</v>
      </c>
      <c r="J110" s="25">
        <v>0.114</v>
      </c>
      <c r="K110" s="326" t="str">
        <f ca="1">IFERROR(IF(#REF!="","",INDEX(INDIRECT("'Annex 1 LV and HV charges"&amp;MID($A$2,FIND("_",$A$2),2)&amp;"'!$A$10:$K$51"),MATCH(MID($A110,FIND(":",$A110)+2,LEN($A110)-FIND(":",$A110)+2),INDIRECT("'Annex 1 LV and HV charges"&amp;MID($A$2,FIND("_",$A$2),2)&amp;"'!$A$10:$A$51"),0),MATCH(J$13,$A$13:$J$13,0))-J110),"")</f>
        <v/>
      </c>
    </row>
    <row r="111" spans="1:11" ht="27.75" customHeight="1" x14ac:dyDescent="0.2">
      <c r="A111" s="322" t="s">
        <v>488</v>
      </c>
      <c r="B111" s="24"/>
      <c r="C111" s="324" t="s">
        <v>804</v>
      </c>
      <c r="D111" s="93">
        <v>14.737</v>
      </c>
      <c r="E111" s="94">
        <v>1.518</v>
      </c>
      <c r="F111" s="92">
        <v>0.88</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charges"&amp;MID($A$2,FIND("_",$A$2),2)&amp;"'!$A$10:$A$51"),0),MATCH(J$13,$A$13:$J$13,0))-J111),"")</f>
        <v/>
      </c>
    </row>
    <row r="112" spans="1:11" ht="27.75" customHeight="1" x14ac:dyDescent="0.2">
      <c r="A112" s="322" t="s">
        <v>523</v>
      </c>
      <c r="B112" s="24"/>
      <c r="C112" s="324" t="s">
        <v>805</v>
      </c>
      <c r="D112" s="90">
        <v>-4.4649999999999999</v>
      </c>
      <c r="E112" s="91">
        <v>-0.73199999999999998</v>
      </c>
      <c r="F112" s="92">
        <v>-9.9000000000000005E-2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charges"&amp;MID($A$2,FIND("_",$A$2),2)&amp;"'!$A$10:$A$51"),0),MATCH(J$13,$A$13:$J$13,0))-J112),"")</f>
        <v/>
      </c>
    </row>
    <row r="113" spans="1:11" ht="27.75" customHeight="1" x14ac:dyDescent="0.2">
      <c r="A113" s="322" t="s">
        <v>524</v>
      </c>
      <c r="B113" s="24"/>
      <c r="C113" s="324">
        <v>0</v>
      </c>
      <c r="D113" s="90">
        <v>-3.9329999999999998</v>
      </c>
      <c r="E113" s="91">
        <v>-0.622</v>
      </c>
      <c r="F113" s="92">
        <v>-0.08</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charges"&amp;MID($A$2,FIND("_",$A$2),2)&amp;"'!$A$10:$A$51"),0),MATCH(J$13,$A$13:$J$13,0))-J113),"")</f>
        <v/>
      </c>
    </row>
    <row r="114" spans="1:11" ht="27.75" customHeight="1" x14ac:dyDescent="0.2">
      <c r="A114" s="322" t="s">
        <v>525</v>
      </c>
      <c r="B114" s="24"/>
      <c r="C114" s="324">
        <v>0</v>
      </c>
      <c r="D114" s="90">
        <v>-4.4649999999999999</v>
      </c>
      <c r="E114" s="91">
        <v>-0.73199999999999998</v>
      </c>
      <c r="F114" s="92">
        <v>-9.9000000000000005E-2</v>
      </c>
      <c r="G114" s="317" t="s">
        <v>797</v>
      </c>
      <c r="H114" s="318" t="s">
        <v>797</v>
      </c>
      <c r="I114" s="319" t="s">
        <v>797</v>
      </c>
      <c r="J114" s="25">
        <v>0.255</v>
      </c>
      <c r="K114" s="326" t="str">
        <f ca="1">IFERROR(IF(#REF!="","",INDEX(INDIRECT("'Annex 1 LV and HV charges"&amp;MID($A$2,FIND("_",$A$2),2)&amp;"'!$A$10:$K$51"),MATCH(MID($A114,FIND(":",$A114)+2,LEN($A114)-FIND(":",$A114)+2),INDIRECT("'Annex 1 LV and HV charges"&amp;MID($A$2,FIND("_",$A$2),2)&amp;"'!$A$10:$A$51"),0),MATCH(J$13,$A$13:$J$13,0))-J114),"")</f>
        <v/>
      </c>
    </row>
    <row r="115" spans="1:11" ht="27.75" customHeight="1" x14ac:dyDescent="0.2">
      <c r="A115" s="322" t="s">
        <v>526</v>
      </c>
      <c r="B115" s="24"/>
      <c r="C115" s="324">
        <v>0</v>
      </c>
      <c r="D115" s="90">
        <v>-3.9329999999999998</v>
      </c>
      <c r="E115" s="91">
        <v>-0.622</v>
      </c>
      <c r="F115" s="92">
        <v>-0.08</v>
      </c>
      <c r="G115" s="317" t="s">
        <v>797</v>
      </c>
      <c r="H115" s="318" t="s">
        <v>797</v>
      </c>
      <c r="I115" s="319" t="s">
        <v>797</v>
      </c>
      <c r="J115" s="25">
        <v>0.19900000000000001</v>
      </c>
      <c r="K115" s="326" t="str">
        <f ca="1">IFERROR(IF(#REF!="","",INDEX(INDIRECT("'Annex 1 LV and HV charges"&amp;MID($A$2,FIND("_",$A$2),2)&amp;"'!$A$10:$K$51"),MATCH(MID($A115,FIND(":",$A115)+2,LEN($A115)-FIND(":",$A115)+2),INDIRECT("'Annex 1 LV and HV charges"&amp;MID($A$2,FIND("_",$A$2),2)&amp;"'!$A$10:$A$51"),0),MATCH(J$13,$A$13:$J$13,0))-J115),"")</f>
        <v/>
      </c>
    </row>
    <row r="116" spans="1:11" ht="27.75" customHeight="1" x14ac:dyDescent="0.2">
      <c r="A116" s="322" t="s">
        <v>527</v>
      </c>
      <c r="B116" s="24"/>
      <c r="C116" s="324">
        <v>0</v>
      </c>
      <c r="D116" s="90">
        <v>-3.9380000000000002</v>
      </c>
      <c r="E116" s="91">
        <v>-0.56399999999999995</v>
      </c>
      <c r="F116" s="92">
        <v>-6.3E-2</v>
      </c>
      <c r="G116" s="317">
        <v>11.97</v>
      </c>
      <c r="H116" s="318" t="s">
        <v>797</v>
      </c>
      <c r="I116" s="319" t="s">
        <v>797</v>
      </c>
      <c r="J116" s="25">
        <v>0.23</v>
      </c>
      <c r="K116" s="326" t="str">
        <f ca="1">IFERROR(IF(#REF!="","",INDEX(INDIRECT("'Annex 1 LV and HV charges"&amp;MID($A$2,FIND("_",$A$2),2)&amp;"'!$A$10:$K$51"),MATCH(MID($A116,FIND(":",$A116)+2,LEN($A116)-FIND(":",$A116)+2),INDIRECT("'Annex 1 LV and HV charges"&amp;MID($A$2,FIND("_",$A$2),2)&amp;"'!$A$10:$A$51"),0),MATCH(J$13,$A$13:$J$13,0))-J116),"")</f>
        <v/>
      </c>
    </row>
    <row r="117" spans="1:11" ht="27.75" customHeight="1" x14ac:dyDescent="0.2">
      <c r="A117" s="322" t="s">
        <v>684</v>
      </c>
      <c r="B117" s="24"/>
      <c r="C117" s="324" t="s">
        <v>802</v>
      </c>
      <c r="D117" s="90">
        <v>3.778</v>
      </c>
      <c r="E117" s="91">
        <v>0.61899999999999999</v>
      </c>
      <c r="F117" s="92">
        <v>8.4000000000000005E-2</v>
      </c>
      <c r="G117" s="317">
        <v>2.95</v>
      </c>
      <c r="H117" s="318" t="s">
        <v>797</v>
      </c>
      <c r="I117" s="319" t="s">
        <v>797</v>
      </c>
      <c r="J117" s="26" t="s">
        <v>797</v>
      </c>
      <c r="K117" s="326" t="str">
        <f ca="1">IFERROR(IF(#REF!="","",INDEX(INDIRECT("'Annex 1 LV and HV charges"&amp;MID($A$2,FIND("_",$A$2),2)&amp;"'!$A$10:$K$51"),MATCH(MID($A117,FIND(":",$A117)+2,LEN($A117)-FIND(":",$A117)+2),INDIRECT("'Annex 1 LV and HV charges"&amp;MID($A$2,FIND("_",$A$2),2)&amp;"'!$A$10:$A$51"),0),MATCH(J$13,$A$13:$J$13,0))-J117),"")</f>
        <v/>
      </c>
    </row>
    <row r="118" spans="1:11" ht="27.75" customHeight="1" x14ac:dyDescent="0.2">
      <c r="A118" s="322" t="s">
        <v>597</v>
      </c>
      <c r="B118" s="24"/>
      <c r="C118" s="324">
        <v>2</v>
      </c>
      <c r="D118" s="90">
        <v>3.778</v>
      </c>
      <c r="E118" s="91">
        <v>0.61899999999999999</v>
      </c>
      <c r="F118" s="92">
        <v>8.4000000000000005E-2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charges"&amp;MID($A$2,FIND("_",$A$2),2)&amp;"'!$A$10:$A$51"),0),MATCH(J$13,$A$13:$J$13,0))-J118),"")</f>
        <v/>
      </c>
    </row>
    <row r="119" spans="1:11" ht="27.75" customHeight="1" x14ac:dyDescent="0.2">
      <c r="A119" s="322" t="s">
        <v>691</v>
      </c>
      <c r="B119" s="18"/>
      <c r="C119" s="324" t="s">
        <v>803</v>
      </c>
      <c r="D119" s="90">
        <v>2.9169999999999998</v>
      </c>
      <c r="E119" s="91">
        <v>0.47799999999999998</v>
      </c>
      <c r="F119" s="92">
        <v>6.4000000000000001E-2</v>
      </c>
      <c r="G119" s="317">
        <v>2.61</v>
      </c>
      <c r="H119" s="318" t="s">
        <v>797</v>
      </c>
      <c r="I119" s="319" t="s">
        <v>797</v>
      </c>
      <c r="J119" s="26" t="s">
        <v>797</v>
      </c>
      <c r="K119" s="326" t="str">
        <f ca="1">IFERROR(IF(#REF!="","",INDEX(INDIRECT("'Annex 1 LV and HV charges"&amp;MID($A$2,FIND("_",$A$2),2)&amp;"'!$A$10:$K$51"),MATCH(MID($A119,FIND(":",$A119)+2,LEN($A119)-FIND(":",$A119)+2),INDIRECT("'Annex 1 LV and HV charges"&amp;MID($A$2,FIND("_",$A$2),2)&amp;"'!$A$10:$A$51"),0),MATCH(J$13,$A$13:$J$13,0))-J119),"")</f>
        <v/>
      </c>
    </row>
    <row r="120" spans="1:11" ht="27.75" customHeight="1" x14ac:dyDescent="0.2">
      <c r="A120" s="322" t="s">
        <v>698</v>
      </c>
      <c r="B120" s="24"/>
      <c r="C120" s="324" t="s">
        <v>803</v>
      </c>
      <c r="D120" s="90">
        <v>2.9169999999999998</v>
      </c>
      <c r="E120" s="91">
        <v>0.47799999999999998</v>
      </c>
      <c r="F120" s="92">
        <v>6.4000000000000001E-2</v>
      </c>
      <c r="G120" s="317">
        <v>3.1</v>
      </c>
      <c r="H120" s="318" t="s">
        <v>797</v>
      </c>
      <c r="I120" s="319" t="s">
        <v>797</v>
      </c>
      <c r="J120" s="26" t="s">
        <v>797</v>
      </c>
      <c r="K120" s="326" t="str">
        <f ca="1">IFERROR(IF(#REF!="","",INDEX(INDIRECT("'Annex 1 LV and HV charges"&amp;MID($A$2,FIND("_",$A$2),2)&amp;"'!$A$10:$K$51"),MATCH(MID($A120,FIND(":",$A120)+2,LEN($A120)-FIND(":",$A120)+2),INDIRECT("'Annex 1 LV and HV charges"&amp;MID($A$2,FIND("_",$A$2),2)&amp;"'!$A$10:$A$51"),0),MATCH(J$13,$A$13:$J$13,0))-J120),"")</f>
        <v/>
      </c>
    </row>
    <row r="121" spans="1:11" ht="27.75" customHeight="1" x14ac:dyDescent="0.2">
      <c r="A121" s="322" t="s">
        <v>705</v>
      </c>
      <c r="B121" s="18"/>
      <c r="C121" s="324" t="s">
        <v>803</v>
      </c>
      <c r="D121" s="90">
        <v>2.9169999999999998</v>
      </c>
      <c r="E121" s="91">
        <v>0.47799999999999998</v>
      </c>
      <c r="F121" s="92">
        <v>6.4000000000000001E-2</v>
      </c>
      <c r="G121" s="317">
        <v>3.92</v>
      </c>
      <c r="H121" s="318" t="s">
        <v>797</v>
      </c>
      <c r="I121" s="319" t="s">
        <v>797</v>
      </c>
      <c r="J121" s="26" t="s">
        <v>797</v>
      </c>
      <c r="K121" s="326" t="str">
        <f ca="1">IFERROR(IF(#REF!="","",INDEX(INDIRECT("'Annex 1 LV and HV charges"&amp;MID($A$2,FIND("_",$A$2),2)&amp;"'!$A$10:$K$51"),MATCH(MID($A121,FIND(":",$A121)+2,LEN($A121)-FIND(":",$A121)+2),INDIRECT("'Annex 1 LV and HV charges"&amp;MID($A$2,FIND("_",$A$2),2)&amp;"'!$A$10:$A$51"),0),MATCH(J$13,$A$13:$J$13,0))-J121),"")</f>
        <v/>
      </c>
    </row>
    <row r="122" spans="1:11" ht="27.75" customHeight="1" x14ac:dyDescent="0.2">
      <c r="A122" s="322" t="s">
        <v>712</v>
      </c>
      <c r="B122" s="18"/>
      <c r="C122" s="324" t="s">
        <v>803</v>
      </c>
      <c r="D122" s="90">
        <v>2.9169999999999998</v>
      </c>
      <c r="E122" s="91">
        <v>0.47799999999999998</v>
      </c>
      <c r="F122" s="92">
        <v>6.4000000000000001E-2</v>
      </c>
      <c r="G122" s="317">
        <v>5.24</v>
      </c>
      <c r="H122" s="318" t="s">
        <v>797</v>
      </c>
      <c r="I122" s="319" t="s">
        <v>797</v>
      </c>
      <c r="J122" s="26" t="s">
        <v>797</v>
      </c>
      <c r="K122" s="326" t="str">
        <f ca="1">IFERROR(IF(#REF!="","",INDEX(INDIRECT("'Annex 1 LV and HV charges"&amp;MID($A$2,FIND("_",$A$2),2)&amp;"'!$A$10:$K$51"),MATCH(MID($A122,FIND(":",$A122)+2,LEN($A122)-FIND(":",$A122)+2),INDIRECT("'Annex 1 LV and HV charges"&amp;MID($A$2,FIND("_",$A$2),2)&amp;"'!$A$10:$A$51"),0),MATCH(J$13,$A$13:$J$13,0))-J122),"")</f>
        <v/>
      </c>
    </row>
    <row r="123" spans="1:11" ht="27.75" customHeight="1" x14ac:dyDescent="0.2">
      <c r="A123" s="322" t="s">
        <v>719</v>
      </c>
      <c r="B123" s="18"/>
      <c r="C123" s="324" t="s">
        <v>803</v>
      </c>
      <c r="D123" s="90">
        <v>2.9169999999999998</v>
      </c>
      <c r="E123" s="91">
        <v>0.47799999999999998</v>
      </c>
      <c r="F123" s="92">
        <v>6.4000000000000001E-2</v>
      </c>
      <c r="G123" s="317">
        <v>9.9499999999999993</v>
      </c>
      <c r="H123" s="318" t="s">
        <v>797</v>
      </c>
      <c r="I123" s="319" t="s">
        <v>797</v>
      </c>
      <c r="J123" s="26" t="s">
        <v>797</v>
      </c>
      <c r="K123" s="326" t="str">
        <f ca="1">IFERROR(IF(#REF!="","",INDEX(INDIRECT("'Annex 1 LV and HV charges"&amp;MID($A$2,FIND("_",$A$2),2)&amp;"'!$A$10:$K$51"),MATCH(MID($A123,FIND(":",$A123)+2,LEN($A123)-FIND(":",$A123)+2),INDIRECT("'Annex 1 LV and HV charges"&amp;MID($A$2,FIND("_",$A$2),2)&amp;"'!$A$10:$A$51"),0),MATCH(J$13,$A$13:$J$13,0))-J123),"")</f>
        <v/>
      </c>
    </row>
    <row r="124" spans="1:11" ht="27.75" customHeight="1" x14ac:dyDescent="0.2">
      <c r="A124" s="322" t="s">
        <v>489</v>
      </c>
      <c r="B124" s="24"/>
      <c r="C124" s="324">
        <v>4</v>
      </c>
      <c r="D124" s="90">
        <v>2.9169999999999998</v>
      </c>
      <c r="E124" s="91">
        <v>0.47799999999999998</v>
      </c>
      <c r="F124" s="92">
        <v>6.4000000000000001E-2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charges"&amp;MID($A$2,FIND("_",$A$2),2)&amp;"'!$A$10:$A$51"),0),MATCH(J$13,$A$13:$J$13,0))-J124),"")</f>
        <v/>
      </c>
    </row>
    <row r="125" spans="1:11" ht="27.75" customHeight="1" x14ac:dyDescent="0.2">
      <c r="A125" s="322" t="s">
        <v>598</v>
      </c>
      <c r="B125" s="18"/>
      <c r="C125" s="324">
        <v>0</v>
      </c>
      <c r="D125" s="90">
        <v>2.1360000000000001</v>
      </c>
      <c r="E125" s="91">
        <v>0.33300000000000002</v>
      </c>
      <c r="F125" s="92">
        <v>4.2000000000000003E-2</v>
      </c>
      <c r="G125" s="317">
        <v>6.23</v>
      </c>
      <c r="H125" s="317">
        <v>2.2000000000000002</v>
      </c>
      <c r="I125" s="320">
        <v>2.2000000000000002</v>
      </c>
      <c r="J125" s="25">
        <v>0.107</v>
      </c>
      <c r="K125" s="326" t="str">
        <f ca="1">IFERROR(IF(#REF!="","",INDEX(INDIRECT("'Annex 1 LV and HV charges"&amp;MID($A$2,FIND("_",$A$2),2)&amp;"'!$A$10:$K$51"),MATCH(MID($A125,FIND(":",$A125)+2,LEN($A125)-FIND(":",$A125)+2),INDIRECT("'Annex 1 LV and HV charges"&amp;MID($A$2,FIND("_",$A$2),2)&amp;"'!$A$10:$A$51"),0),MATCH(J$13,$A$13:$J$13,0))-J125),"")</f>
        <v/>
      </c>
    </row>
    <row r="126" spans="1:11" ht="27.75" customHeight="1" x14ac:dyDescent="0.2">
      <c r="A126" s="322" t="s">
        <v>599</v>
      </c>
      <c r="B126" s="24"/>
      <c r="C126" s="324">
        <v>0</v>
      </c>
      <c r="D126" s="90">
        <v>2.1360000000000001</v>
      </c>
      <c r="E126" s="91">
        <v>0.33300000000000002</v>
      </c>
      <c r="F126" s="92">
        <v>4.2000000000000003E-2</v>
      </c>
      <c r="G126" s="317">
        <v>21.78</v>
      </c>
      <c r="H126" s="317">
        <v>2.2000000000000002</v>
      </c>
      <c r="I126" s="320">
        <v>2.2000000000000002</v>
      </c>
      <c r="J126" s="25">
        <v>0.107</v>
      </c>
      <c r="K126" s="326" t="str">
        <f ca="1">IFERROR(IF(#REF!="","",INDEX(INDIRECT("'Annex 1 LV and HV charges"&amp;MID($A$2,FIND("_",$A$2),2)&amp;"'!$A$10:$K$51"),MATCH(MID($A126,FIND(":",$A126)+2,LEN($A126)-FIND(":",$A126)+2),INDIRECT("'Annex 1 LV and HV charges"&amp;MID($A$2,FIND("_",$A$2),2)&amp;"'!$A$10:$A$51"),0),MATCH(J$13,$A$13:$J$13,0))-J126),"")</f>
        <v/>
      </c>
    </row>
    <row r="127" spans="1:11" ht="27.75" customHeight="1" x14ac:dyDescent="0.2">
      <c r="A127" s="322" t="s">
        <v>600</v>
      </c>
      <c r="B127" s="18"/>
      <c r="C127" s="324">
        <v>0</v>
      </c>
      <c r="D127" s="90">
        <v>2.1360000000000001</v>
      </c>
      <c r="E127" s="91">
        <v>0.33300000000000002</v>
      </c>
      <c r="F127" s="92">
        <v>4.2000000000000003E-2</v>
      </c>
      <c r="G127" s="317">
        <v>30.83</v>
      </c>
      <c r="H127" s="317">
        <v>2.2000000000000002</v>
      </c>
      <c r="I127" s="320">
        <v>2.2000000000000002</v>
      </c>
      <c r="J127" s="25">
        <v>0.107</v>
      </c>
      <c r="K127" s="326" t="str">
        <f ca="1">IFERROR(IF(#REF!="","",INDEX(INDIRECT("'Annex 1 LV and HV charges"&amp;MID($A$2,FIND("_",$A$2),2)&amp;"'!$A$10:$K$51"),MATCH(MID($A127,FIND(":",$A127)+2,LEN($A127)-FIND(":",$A127)+2),INDIRECT("'Annex 1 LV and HV charges"&amp;MID($A$2,FIND("_",$A$2),2)&amp;"'!$A$10:$A$51"),0),MATCH(J$13,$A$13:$J$13,0))-J127),"")</f>
        <v/>
      </c>
    </row>
    <row r="128" spans="1:11" ht="27.75" customHeight="1" x14ac:dyDescent="0.2">
      <c r="A128" s="322" t="s">
        <v>601</v>
      </c>
      <c r="B128" s="18"/>
      <c r="C128" s="324">
        <v>0</v>
      </c>
      <c r="D128" s="90">
        <v>2.1360000000000001</v>
      </c>
      <c r="E128" s="91">
        <v>0.33300000000000002</v>
      </c>
      <c r="F128" s="92">
        <v>4.2000000000000003E-2</v>
      </c>
      <c r="G128" s="317">
        <v>43.45</v>
      </c>
      <c r="H128" s="317">
        <v>2.2000000000000002</v>
      </c>
      <c r="I128" s="320">
        <v>2.2000000000000002</v>
      </c>
      <c r="J128" s="25">
        <v>0.107</v>
      </c>
      <c r="K128" s="326" t="str">
        <f ca="1">IFERROR(IF(#REF!="","",INDEX(INDIRECT("'Annex 1 LV and HV charges"&amp;MID($A$2,FIND("_",$A$2),2)&amp;"'!$A$10:$K$51"),MATCH(MID($A128,FIND(":",$A128)+2,LEN($A128)-FIND(":",$A128)+2),INDIRECT("'Annex 1 LV and HV charges"&amp;MID($A$2,FIND("_",$A$2),2)&amp;"'!$A$10:$A$51"),0),MATCH(J$13,$A$13:$J$13,0))-J128),"")</f>
        <v/>
      </c>
    </row>
    <row r="129" spans="1:11" ht="27.75" customHeight="1" x14ac:dyDescent="0.2">
      <c r="A129" s="322" t="s">
        <v>602</v>
      </c>
      <c r="B129" s="18"/>
      <c r="C129" s="324">
        <v>0</v>
      </c>
      <c r="D129" s="90">
        <v>2.1360000000000001</v>
      </c>
      <c r="E129" s="91">
        <v>0.33300000000000002</v>
      </c>
      <c r="F129" s="92">
        <v>4.2000000000000003E-2</v>
      </c>
      <c r="G129" s="317">
        <v>92.68</v>
      </c>
      <c r="H129" s="317">
        <v>2.2000000000000002</v>
      </c>
      <c r="I129" s="320">
        <v>2.2000000000000002</v>
      </c>
      <c r="J129" s="25">
        <v>0.107</v>
      </c>
      <c r="K129" s="326" t="str">
        <f ca="1">IFERROR(IF(#REF!="","",INDEX(INDIRECT("'Annex 1 LV and HV charges"&amp;MID($A$2,FIND("_",$A$2),2)&amp;"'!$A$10:$K$51"),MATCH(MID($A129,FIND(":",$A129)+2,LEN($A129)-FIND(":",$A129)+2),INDIRECT("'Annex 1 LV and HV charges"&amp;MID($A$2,FIND("_",$A$2),2)&amp;"'!$A$10:$A$51"),0),MATCH(J$13,$A$13:$J$13,0))-J129),"")</f>
        <v/>
      </c>
    </row>
    <row r="130" spans="1:11" ht="27.75" customHeight="1" x14ac:dyDescent="0.2">
      <c r="A130" s="322" t="s">
        <v>603</v>
      </c>
      <c r="B130" s="18"/>
      <c r="C130" s="324">
        <v>0</v>
      </c>
      <c r="D130" s="90">
        <v>2.089</v>
      </c>
      <c r="E130" s="91">
        <v>0.29899999999999999</v>
      </c>
      <c r="F130" s="92">
        <v>3.3000000000000002E-2</v>
      </c>
      <c r="G130" s="317">
        <v>8.06</v>
      </c>
      <c r="H130" s="317">
        <v>2.4500000000000002</v>
      </c>
      <c r="I130" s="320">
        <v>2.4500000000000002</v>
      </c>
      <c r="J130" s="25">
        <v>9.6000000000000002E-2</v>
      </c>
      <c r="K130" s="326" t="str">
        <f ca="1">IFERROR(IF(#REF!="","",INDEX(INDIRECT("'Annex 1 LV and HV charges"&amp;MID($A$2,FIND("_",$A$2),2)&amp;"'!$A$10:$K$51"),MATCH(MID($A130,FIND(":",$A130)+2,LEN($A130)-FIND(":",$A130)+2),INDIRECT("'Annex 1 LV and HV charges"&amp;MID($A$2,FIND("_",$A$2),2)&amp;"'!$A$10:$A$51"),0),MATCH(J$13,$A$13:$J$13,0))-J130),"")</f>
        <v/>
      </c>
    </row>
    <row r="131" spans="1:11" ht="27.75" customHeight="1" x14ac:dyDescent="0.2">
      <c r="A131" s="322" t="s">
        <v>604</v>
      </c>
      <c r="B131" s="24"/>
      <c r="C131" s="324">
        <v>0</v>
      </c>
      <c r="D131" s="90">
        <v>2.089</v>
      </c>
      <c r="E131" s="91">
        <v>0.29899999999999999</v>
      </c>
      <c r="F131" s="92">
        <v>3.3000000000000002E-2</v>
      </c>
      <c r="G131" s="317">
        <v>31.96</v>
      </c>
      <c r="H131" s="317">
        <v>2.4500000000000002</v>
      </c>
      <c r="I131" s="320">
        <v>2.4500000000000002</v>
      </c>
      <c r="J131" s="25">
        <v>9.6000000000000002E-2</v>
      </c>
      <c r="K131" s="326" t="str">
        <f ca="1">IFERROR(IF(#REF!="","",INDEX(INDIRECT("'Annex 1 LV and HV charges"&amp;MID($A$2,FIND("_",$A$2),2)&amp;"'!$A$10:$K$51"),MATCH(MID($A131,FIND(":",$A131)+2,LEN($A131)-FIND(":",$A131)+2),INDIRECT("'Annex 1 LV and HV charges"&amp;MID($A$2,FIND("_",$A$2),2)&amp;"'!$A$10:$A$51"),0),MATCH(J$13,$A$13:$J$13,0))-J131),"")</f>
        <v/>
      </c>
    </row>
    <row r="132" spans="1:11" ht="27.75" customHeight="1" x14ac:dyDescent="0.2">
      <c r="A132" s="322" t="s">
        <v>605</v>
      </c>
      <c r="B132" s="18"/>
      <c r="C132" s="324">
        <v>0</v>
      </c>
      <c r="D132" s="90">
        <v>2.089</v>
      </c>
      <c r="E132" s="91">
        <v>0.29899999999999999</v>
      </c>
      <c r="F132" s="92">
        <v>3.3000000000000002E-2</v>
      </c>
      <c r="G132" s="317">
        <v>45.86</v>
      </c>
      <c r="H132" s="317">
        <v>2.4500000000000002</v>
      </c>
      <c r="I132" s="320">
        <v>2.4500000000000002</v>
      </c>
      <c r="J132" s="25">
        <v>9.6000000000000002E-2</v>
      </c>
      <c r="K132" s="326" t="str">
        <f ca="1">IFERROR(IF(#REF!="","",INDEX(INDIRECT("'Annex 1 LV and HV charges"&amp;MID($A$2,FIND("_",$A$2),2)&amp;"'!$A$10:$K$51"),MATCH(MID($A132,FIND(":",$A132)+2,LEN($A132)-FIND(":",$A132)+2),INDIRECT("'Annex 1 LV and HV charges"&amp;MID($A$2,FIND("_",$A$2),2)&amp;"'!$A$10:$A$51"),0),MATCH(J$13,$A$13:$J$13,0))-J132),"")</f>
        <v/>
      </c>
    </row>
    <row r="133" spans="1:11" ht="27.75" customHeight="1" x14ac:dyDescent="0.2">
      <c r="A133" s="322" t="s">
        <v>606</v>
      </c>
      <c r="B133" s="18"/>
      <c r="C133" s="324">
        <v>0</v>
      </c>
      <c r="D133" s="90">
        <v>2.089</v>
      </c>
      <c r="E133" s="91">
        <v>0.29899999999999999</v>
      </c>
      <c r="F133" s="92">
        <v>3.3000000000000002E-2</v>
      </c>
      <c r="G133" s="317">
        <v>65.260000000000005</v>
      </c>
      <c r="H133" s="317">
        <v>2.4500000000000002</v>
      </c>
      <c r="I133" s="320">
        <v>2.4500000000000002</v>
      </c>
      <c r="J133" s="25">
        <v>9.6000000000000002E-2</v>
      </c>
      <c r="K133" s="326" t="str">
        <f ca="1">IFERROR(IF(#REF!="","",INDEX(INDIRECT("'Annex 1 LV and HV charges"&amp;MID($A$2,FIND("_",$A$2),2)&amp;"'!$A$10:$K$51"),MATCH(MID($A133,FIND(":",$A133)+2,LEN($A133)-FIND(":",$A133)+2),INDIRECT("'Annex 1 LV and HV charges"&amp;MID($A$2,FIND("_",$A$2),2)&amp;"'!$A$10:$A$51"),0),MATCH(J$13,$A$13:$J$13,0))-J133),"")</f>
        <v/>
      </c>
    </row>
    <row r="134" spans="1:11" ht="27.75" customHeight="1" x14ac:dyDescent="0.2">
      <c r="A134" s="322" t="s">
        <v>607</v>
      </c>
      <c r="B134" s="18"/>
      <c r="C134" s="324">
        <v>0</v>
      </c>
      <c r="D134" s="90">
        <v>2.089</v>
      </c>
      <c r="E134" s="91">
        <v>0.29899999999999999</v>
      </c>
      <c r="F134" s="92">
        <v>3.3000000000000002E-2</v>
      </c>
      <c r="G134" s="317">
        <v>140.91</v>
      </c>
      <c r="H134" s="317">
        <v>2.4500000000000002</v>
      </c>
      <c r="I134" s="320">
        <v>2.4500000000000002</v>
      </c>
      <c r="J134" s="25">
        <v>9.6000000000000002E-2</v>
      </c>
      <c r="K134" s="326" t="str">
        <f ca="1">IFERROR(IF(#REF!="","",INDEX(INDIRECT("'Annex 1 LV and HV charges"&amp;MID($A$2,FIND("_",$A$2),2)&amp;"'!$A$10:$K$51"),MATCH(MID($A134,FIND(":",$A134)+2,LEN($A134)-FIND(":",$A134)+2),INDIRECT("'Annex 1 LV and HV charges"&amp;MID($A$2,FIND("_",$A$2),2)&amp;"'!$A$10:$A$51"),0),MATCH(J$13,$A$13:$J$13,0))-J134),"")</f>
        <v/>
      </c>
    </row>
    <row r="135" spans="1:11" ht="27.75" customHeight="1" x14ac:dyDescent="0.2">
      <c r="A135" s="322" t="s">
        <v>608</v>
      </c>
      <c r="B135" s="18"/>
      <c r="C135" s="324">
        <v>0</v>
      </c>
      <c r="D135" s="90">
        <v>1.9790000000000001</v>
      </c>
      <c r="E135" s="91">
        <v>0.26800000000000002</v>
      </c>
      <c r="F135" s="92">
        <v>2.8000000000000001E-2</v>
      </c>
      <c r="G135" s="317">
        <v>94.36</v>
      </c>
      <c r="H135" s="317">
        <v>2.38</v>
      </c>
      <c r="I135" s="320">
        <v>2.38</v>
      </c>
      <c r="J135" s="25">
        <v>8.5999999999999993E-2</v>
      </c>
      <c r="K135" s="326" t="str">
        <f ca="1">IFERROR(IF(#REF!="","",INDEX(INDIRECT("'Annex 1 LV and HV charges"&amp;MID($A$2,FIND("_",$A$2),2)&amp;"'!$A$10:$K$51"),MATCH(MID($A135,FIND(":",$A135)+2,LEN($A135)-FIND(":",$A135)+2),INDIRECT("'Annex 1 LV and HV charges"&amp;MID($A$2,FIND("_",$A$2),2)&amp;"'!$A$10:$A$51"),0),MATCH(J$13,$A$13:$J$13,0))-J135),"")</f>
        <v/>
      </c>
    </row>
    <row r="136" spans="1:11" ht="27.75" customHeight="1" x14ac:dyDescent="0.2">
      <c r="A136" s="322" t="s">
        <v>609</v>
      </c>
      <c r="B136" s="24"/>
      <c r="C136" s="324">
        <v>0</v>
      </c>
      <c r="D136" s="90">
        <v>1.9790000000000001</v>
      </c>
      <c r="E136" s="91">
        <v>0.26800000000000002</v>
      </c>
      <c r="F136" s="92">
        <v>2.8000000000000001E-2</v>
      </c>
      <c r="G136" s="317">
        <v>325.5</v>
      </c>
      <c r="H136" s="317">
        <v>2.38</v>
      </c>
      <c r="I136" s="320">
        <v>2.38</v>
      </c>
      <c r="J136" s="25">
        <v>8.5999999999999993E-2</v>
      </c>
      <c r="K136" s="326" t="str">
        <f ca="1">IFERROR(IF(#REF!="","",INDEX(INDIRECT("'Annex 1 LV and HV charges"&amp;MID($A$2,FIND("_",$A$2),2)&amp;"'!$A$10:$K$51"),MATCH(MID($A136,FIND(":",$A136)+2,LEN($A136)-FIND(":",$A136)+2),INDIRECT("'Annex 1 LV and HV charges"&amp;MID($A$2,FIND("_",$A$2),2)&amp;"'!$A$10:$A$51"),0),MATCH(J$13,$A$13:$J$13,0))-J136),"")</f>
        <v/>
      </c>
    </row>
    <row r="137" spans="1:11" ht="27.75" customHeight="1" x14ac:dyDescent="0.2">
      <c r="A137" s="322" t="s">
        <v>610</v>
      </c>
      <c r="B137" s="18"/>
      <c r="C137" s="324">
        <v>0</v>
      </c>
      <c r="D137" s="90">
        <v>1.9790000000000001</v>
      </c>
      <c r="E137" s="91">
        <v>0.26800000000000002</v>
      </c>
      <c r="F137" s="92">
        <v>2.8000000000000001E-2</v>
      </c>
      <c r="G137" s="317">
        <v>587.74</v>
      </c>
      <c r="H137" s="317">
        <v>2.38</v>
      </c>
      <c r="I137" s="320">
        <v>2.38</v>
      </c>
      <c r="J137" s="25">
        <v>8.5999999999999993E-2</v>
      </c>
      <c r="K137" s="326" t="str">
        <f ca="1">IFERROR(IF(#REF!="","",INDEX(INDIRECT("'Annex 1 LV and HV charges"&amp;MID($A$2,FIND("_",$A$2),2)&amp;"'!$A$10:$K$51"),MATCH(MID($A137,FIND(":",$A137)+2,LEN($A137)-FIND(":",$A137)+2),INDIRECT("'Annex 1 LV and HV charges"&amp;MID($A$2,FIND("_",$A$2),2)&amp;"'!$A$10:$A$51"),0),MATCH(J$13,$A$13:$J$13,0))-J137),"")</f>
        <v/>
      </c>
    </row>
    <row r="138" spans="1:11" ht="27.75" customHeight="1" x14ac:dyDescent="0.2">
      <c r="A138" s="322" t="s">
        <v>611</v>
      </c>
      <c r="B138" s="18"/>
      <c r="C138" s="324">
        <v>0</v>
      </c>
      <c r="D138" s="90">
        <v>1.9790000000000001</v>
      </c>
      <c r="E138" s="91">
        <v>0.26800000000000002</v>
      </c>
      <c r="F138" s="92">
        <v>2.8000000000000001E-2</v>
      </c>
      <c r="G138" s="317">
        <v>965.63</v>
      </c>
      <c r="H138" s="317">
        <v>2.38</v>
      </c>
      <c r="I138" s="320">
        <v>2.38</v>
      </c>
      <c r="J138" s="25">
        <v>8.5999999999999993E-2</v>
      </c>
      <c r="K138" s="326" t="str">
        <f ca="1">IFERROR(IF(#REF!="","",INDEX(INDIRECT("'Annex 1 LV and HV charges"&amp;MID($A$2,FIND("_",$A$2),2)&amp;"'!$A$10:$K$51"),MATCH(MID($A138,FIND(":",$A138)+2,LEN($A138)-FIND(":",$A138)+2),INDIRECT("'Annex 1 LV and HV charges"&amp;MID($A$2,FIND("_",$A$2),2)&amp;"'!$A$10:$A$51"),0),MATCH(J$13,$A$13:$J$13,0))-J138),"")</f>
        <v/>
      </c>
    </row>
    <row r="139" spans="1:11" ht="27.75" customHeight="1" x14ac:dyDescent="0.2">
      <c r="A139" s="322" t="s">
        <v>612</v>
      </c>
      <c r="B139" s="18"/>
      <c r="C139" s="324">
        <v>0</v>
      </c>
      <c r="D139" s="90">
        <v>1.9790000000000001</v>
      </c>
      <c r="E139" s="91">
        <v>0.26800000000000002</v>
      </c>
      <c r="F139" s="92">
        <v>2.8000000000000001E-2</v>
      </c>
      <c r="G139" s="317">
        <v>2637.37</v>
      </c>
      <c r="H139" s="317">
        <v>2.38</v>
      </c>
      <c r="I139" s="320">
        <v>2.38</v>
      </c>
      <c r="J139" s="25">
        <v>8.5999999999999993E-2</v>
      </c>
      <c r="K139" s="326" t="str">
        <f ca="1">IFERROR(IF(#REF!="","",INDEX(INDIRECT("'Annex 1 LV and HV charges"&amp;MID($A$2,FIND("_",$A$2),2)&amp;"'!$A$10:$K$51"),MATCH(MID($A139,FIND(":",$A139)+2,LEN($A139)-FIND(":",$A139)+2),INDIRECT("'Annex 1 LV and HV charges"&amp;MID($A$2,FIND("_",$A$2),2)&amp;"'!$A$10:$A$51"),0),MATCH(J$13,$A$13:$J$13,0))-J139),"")</f>
        <v/>
      </c>
    </row>
    <row r="140" spans="1:11" ht="27.75" customHeight="1" x14ac:dyDescent="0.2">
      <c r="A140" s="322" t="s">
        <v>490</v>
      </c>
      <c r="B140" s="24"/>
      <c r="C140" s="324" t="s">
        <v>804</v>
      </c>
      <c r="D140" s="93">
        <v>11.127000000000001</v>
      </c>
      <c r="E140" s="94">
        <v>1.1459999999999999</v>
      </c>
      <c r="F140" s="92">
        <v>0.66500000000000004</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charges"&amp;MID($A$2,FIND("_",$A$2),2)&amp;"'!$A$10:$A$51"),0),MATCH(J$13,$A$13:$J$13,0))-J140),"")</f>
        <v/>
      </c>
    </row>
    <row r="141" spans="1:11" ht="27.75" customHeight="1" x14ac:dyDescent="0.2">
      <c r="A141" s="322" t="s">
        <v>528</v>
      </c>
      <c r="B141" s="24"/>
      <c r="C141" s="324" t="s">
        <v>805</v>
      </c>
      <c r="D141" s="90">
        <v>-3.371</v>
      </c>
      <c r="E141" s="91">
        <v>-0.55200000000000005</v>
      </c>
      <c r="F141" s="92">
        <v>-7.4999999999999997E-2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charges"&amp;MID($A$2,FIND("_",$A$2),2)&amp;"'!$A$10:$A$51"),0),MATCH(J$13,$A$13:$J$13,0))-J141),"")</f>
        <v/>
      </c>
    </row>
    <row r="142" spans="1:11" ht="27.75" customHeight="1" x14ac:dyDescent="0.2">
      <c r="A142" s="322" t="s">
        <v>529</v>
      </c>
      <c r="B142" s="321"/>
      <c r="C142" s="324">
        <v>0</v>
      </c>
      <c r="D142" s="90">
        <v>-2.97</v>
      </c>
      <c r="E142" s="91">
        <v>-0.47</v>
      </c>
      <c r="F142" s="92">
        <v>-6.0999999999999999E-2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charges"&amp;MID($A$2,FIND("_",$A$2),2)&amp;"'!$A$10:$A$51"),0),MATCH(J$13,$A$13:$J$13,0))-J142),"")</f>
        <v/>
      </c>
    </row>
    <row r="143" spans="1:11" ht="27.75" customHeight="1" x14ac:dyDescent="0.2">
      <c r="A143" s="322" t="s">
        <v>530</v>
      </c>
      <c r="B143" s="24"/>
      <c r="C143" s="324">
        <v>0</v>
      </c>
      <c r="D143" s="90">
        <v>-3.371</v>
      </c>
      <c r="E143" s="91">
        <v>-0.55200000000000005</v>
      </c>
      <c r="F143" s="92">
        <v>-7.4999999999999997E-2</v>
      </c>
      <c r="G143" s="317" t="s">
        <v>797</v>
      </c>
      <c r="H143" s="318" t="s">
        <v>797</v>
      </c>
      <c r="I143" s="319" t="s">
        <v>797</v>
      </c>
      <c r="J143" s="25">
        <v>0.192</v>
      </c>
      <c r="K143" s="326" t="str">
        <f ca="1">IFERROR(IF(#REF!="","",INDEX(INDIRECT("'Annex 1 LV and HV charges"&amp;MID($A$2,FIND("_",$A$2),2)&amp;"'!$A$10:$K$51"),MATCH(MID($A143,FIND(":",$A143)+2,LEN($A143)-FIND(":",$A143)+2),INDIRECT("'Annex 1 LV and HV charges"&amp;MID($A$2,FIND("_",$A$2),2)&amp;"'!$A$10:$A$51"),0),MATCH(J$13,$A$13:$J$13,0))-J143),"")</f>
        <v/>
      </c>
    </row>
    <row r="144" spans="1:11" ht="27.75" customHeight="1" x14ac:dyDescent="0.2">
      <c r="A144" s="322" t="s">
        <v>531</v>
      </c>
      <c r="B144" s="24"/>
      <c r="C144" s="324">
        <v>0</v>
      </c>
      <c r="D144" s="90">
        <v>-2.97</v>
      </c>
      <c r="E144" s="91">
        <v>-0.47</v>
      </c>
      <c r="F144" s="92">
        <v>-6.0999999999999999E-2</v>
      </c>
      <c r="G144" s="317" t="s">
        <v>797</v>
      </c>
      <c r="H144" s="318" t="s">
        <v>797</v>
      </c>
      <c r="I144" s="319" t="s">
        <v>797</v>
      </c>
      <c r="J144" s="25">
        <v>0.15</v>
      </c>
      <c r="K144" s="326" t="str">
        <f ca="1">IFERROR(IF(#REF!="","",INDEX(INDIRECT("'Annex 1 LV and HV charges"&amp;MID($A$2,FIND("_",$A$2),2)&amp;"'!$A$10:$K$51"),MATCH(MID($A144,FIND(":",$A144)+2,LEN($A144)-FIND(":",$A144)+2),INDIRECT("'Annex 1 LV and HV charges"&amp;MID($A$2,FIND("_",$A$2),2)&amp;"'!$A$10:$A$51"),0),MATCH(J$13,$A$13:$J$13,0))-J144),"")</f>
        <v/>
      </c>
    </row>
    <row r="145" spans="1:11" ht="27.75" customHeight="1" x14ac:dyDescent="0.2">
      <c r="A145" s="322" t="s">
        <v>532</v>
      </c>
      <c r="B145" s="24"/>
      <c r="C145" s="324">
        <v>0</v>
      </c>
      <c r="D145" s="90">
        <v>-2.9729999999999999</v>
      </c>
      <c r="E145" s="91">
        <v>-0.42599999999999999</v>
      </c>
      <c r="F145" s="92">
        <v>-4.7E-2</v>
      </c>
      <c r="G145" s="317">
        <v>9.0399999999999991</v>
      </c>
      <c r="H145" s="318" t="s">
        <v>797</v>
      </c>
      <c r="I145" s="319" t="s">
        <v>797</v>
      </c>
      <c r="J145" s="25">
        <v>0.17299999999999999</v>
      </c>
      <c r="K145" s="326" t="str">
        <f ca="1">IFERROR(IF(#REF!="","",INDEX(INDIRECT("'Annex 1 LV and HV charges"&amp;MID($A$2,FIND("_",$A$2),2)&amp;"'!$A$10:$K$51"),MATCH(MID($A145,FIND(":",$A145)+2,LEN($A145)-FIND(":",$A145)+2),INDIRECT("'Annex 1 LV and HV charges"&amp;MID($A$2,FIND("_",$A$2),2)&amp;"'!$A$10:$A$51"),0),MATCH(J$13,$A$13:$J$13,0))-J145),"")</f>
        <v/>
      </c>
    </row>
    <row r="146" spans="1:11" ht="27.75" customHeight="1" x14ac:dyDescent="0.2">
      <c r="A146" s="322" t="s">
        <v>685</v>
      </c>
      <c r="B146" s="24"/>
      <c r="C146" s="324" t="s">
        <v>802</v>
      </c>
      <c r="D146" s="90">
        <v>2.581</v>
      </c>
      <c r="E146" s="91">
        <v>0.42299999999999999</v>
      </c>
      <c r="F146" s="92">
        <v>5.7000000000000002E-2</v>
      </c>
      <c r="G146" s="317">
        <v>2.02</v>
      </c>
      <c r="H146" s="318" t="s">
        <v>797</v>
      </c>
      <c r="I146" s="319" t="s">
        <v>797</v>
      </c>
      <c r="J146" s="26" t="s">
        <v>797</v>
      </c>
      <c r="K146" s="326" t="str">
        <f ca="1">IFERROR(IF(#REF!="","",INDEX(INDIRECT("'Annex 1 LV and HV charges"&amp;MID($A$2,FIND("_",$A$2),2)&amp;"'!$A$10:$K$51"),MATCH(MID($A146,FIND(":",$A146)+2,LEN($A146)-FIND(":",$A146)+2),INDIRECT("'Annex 1 LV and HV charges"&amp;MID($A$2,FIND("_",$A$2),2)&amp;"'!$A$10:$A$51"),0),MATCH(J$13,$A$13:$J$13,0))-J146),"")</f>
        <v/>
      </c>
    </row>
    <row r="147" spans="1:11" ht="27.75" customHeight="1" x14ac:dyDescent="0.2">
      <c r="A147" s="322" t="s">
        <v>613</v>
      </c>
      <c r="B147" s="24"/>
      <c r="C147" s="324">
        <v>2</v>
      </c>
      <c r="D147" s="90">
        <v>2.581</v>
      </c>
      <c r="E147" s="91">
        <v>0.42299999999999999</v>
      </c>
      <c r="F147" s="92">
        <v>5.7000000000000002E-2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charges"&amp;MID($A$2,FIND("_",$A$2),2)&amp;"'!$A$10:$A$51"),0),MATCH(J$13,$A$13:$J$13,0))-J147),"")</f>
        <v/>
      </c>
    </row>
    <row r="148" spans="1:11" ht="27.75" customHeight="1" x14ac:dyDescent="0.2">
      <c r="A148" s="322" t="s">
        <v>692</v>
      </c>
      <c r="B148" s="18"/>
      <c r="C148" s="324" t="s">
        <v>803</v>
      </c>
      <c r="D148" s="90">
        <v>1.9930000000000001</v>
      </c>
      <c r="E148" s="91">
        <v>0.32600000000000001</v>
      </c>
      <c r="F148" s="92">
        <v>4.3999999999999997E-2</v>
      </c>
      <c r="G148" s="317">
        <v>1.78</v>
      </c>
      <c r="H148" s="318" t="s">
        <v>797</v>
      </c>
      <c r="I148" s="319" t="s">
        <v>797</v>
      </c>
      <c r="J148" s="26" t="s">
        <v>797</v>
      </c>
      <c r="K148" s="326" t="str">
        <f ca="1">IFERROR(IF(#REF!="","",INDEX(INDIRECT("'Annex 1 LV and HV charges"&amp;MID($A$2,FIND("_",$A$2),2)&amp;"'!$A$10:$K$51"),MATCH(MID($A148,FIND(":",$A148)+2,LEN($A148)-FIND(":",$A148)+2),INDIRECT("'Annex 1 LV and HV charges"&amp;MID($A$2,FIND("_",$A$2),2)&amp;"'!$A$10:$A$51"),0),MATCH(J$13,$A$13:$J$13,0))-J148),"")</f>
        <v/>
      </c>
    </row>
    <row r="149" spans="1:11" ht="27.75" customHeight="1" x14ac:dyDescent="0.2">
      <c r="A149" s="322" t="s">
        <v>699</v>
      </c>
      <c r="B149" s="24"/>
      <c r="C149" s="324" t="s">
        <v>803</v>
      </c>
      <c r="D149" s="90">
        <v>1.9930000000000001</v>
      </c>
      <c r="E149" s="91">
        <v>0.32600000000000001</v>
      </c>
      <c r="F149" s="92">
        <v>4.3999999999999997E-2</v>
      </c>
      <c r="G149" s="317">
        <v>2.12</v>
      </c>
      <c r="H149" s="318" t="s">
        <v>797</v>
      </c>
      <c r="I149" s="319" t="s">
        <v>797</v>
      </c>
      <c r="J149" s="26" t="s">
        <v>797</v>
      </c>
      <c r="K149" s="326" t="str">
        <f ca="1">IFERROR(IF(#REF!="","",INDEX(INDIRECT("'Annex 1 LV and HV charges"&amp;MID($A$2,FIND("_",$A$2),2)&amp;"'!$A$10:$K$51"),MATCH(MID($A149,FIND(":",$A149)+2,LEN($A149)-FIND(":",$A149)+2),INDIRECT("'Annex 1 LV and HV charges"&amp;MID($A$2,FIND("_",$A$2),2)&amp;"'!$A$10:$A$51"),0),MATCH(J$13,$A$13:$J$13,0))-J149),"")</f>
        <v/>
      </c>
    </row>
    <row r="150" spans="1:11" ht="27.75" customHeight="1" x14ac:dyDescent="0.2">
      <c r="A150" s="322" t="s">
        <v>706</v>
      </c>
      <c r="B150" s="18"/>
      <c r="C150" s="324" t="s">
        <v>803</v>
      </c>
      <c r="D150" s="90">
        <v>1.9930000000000001</v>
      </c>
      <c r="E150" s="91">
        <v>0.32600000000000001</v>
      </c>
      <c r="F150" s="92">
        <v>4.3999999999999997E-2</v>
      </c>
      <c r="G150" s="317">
        <v>2.68</v>
      </c>
      <c r="H150" s="318" t="s">
        <v>797</v>
      </c>
      <c r="I150" s="319" t="s">
        <v>797</v>
      </c>
      <c r="J150" s="26" t="s">
        <v>797</v>
      </c>
      <c r="K150" s="326" t="str">
        <f ca="1">IFERROR(IF(#REF!="","",INDEX(INDIRECT("'Annex 1 LV and HV charges"&amp;MID($A$2,FIND("_",$A$2),2)&amp;"'!$A$10:$K$51"),MATCH(MID($A150,FIND(":",$A150)+2,LEN($A150)-FIND(":",$A150)+2),INDIRECT("'Annex 1 LV and HV charges"&amp;MID($A$2,FIND("_",$A$2),2)&amp;"'!$A$10:$A$51"),0),MATCH(J$13,$A$13:$J$13,0))-J150),"")</f>
        <v/>
      </c>
    </row>
    <row r="151" spans="1:11" ht="27.75" customHeight="1" x14ac:dyDescent="0.2">
      <c r="A151" s="322" t="s">
        <v>713</v>
      </c>
      <c r="B151" s="18"/>
      <c r="C151" s="324" t="s">
        <v>803</v>
      </c>
      <c r="D151" s="90">
        <v>1.9930000000000001</v>
      </c>
      <c r="E151" s="91">
        <v>0.32600000000000001</v>
      </c>
      <c r="F151" s="92">
        <v>4.3999999999999997E-2</v>
      </c>
      <c r="G151" s="317">
        <v>3.58</v>
      </c>
      <c r="H151" s="318" t="s">
        <v>797</v>
      </c>
      <c r="I151" s="319" t="s">
        <v>797</v>
      </c>
      <c r="J151" s="26" t="s">
        <v>797</v>
      </c>
      <c r="K151" s="326" t="str">
        <f ca="1">IFERROR(IF(#REF!="","",INDEX(INDIRECT("'Annex 1 LV and HV charges"&amp;MID($A$2,FIND("_",$A$2),2)&amp;"'!$A$10:$K$51"),MATCH(MID($A151,FIND(":",$A151)+2,LEN($A151)-FIND(":",$A151)+2),INDIRECT("'Annex 1 LV and HV charges"&amp;MID($A$2,FIND("_",$A$2),2)&amp;"'!$A$10:$A$51"),0),MATCH(J$13,$A$13:$J$13,0))-J151),"")</f>
        <v/>
      </c>
    </row>
    <row r="152" spans="1:11" ht="27.75" customHeight="1" x14ac:dyDescent="0.2">
      <c r="A152" s="322" t="s">
        <v>720</v>
      </c>
      <c r="B152" s="18"/>
      <c r="C152" s="324" t="s">
        <v>803</v>
      </c>
      <c r="D152" s="90">
        <v>1.9930000000000001</v>
      </c>
      <c r="E152" s="91">
        <v>0.32600000000000001</v>
      </c>
      <c r="F152" s="92">
        <v>4.3999999999999997E-2</v>
      </c>
      <c r="G152" s="317">
        <v>6.8</v>
      </c>
      <c r="H152" s="318" t="s">
        <v>797</v>
      </c>
      <c r="I152" s="319" t="s">
        <v>797</v>
      </c>
      <c r="J152" s="26" t="s">
        <v>797</v>
      </c>
      <c r="K152" s="326" t="str">
        <f ca="1">IFERROR(IF(#REF!="","",INDEX(INDIRECT("'Annex 1 LV and HV charges"&amp;MID($A$2,FIND("_",$A$2),2)&amp;"'!$A$10:$K$51"),MATCH(MID($A152,FIND(":",$A152)+2,LEN($A152)-FIND(":",$A152)+2),INDIRECT("'Annex 1 LV and HV charges"&amp;MID($A$2,FIND("_",$A$2),2)&amp;"'!$A$10:$A$51"),0),MATCH(J$13,$A$13:$J$13,0))-J152),"")</f>
        <v/>
      </c>
    </row>
    <row r="153" spans="1:11" ht="27.75" customHeight="1" x14ac:dyDescent="0.2">
      <c r="A153" s="322" t="s">
        <v>491</v>
      </c>
      <c r="B153" s="24"/>
      <c r="C153" s="324">
        <v>4</v>
      </c>
      <c r="D153" s="90">
        <v>1.9930000000000001</v>
      </c>
      <c r="E153" s="91">
        <v>0.32600000000000001</v>
      </c>
      <c r="F153" s="92">
        <v>4.3999999999999997E-2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charges"&amp;MID($A$2,FIND("_",$A$2),2)&amp;"'!$A$10:$A$51"),0),MATCH(J$13,$A$13:$J$13,0))-J153),"")</f>
        <v/>
      </c>
    </row>
    <row r="154" spans="1:11" ht="27.75" customHeight="1" x14ac:dyDescent="0.2">
      <c r="A154" s="322" t="s">
        <v>614</v>
      </c>
      <c r="B154" s="18"/>
      <c r="C154" s="324">
        <v>0</v>
      </c>
      <c r="D154" s="90">
        <v>1.4590000000000001</v>
      </c>
      <c r="E154" s="91">
        <v>0.22700000000000001</v>
      </c>
      <c r="F154" s="92">
        <v>2.9000000000000001E-2</v>
      </c>
      <c r="G154" s="317">
        <v>4.26</v>
      </c>
      <c r="H154" s="317">
        <v>1.5</v>
      </c>
      <c r="I154" s="320">
        <v>1.5</v>
      </c>
      <c r="J154" s="25">
        <v>7.2999999999999995E-2</v>
      </c>
      <c r="K154" s="326" t="str">
        <f ca="1">IFERROR(IF(#REF!="","",INDEX(INDIRECT("'Annex 1 LV and HV charges"&amp;MID($A$2,FIND("_",$A$2),2)&amp;"'!$A$10:$K$51"),MATCH(MID($A154,FIND(":",$A154)+2,LEN($A154)-FIND(":",$A154)+2),INDIRECT("'Annex 1 LV and HV charges"&amp;MID($A$2,FIND("_",$A$2),2)&amp;"'!$A$10:$A$51"),0),MATCH(J$13,$A$13:$J$13,0))-J154),"")</f>
        <v/>
      </c>
    </row>
    <row r="155" spans="1:11" ht="27.75" customHeight="1" x14ac:dyDescent="0.2">
      <c r="A155" s="322" t="s">
        <v>615</v>
      </c>
      <c r="B155" s="24"/>
      <c r="C155" s="324">
        <v>0</v>
      </c>
      <c r="D155" s="90">
        <v>1.4590000000000001</v>
      </c>
      <c r="E155" s="91">
        <v>0.22700000000000001</v>
      </c>
      <c r="F155" s="92">
        <v>2.9000000000000001E-2</v>
      </c>
      <c r="G155" s="317">
        <v>14.88</v>
      </c>
      <c r="H155" s="317">
        <v>1.5</v>
      </c>
      <c r="I155" s="320">
        <v>1.5</v>
      </c>
      <c r="J155" s="25">
        <v>7.2999999999999995E-2</v>
      </c>
      <c r="K155" s="326" t="str">
        <f ca="1">IFERROR(IF(#REF!="","",INDEX(INDIRECT("'Annex 1 LV and HV charges"&amp;MID($A$2,FIND("_",$A$2),2)&amp;"'!$A$10:$K$51"),MATCH(MID($A155,FIND(":",$A155)+2,LEN($A155)-FIND(":",$A155)+2),INDIRECT("'Annex 1 LV and HV charges"&amp;MID($A$2,FIND("_",$A$2),2)&amp;"'!$A$10:$A$51"),0),MATCH(J$13,$A$13:$J$13,0))-J155),"")</f>
        <v/>
      </c>
    </row>
    <row r="156" spans="1:11" ht="27.75" customHeight="1" x14ac:dyDescent="0.2">
      <c r="A156" s="322" t="s">
        <v>616</v>
      </c>
      <c r="B156" s="18"/>
      <c r="C156" s="324">
        <v>0</v>
      </c>
      <c r="D156" s="90">
        <v>1.4590000000000001</v>
      </c>
      <c r="E156" s="91">
        <v>0.22700000000000001</v>
      </c>
      <c r="F156" s="92">
        <v>2.9000000000000001E-2</v>
      </c>
      <c r="G156" s="317">
        <v>21.06</v>
      </c>
      <c r="H156" s="317">
        <v>1.5</v>
      </c>
      <c r="I156" s="320">
        <v>1.5</v>
      </c>
      <c r="J156" s="25">
        <v>7.2999999999999995E-2</v>
      </c>
      <c r="K156" s="326" t="str">
        <f ca="1">IFERROR(IF(#REF!="","",INDEX(INDIRECT("'Annex 1 LV and HV charges"&amp;MID($A$2,FIND("_",$A$2),2)&amp;"'!$A$10:$K$51"),MATCH(MID($A156,FIND(":",$A156)+2,LEN($A156)-FIND(":",$A156)+2),INDIRECT("'Annex 1 LV and HV charges"&amp;MID($A$2,FIND("_",$A$2),2)&amp;"'!$A$10:$A$51"),0),MATCH(J$13,$A$13:$J$13,0))-J156),"")</f>
        <v/>
      </c>
    </row>
    <row r="157" spans="1:11" ht="27.75" customHeight="1" x14ac:dyDescent="0.2">
      <c r="A157" s="322" t="s">
        <v>617</v>
      </c>
      <c r="B157" s="18"/>
      <c r="C157" s="324">
        <v>0</v>
      </c>
      <c r="D157" s="90">
        <v>1.4590000000000001</v>
      </c>
      <c r="E157" s="91">
        <v>0.22700000000000001</v>
      </c>
      <c r="F157" s="92">
        <v>2.9000000000000001E-2</v>
      </c>
      <c r="G157" s="317">
        <v>29.68</v>
      </c>
      <c r="H157" s="317">
        <v>1.5</v>
      </c>
      <c r="I157" s="320">
        <v>1.5</v>
      </c>
      <c r="J157" s="25">
        <v>7.2999999999999995E-2</v>
      </c>
      <c r="K157" s="326" t="str">
        <f ca="1">IFERROR(IF(#REF!="","",INDEX(INDIRECT("'Annex 1 LV and HV charges"&amp;MID($A$2,FIND("_",$A$2),2)&amp;"'!$A$10:$K$51"),MATCH(MID($A157,FIND(":",$A157)+2,LEN($A157)-FIND(":",$A157)+2),INDIRECT("'Annex 1 LV and HV charges"&amp;MID($A$2,FIND("_",$A$2),2)&amp;"'!$A$10:$A$51"),0),MATCH(J$13,$A$13:$J$13,0))-J157),"")</f>
        <v/>
      </c>
    </row>
    <row r="158" spans="1:11" ht="27.75" customHeight="1" x14ac:dyDescent="0.2">
      <c r="A158" s="322" t="s">
        <v>618</v>
      </c>
      <c r="B158" s="18"/>
      <c r="C158" s="324">
        <v>0</v>
      </c>
      <c r="D158" s="90">
        <v>1.4590000000000001</v>
      </c>
      <c r="E158" s="91">
        <v>0.22700000000000001</v>
      </c>
      <c r="F158" s="92">
        <v>2.9000000000000001E-2</v>
      </c>
      <c r="G158" s="317">
        <v>63.31</v>
      </c>
      <c r="H158" s="317">
        <v>1.5</v>
      </c>
      <c r="I158" s="320">
        <v>1.5</v>
      </c>
      <c r="J158" s="25">
        <v>7.2999999999999995E-2</v>
      </c>
      <c r="K158" s="326" t="str">
        <f ca="1">IFERROR(IF(#REF!="","",INDEX(INDIRECT("'Annex 1 LV and HV charges"&amp;MID($A$2,FIND("_",$A$2),2)&amp;"'!$A$10:$K$51"),MATCH(MID($A158,FIND(":",$A158)+2,LEN($A158)-FIND(":",$A158)+2),INDIRECT("'Annex 1 LV and HV charges"&amp;MID($A$2,FIND("_",$A$2),2)&amp;"'!$A$10:$A$51"),0),MATCH(J$13,$A$13:$J$13,0))-J158),"")</f>
        <v/>
      </c>
    </row>
    <row r="159" spans="1:11" ht="27.75" customHeight="1" x14ac:dyDescent="0.2">
      <c r="A159" s="322" t="s">
        <v>619</v>
      </c>
      <c r="B159" s="18"/>
      <c r="C159" s="324">
        <v>0</v>
      </c>
      <c r="D159" s="90">
        <v>1.427</v>
      </c>
      <c r="E159" s="91">
        <v>0.20399999999999999</v>
      </c>
      <c r="F159" s="92">
        <v>2.3E-2</v>
      </c>
      <c r="G159" s="317">
        <v>5.5</v>
      </c>
      <c r="H159" s="317">
        <v>1.68</v>
      </c>
      <c r="I159" s="320">
        <v>1.68</v>
      </c>
      <c r="J159" s="25">
        <v>6.6000000000000003E-2</v>
      </c>
      <c r="K159" s="326" t="str">
        <f ca="1">IFERROR(IF(#REF!="","",INDEX(INDIRECT("'Annex 1 LV and HV charges"&amp;MID($A$2,FIND("_",$A$2),2)&amp;"'!$A$10:$K$51"),MATCH(MID($A159,FIND(":",$A159)+2,LEN($A159)-FIND(":",$A159)+2),INDIRECT("'Annex 1 LV and HV charges"&amp;MID($A$2,FIND("_",$A$2),2)&amp;"'!$A$10:$A$51"),0),MATCH(J$13,$A$13:$J$13,0))-J159),"")</f>
        <v/>
      </c>
    </row>
    <row r="160" spans="1:11" ht="27.75" customHeight="1" x14ac:dyDescent="0.2">
      <c r="A160" s="322" t="s">
        <v>620</v>
      </c>
      <c r="B160" s="24"/>
      <c r="C160" s="324">
        <v>0</v>
      </c>
      <c r="D160" s="90">
        <v>1.427</v>
      </c>
      <c r="E160" s="91">
        <v>0.20399999999999999</v>
      </c>
      <c r="F160" s="92">
        <v>2.3E-2</v>
      </c>
      <c r="G160" s="317">
        <v>21.83</v>
      </c>
      <c r="H160" s="317">
        <v>1.68</v>
      </c>
      <c r="I160" s="320">
        <v>1.68</v>
      </c>
      <c r="J160" s="25">
        <v>6.6000000000000003E-2</v>
      </c>
      <c r="K160" s="326" t="str">
        <f ca="1">IFERROR(IF(#REF!="","",INDEX(INDIRECT("'Annex 1 LV and HV charges"&amp;MID($A$2,FIND("_",$A$2),2)&amp;"'!$A$10:$K$51"),MATCH(MID($A160,FIND(":",$A160)+2,LEN($A160)-FIND(":",$A160)+2),INDIRECT("'Annex 1 LV and HV charges"&amp;MID($A$2,FIND("_",$A$2),2)&amp;"'!$A$10:$A$51"),0),MATCH(J$13,$A$13:$J$13,0))-J160),"")</f>
        <v/>
      </c>
    </row>
    <row r="161" spans="1:11" ht="27.75" customHeight="1" x14ac:dyDescent="0.2">
      <c r="A161" s="322" t="s">
        <v>621</v>
      </c>
      <c r="B161" s="18"/>
      <c r="C161" s="324">
        <v>0</v>
      </c>
      <c r="D161" s="90">
        <v>1.427</v>
      </c>
      <c r="E161" s="91">
        <v>0.20399999999999999</v>
      </c>
      <c r="F161" s="92">
        <v>2.3E-2</v>
      </c>
      <c r="G161" s="317">
        <v>31.32</v>
      </c>
      <c r="H161" s="317">
        <v>1.68</v>
      </c>
      <c r="I161" s="320">
        <v>1.68</v>
      </c>
      <c r="J161" s="25">
        <v>6.6000000000000003E-2</v>
      </c>
      <c r="K161" s="326" t="str">
        <f ca="1">IFERROR(IF(#REF!="","",INDEX(INDIRECT("'Annex 1 LV and HV charges"&amp;MID($A$2,FIND("_",$A$2),2)&amp;"'!$A$10:$K$51"),MATCH(MID($A161,FIND(":",$A161)+2,LEN($A161)-FIND(":",$A161)+2),INDIRECT("'Annex 1 LV and HV charges"&amp;MID($A$2,FIND("_",$A$2),2)&amp;"'!$A$10:$A$51"),0),MATCH(J$13,$A$13:$J$13,0))-J161),"")</f>
        <v/>
      </c>
    </row>
    <row r="162" spans="1:11" ht="27.75" customHeight="1" x14ac:dyDescent="0.2">
      <c r="A162" s="322" t="s">
        <v>622</v>
      </c>
      <c r="B162" s="18"/>
      <c r="C162" s="324">
        <v>0</v>
      </c>
      <c r="D162" s="90">
        <v>1.427</v>
      </c>
      <c r="E162" s="91">
        <v>0.20399999999999999</v>
      </c>
      <c r="F162" s="92">
        <v>2.3E-2</v>
      </c>
      <c r="G162" s="317">
        <v>44.58</v>
      </c>
      <c r="H162" s="317">
        <v>1.68</v>
      </c>
      <c r="I162" s="320">
        <v>1.68</v>
      </c>
      <c r="J162" s="25">
        <v>6.6000000000000003E-2</v>
      </c>
      <c r="K162" s="326" t="str">
        <f ca="1">IFERROR(IF(#REF!="","",INDEX(INDIRECT("'Annex 1 LV and HV charges"&amp;MID($A$2,FIND("_",$A$2),2)&amp;"'!$A$10:$K$51"),MATCH(MID($A162,FIND(":",$A162)+2,LEN($A162)-FIND(":",$A162)+2),INDIRECT("'Annex 1 LV and HV charges"&amp;MID($A$2,FIND("_",$A$2),2)&amp;"'!$A$10:$A$51"),0),MATCH(J$13,$A$13:$J$13,0))-J162),"")</f>
        <v/>
      </c>
    </row>
    <row r="163" spans="1:11" ht="27.75" customHeight="1" x14ac:dyDescent="0.2">
      <c r="A163" s="322" t="s">
        <v>623</v>
      </c>
      <c r="B163" s="18"/>
      <c r="C163" s="324">
        <v>0</v>
      </c>
      <c r="D163" s="90">
        <v>1.427</v>
      </c>
      <c r="E163" s="91">
        <v>0.20399999999999999</v>
      </c>
      <c r="F163" s="92">
        <v>2.3E-2</v>
      </c>
      <c r="G163" s="317">
        <v>96.25</v>
      </c>
      <c r="H163" s="317">
        <v>1.68</v>
      </c>
      <c r="I163" s="320">
        <v>1.68</v>
      </c>
      <c r="J163" s="25">
        <v>6.6000000000000003E-2</v>
      </c>
      <c r="K163" s="326" t="str">
        <f ca="1">IFERROR(IF(#REF!="","",INDEX(INDIRECT("'Annex 1 LV and HV charges"&amp;MID($A$2,FIND("_",$A$2),2)&amp;"'!$A$10:$K$51"),MATCH(MID($A163,FIND(":",$A163)+2,LEN($A163)-FIND(":",$A163)+2),INDIRECT("'Annex 1 LV and HV charges"&amp;MID($A$2,FIND("_",$A$2),2)&amp;"'!$A$10:$A$51"),0),MATCH(J$13,$A$13:$J$13,0))-J163),"")</f>
        <v/>
      </c>
    </row>
    <row r="164" spans="1:11" ht="27.75" customHeight="1" x14ac:dyDescent="0.2">
      <c r="A164" s="322" t="s">
        <v>624</v>
      </c>
      <c r="B164" s="18"/>
      <c r="C164" s="324">
        <v>0</v>
      </c>
      <c r="D164" s="90">
        <v>1.3520000000000001</v>
      </c>
      <c r="E164" s="91">
        <v>0.183</v>
      </c>
      <c r="F164" s="92">
        <v>1.9E-2</v>
      </c>
      <c r="G164" s="317">
        <v>64.459999999999994</v>
      </c>
      <c r="H164" s="317">
        <v>1.62</v>
      </c>
      <c r="I164" s="320">
        <v>1.62</v>
      </c>
      <c r="J164" s="25">
        <v>5.8999999999999997E-2</v>
      </c>
      <c r="K164" s="326" t="str">
        <f ca="1">IFERROR(IF(#REF!="","",INDEX(INDIRECT("'Annex 1 LV and HV charges"&amp;MID($A$2,FIND("_",$A$2),2)&amp;"'!$A$10:$K$51"),MATCH(MID($A164,FIND(":",$A164)+2,LEN($A164)-FIND(":",$A164)+2),INDIRECT("'Annex 1 LV and HV charges"&amp;MID($A$2,FIND("_",$A$2),2)&amp;"'!$A$10:$A$51"),0),MATCH(J$13,$A$13:$J$13,0))-J164),"")</f>
        <v/>
      </c>
    </row>
    <row r="165" spans="1:11" ht="27.75" customHeight="1" x14ac:dyDescent="0.2">
      <c r="A165" s="322" t="s">
        <v>625</v>
      </c>
      <c r="B165" s="24"/>
      <c r="C165" s="324">
        <v>0</v>
      </c>
      <c r="D165" s="90">
        <v>1.3520000000000001</v>
      </c>
      <c r="E165" s="91">
        <v>0.183</v>
      </c>
      <c r="F165" s="92">
        <v>1.9E-2</v>
      </c>
      <c r="G165" s="317">
        <v>222.35</v>
      </c>
      <c r="H165" s="317">
        <v>1.62</v>
      </c>
      <c r="I165" s="320">
        <v>1.62</v>
      </c>
      <c r="J165" s="25">
        <v>5.8999999999999997E-2</v>
      </c>
      <c r="K165" s="326" t="str">
        <f ca="1">IFERROR(IF(#REF!="","",INDEX(INDIRECT("'Annex 1 LV and HV charges"&amp;MID($A$2,FIND("_",$A$2),2)&amp;"'!$A$10:$K$51"),MATCH(MID($A165,FIND(":",$A165)+2,LEN($A165)-FIND(":",$A165)+2),INDIRECT("'Annex 1 LV and HV charges"&amp;MID($A$2,FIND("_",$A$2),2)&amp;"'!$A$10:$A$51"),0),MATCH(J$13,$A$13:$J$13,0))-J165),"")</f>
        <v/>
      </c>
    </row>
    <row r="166" spans="1:11" ht="27.75" customHeight="1" x14ac:dyDescent="0.2">
      <c r="A166" s="322" t="s">
        <v>626</v>
      </c>
      <c r="B166" s="18"/>
      <c r="C166" s="324">
        <v>0</v>
      </c>
      <c r="D166" s="90">
        <v>1.3520000000000001</v>
      </c>
      <c r="E166" s="91">
        <v>0.183</v>
      </c>
      <c r="F166" s="92">
        <v>1.9E-2</v>
      </c>
      <c r="G166" s="317">
        <v>401.49</v>
      </c>
      <c r="H166" s="317">
        <v>1.62</v>
      </c>
      <c r="I166" s="320">
        <v>1.62</v>
      </c>
      <c r="J166" s="25">
        <v>5.8999999999999997E-2</v>
      </c>
      <c r="K166" s="326" t="str">
        <f ca="1">IFERROR(IF(#REF!="","",INDEX(INDIRECT("'Annex 1 LV and HV charges"&amp;MID($A$2,FIND("_",$A$2),2)&amp;"'!$A$10:$K$51"),MATCH(MID($A166,FIND(":",$A166)+2,LEN($A166)-FIND(":",$A166)+2),INDIRECT("'Annex 1 LV and HV charges"&amp;MID($A$2,FIND("_",$A$2),2)&amp;"'!$A$10:$A$51"),0),MATCH(J$13,$A$13:$J$13,0))-J166),"")</f>
        <v/>
      </c>
    </row>
    <row r="167" spans="1:11" ht="27.75" customHeight="1" x14ac:dyDescent="0.2">
      <c r="A167" s="322" t="s">
        <v>627</v>
      </c>
      <c r="B167" s="18"/>
      <c r="C167" s="324">
        <v>0</v>
      </c>
      <c r="D167" s="90">
        <v>1.3520000000000001</v>
      </c>
      <c r="E167" s="91">
        <v>0.183</v>
      </c>
      <c r="F167" s="92">
        <v>1.9E-2</v>
      </c>
      <c r="G167" s="317">
        <v>659.62</v>
      </c>
      <c r="H167" s="317">
        <v>1.62</v>
      </c>
      <c r="I167" s="320">
        <v>1.62</v>
      </c>
      <c r="J167" s="25">
        <v>5.8999999999999997E-2</v>
      </c>
      <c r="K167" s="326" t="str">
        <f ca="1">IFERROR(IF(#REF!="","",INDEX(INDIRECT("'Annex 1 LV and HV charges"&amp;MID($A$2,FIND("_",$A$2),2)&amp;"'!$A$10:$K$51"),MATCH(MID($A167,FIND(":",$A167)+2,LEN($A167)-FIND(":",$A167)+2),INDIRECT("'Annex 1 LV and HV charges"&amp;MID($A$2,FIND("_",$A$2),2)&amp;"'!$A$10:$A$51"),0),MATCH(J$13,$A$13:$J$13,0))-J167),"")</f>
        <v/>
      </c>
    </row>
    <row r="168" spans="1:11" ht="27.75" customHeight="1" x14ac:dyDescent="0.2">
      <c r="A168" s="322" t="s">
        <v>628</v>
      </c>
      <c r="B168" s="18"/>
      <c r="C168" s="324">
        <v>0</v>
      </c>
      <c r="D168" s="90">
        <v>1.3520000000000001</v>
      </c>
      <c r="E168" s="91">
        <v>0.183</v>
      </c>
      <c r="F168" s="92">
        <v>1.9E-2</v>
      </c>
      <c r="G168" s="317">
        <v>1801.6</v>
      </c>
      <c r="H168" s="317">
        <v>1.62</v>
      </c>
      <c r="I168" s="320">
        <v>1.62</v>
      </c>
      <c r="J168" s="25">
        <v>5.8999999999999997E-2</v>
      </c>
      <c r="K168" s="326" t="str">
        <f ca="1">IFERROR(IF(#REF!="","",INDEX(INDIRECT("'Annex 1 LV and HV charges"&amp;MID($A$2,FIND("_",$A$2),2)&amp;"'!$A$10:$K$51"),MATCH(MID($A168,FIND(":",$A168)+2,LEN($A168)-FIND(":",$A168)+2),INDIRECT("'Annex 1 LV and HV charges"&amp;MID($A$2,FIND("_",$A$2),2)&amp;"'!$A$10:$A$51"),0),MATCH(J$13,$A$13:$J$13,0))-J168),"")</f>
        <v/>
      </c>
    </row>
    <row r="169" spans="1:11" ht="27.75" customHeight="1" x14ac:dyDescent="0.2">
      <c r="A169" s="322" t="s">
        <v>492</v>
      </c>
      <c r="B169" s="24"/>
      <c r="C169" s="324" t="s">
        <v>804</v>
      </c>
      <c r="D169" s="93">
        <v>7.601</v>
      </c>
      <c r="E169" s="94">
        <v>0.78300000000000003</v>
      </c>
      <c r="F169" s="92">
        <v>0.45400000000000001</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charges"&amp;MID($A$2,FIND("_",$A$2),2)&amp;"'!$A$10:$A$51"),0),MATCH(J$13,$A$13:$J$13,0))-J169),"")</f>
        <v/>
      </c>
    </row>
    <row r="170" spans="1:11" ht="27.75" customHeight="1" x14ac:dyDescent="0.2">
      <c r="A170" s="322" t="s">
        <v>533</v>
      </c>
      <c r="B170" s="24"/>
      <c r="C170" s="324" t="s">
        <v>805</v>
      </c>
      <c r="D170" s="90">
        <v>-2.3029999999999999</v>
      </c>
      <c r="E170" s="91">
        <v>-0.377</v>
      </c>
      <c r="F170" s="92">
        <v>-5.0999999999999997E-2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charges"&amp;MID($A$2,FIND("_",$A$2),2)&amp;"'!$A$10:$A$51"),0),MATCH(J$13,$A$13:$J$13,0))-J170),"")</f>
        <v/>
      </c>
    </row>
    <row r="171" spans="1:11" ht="27.75" customHeight="1" x14ac:dyDescent="0.2">
      <c r="A171" s="322" t="s">
        <v>534</v>
      </c>
      <c r="B171" s="321"/>
      <c r="C171" s="324">
        <v>0</v>
      </c>
      <c r="D171" s="90">
        <v>-2.0289999999999999</v>
      </c>
      <c r="E171" s="91">
        <v>-0.32100000000000001</v>
      </c>
      <c r="F171" s="92">
        <v>-4.1000000000000002E-2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charges"&amp;MID($A$2,FIND("_",$A$2),2)&amp;"'!$A$10:$A$51"),0),MATCH(J$13,$A$13:$J$13,0))-J171),"")</f>
        <v/>
      </c>
    </row>
    <row r="172" spans="1:11" ht="27.75" customHeight="1" x14ac:dyDescent="0.2">
      <c r="A172" s="322" t="s">
        <v>535</v>
      </c>
      <c r="B172" s="24"/>
      <c r="C172" s="324">
        <v>0</v>
      </c>
      <c r="D172" s="90">
        <v>-2.3029999999999999</v>
      </c>
      <c r="E172" s="91">
        <v>-0.377</v>
      </c>
      <c r="F172" s="92">
        <v>-5.0999999999999997E-2</v>
      </c>
      <c r="G172" s="317" t="s">
        <v>797</v>
      </c>
      <c r="H172" s="318" t="s">
        <v>797</v>
      </c>
      <c r="I172" s="319" t="s">
        <v>797</v>
      </c>
      <c r="J172" s="25">
        <v>0.13100000000000001</v>
      </c>
      <c r="K172" s="326" t="str">
        <f ca="1">IFERROR(IF(#REF!="","",INDEX(INDIRECT("'Annex 1 LV and HV charges"&amp;MID($A$2,FIND("_",$A$2),2)&amp;"'!$A$10:$K$51"),MATCH(MID($A172,FIND(":",$A172)+2,LEN($A172)-FIND(":",$A172)+2),INDIRECT("'Annex 1 LV and HV charges"&amp;MID($A$2,FIND("_",$A$2),2)&amp;"'!$A$10:$A$51"),0),MATCH(J$13,$A$13:$J$13,0))-J172),"")</f>
        <v/>
      </c>
    </row>
    <row r="173" spans="1:11" ht="27.75" customHeight="1" x14ac:dyDescent="0.2">
      <c r="A173" s="322" t="s">
        <v>536</v>
      </c>
      <c r="B173" s="24"/>
      <c r="C173" s="324">
        <v>0</v>
      </c>
      <c r="D173" s="90">
        <v>-2.0289999999999999</v>
      </c>
      <c r="E173" s="91">
        <v>-0.32100000000000001</v>
      </c>
      <c r="F173" s="92">
        <v>-4.1000000000000002E-2</v>
      </c>
      <c r="G173" s="317" t="s">
        <v>797</v>
      </c>
      <c r="H173" s="318" t="s">
        <v>797</v>
      </c>
      <c r="I173" s="319" t="s">
        <v>797</v>
      </c>
      <c r="J173" s="25">
        <v>0.10299999999999999</v>
      </c>
      <c r="K173" s="326" t="str">
        <f ca="1">IFERROR(IF(#REF!="","",INDEX(INDIRECT("'Annex 1 LV and HV charges"&amp;MID($A$2,FIND("_",$A$2),2)&amp;"'!$A$10:$K$51"),MATCH(MID($A173,FIND(":",$A173)+2,LEN($A173)-FIND(":",$A173)+2),INDIRECT("'Annex 1 LV and HV charges"&amp;MID($A$2,FIND("_",$A$2),2)&amp;"'!$A$10:$A$51"),0),MATCH(J$13,$A$13:$J$13,0))-J173),"")</f>
        <v/>
      </c>
    </row>
    <row r="174" spans="1:11" ht="27.75" customHeight="1" x14ac:dyDescent="0.2">
      <c r="A174" s="322" t="s">
        <v>537</v>
      </c>
      <c r="B174" s="24"/>
      <c r="C174" s="324">
        <v>0</v>
      </c>
      <c r="D174" s="90">
        <v>-2.0310000000000001</v>
      </c>
      <c r="E174" s="91">
        <v>-0.29099999999999998</v>
      </c>
      <c r="F174" s="92">
        <v>-3.2000000000000001E-2</v>
      </c>
      <c r="G174" s="317">
        <v>6.17</v>
      </c>
      <c r="H174" s="318" t="s">
        <v>797</v>
      </c>
      <c r="I174" s="319" t="s">
        <v>797</v>
      </c>
      <c r="J174" s="25">
        <v>0.11799999999999999</v>
      </c>
      <c r="K174" s="326" t="str">
        <f ca="1">IFERROR(IF(#REF!="","",INDEX(INDIRECT("'Annex 1 LV and HV charges"&amp;MID($A$2,FIND("_",$A$2),2)&amp;"'!$A$10:$K$51"),MATCH(MID($A174,FIND(":",$A174)+2,LEN($A174)-FIND(":",$A174)+2),INDIRECT("'Annex 1 LV and HV charges"&amp;MID($A$2,FIND("_",$A$2),2)&amp;"'!$A$10:$A$51"),0),MATCH(J$13,$A$13:$J$13,0))-J174),"")</f>
        <v/>
      </c>
    </row>
    <row r="175" spans="1:11" ht="27.75" customHeight="1" x14ac:dyDescent="0.2">
      <c r="A175" s="322" t="s">
        <v>686</v>
      </c>
      <c r="B175" s="24"/>
      <c r="C175" s="324" t="s">
        <v>802</v>
      </c>
      <c r="D175" s="90">
        <v>0.67200000000000004</v>
      </c>
      <c r="E175" s="91">
        <v>0.11</v>
      </c>
      <c r="F175" s="92">
        <v>1.4999999999999999E-2</v>
      </c>
      <c r="G175" s="317">
        <v>0.52</v>
      </c>
      <c r="H175" s="318" t="s">
        <v>797</v>
      </c>
      <c r="I175" s="319" t="s">
        <v>797</v>
      </c>
      <c r="J175" s="26" t="s">
        <v>797</v>
      </c>
      <c r="K175" s="326" t="str">
        <f ca="1">IFERROR(IF(#REF!="","",INDEX(INDIRECT("'Annex 1 LV and HV charges"&amp;MID($A$2,FIND("_",$A$2),2)&amp;"'!$A$10:$K$51"),MATCH(MID($A175,FIND(":",$A175)+2,LEN($A175)-FIND(":",$A175)+2),INDIRECT("'Annex 1 LV and HV charges"&amp;MID($A$2,FIND("_",$A$2),2)&amp;"'!$A$10:$A$51"),0),MATCH(J$13,$A$13:$J$13,0))-J175),"")</f>
        <v/>
      </c>
    </row>
    <row r="176" spans="1:11" ht="27.75" customHeight="1" x14ac:dyDescent="0.2">
      <c r="A176" s="322" t="s">
        <v>629</v>
      </c>
      <c r="B176" s="24"/>
      <c r="C176" s="324">
        <v>2</v>
      </c>
      <c r="D176" s="90">
        <v>0.67200000000000004</v>
      </c>
      <c r="E176" s="91">
        <v>0.11</v>
      </c>
      <c r="F176" s="92">
        <v>1.4999999999999999E-2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charges"&amp;MID($A$2,FIND("_",$A$2),2)&amp;"'!$A$10:$A$51"),0),MATCH(J$13,$A$13:$J$13,0))-J176),"")</f>
        <v/>
      </c>
    </row>
    <row r="177" spans="1:11" ht="27.75" customHeight="1" x14ac:dyDescent="0.2">
      <c r="A177" s="322" t="s">
        <v>693</v>
      </c>
      <c r="B177" s="18"/>
      <c r="C177" s="324" t="s">
        <v>803</v>
      </c>
      <c r="D177" s="90">
        <v>0.51900000000000002</v>
      </c>
      <c r="E177" s="91">
        <v>8.5000000000000006E-2</v>
      </c>
      <c r="F177" s="92">
        <v>1.0999999999999999E-2</v>
      </c>
      <c r="G177" s="317">
        <v>0.46</v>
      </c>
      <c r="H177" s="318" t="s">
        <v>797</v>
      </c>
      <c r="I177" s="319" t="s">
        <v>797</v>
      </c>
      <c r="J177" s="26" t="s">
        <v>797</v>
      </c>
      <c r="K177" s="326" t="str">
        <f ca="1">IFERROR(IF(#REF!="","",INDEX(INDIRECT("'Annex 1 LV and HV charges"&amp;MID($A$2,FIND("_",$A$2),2)&amp;"'!$A$10:$K$51"),MATCH(MID($A177,FIND(":",$A177)+2,LEN($A177)-FIND(":",$A177)+2),INDIRECT("'Annex 1 LV and HV charges"&amp;MID($A$2,FIND("_",$A$2),2)&amp;"'!$A$10:$A$51"),0),MATCH(J$13,$A$13:$J$13,0))-J177),"")</f>
        <v/>
      </c>
    </row>
    <row r="178" spans="1:11" ht="27.75" customHeight="1" x14ac:dyDescent="0.2">
      <c r="A178" s="322" t="s">
        <v>700</v>
      </c>
      <c r="B178" s="24"/>
      <c r="C178" s="324" t="s">
        <v>803</v>
      </c>
      <c r="D178" s="90">
        <v>0.51900000000000002</v>
      </c>
      <c r="E178" s="91">
        <v>8.5000000000000006E-2</v>
      </c>
      <c r="F178" s="92">
        <v>1.0999999999999999E-2</v>
      </c>
      <c r="G178" s="317">
        <v>0.55000000000000004</v>
      </c>
      <c r="H178" s="318" t="s">
        <v>797</v>
      </c>
      <c r="I178" s="319" t="s">
        <v>797</v>
      </c>
      <c r="J178" s="26" t="s">
        <v>797</v>
      </c>
      <c r="K178" s="326" t="str">
        <f ca="1">IFERROR(IF(#REF!="","",INDEX(INDIRECT("'Annex 1 LV and HV charges"&amp;MID($A$2,FIND("_",$A$2),2)&amp;"'!$A$10:$K$51"),MATCH(MID($A178,FIND(":",$A178)+2,LEN($A178)-FIND(":",$A178)+2),INDIRECT("'Annex 1 LV and HV charges"&amp;MID($A$2,FIND("_",$A$2),2)&amp;"'!$A$10:$A$51"),0),MATCH(J$13,$A$13:$J$13,0))-J178),"")</f>
        <v/>
      </c>
    </row>
    <row r="179" spans="1:11" ht="27.75" customHeight="1" x14ac:dyDescent="0.2">
      <c r="A179" s="322" t="s">
        <v>707</v>
      </c>
      <c r="B179" s="18"/>
      <c r="C179" s="324" t="s">
        <v>803</v>
      </c>
      <c r="D179" s="90">
        <v>0.51900000000000002</v>
      </c>
      <c r="E179" s="91">
        <v>8.5000000000000006E-2</v>
      </c>
      <c r="F179" s="92">
        <v>1.0999999999999999E-2</v>
      </c>
      <c r="G179" s="317">
        <v>0.7</v>
      </c>
      <c r="H179" s="318" t="s">
        <v>797</v>
      </c>
      <c r="I179" s="319" t="s">
        <v>797</v>
      </c>
      <c r="J179" s="26" t="s">
        <v>797</v>
      </c>
      <c r="K179" s="326" t="str">
        <f ca="1">IFERROR(IF(#REF!="","",INDEX(INDIRECT("'Annex 1 LV and HV charges"&amp;MID($A$2,FIND("_",$A$2),2)&amp;"'!$A$10:$K$51"),MATCH(MID($A179,FIND(":",$A179)+2,LEN($A179)-FIND(":",$A179)+2),INDIRECT("'Annex 1 LV and HV charges"&amp;MID($A$2,FIND("_",$A$2),2)&amp;"'!$A$10:$A$51"),0),MATCH(J$13,$A$13:$J$13,0))-J179),"")</f>
        <v/>
      </c>
    </row>
    <row r="180" spans="1:11" ht="27.75" customHeight="1" x14ac:dyDescent="0.2">
      <c r="A180" s="322" t="s">
        <v>714</v>
      </c>
      <c r="B180" s="18"/>
      <c r="C180" s="324" t="s">
        <v>803</v>
      </c>
      <c r="D180" s="90">
        <v>0.51900000000000002</v>
      </c>
      <c r="E180" s="91">
        <v>8.5000000000000006E-2</v>
      </c>
      <c r="F180" s="92">
        <v>1.0999999999999999E-2</v>
      </c>
      <c r="G180" s="317">
        <v>0.93</v>
      </c>
      <c r="H180" s="318" t="s">
        <v>797</v>
      </c>
      <c r="I180" s="319" t="s">
        <v>797</v>
      </c>
      <c r="J180" s="26" t="s">
        <v>797</v>
      </c>
      <c r="K180" s="326" t="str">
        <f ca="1">IFERROR(IF(#REF!="","",INDEX(INDIRECT("'Annex 1 LV and HV charges"&amp;MID($A$2,FIND("_",$A$2),2)&amp;"'!$A$10:$K$51"),MATCH(MID($A180,FIND(":",$A180)+2,LEN($A180)-FIND(":",$A180)+2),INDIRECT("'Annex 1 LV and HV charges"&amp;MID($A$2,FIND("_",$A$2),2)&amp;"'!$A$10:$A$51"),0),MATCH(J$13,$A$13:$J$13,0))-J180),"")</f>
        <v/>
      </c>
    </row>
    <row r="181" spans="1:11" ht="27.75" customHeight="1" x14ac:dyDescent="0.2">
      <c r="A181" s="322" t="s">
        <v>721</v>
      </c>
      <c r="B181" s="18"/>
      <c r="C181" s="324" t="s">
        <v>803</v>
      </c>
      <c r="D181" s="90">
        <v>0.51900000000000002</v>
      </c>
      <c r="E181" s="91">
        <v>8.5000000000000006E-2</v>
      </c>
      <c r="F181" s="92">
        <v>1.0999999999999999E-2</v>
      </c>
      <c r="G181" s="317">
        <v>1.77</v>
      </c>
      <c r="H181" s="318" t="s">
        <v>797</v>
      </c>
      <c r="I181" s="319" t="s">
        <v>797</v>
      </c>
      <c r="J181" s="26" t="s">
        <v>797</v>
      </c>
      <c r="K181" s="326" t="str">
        <f ca="1">IFERROR(IF(#REF!="","",INDEX(INDIRECT("'Annex 1 LV and HV charges"&amp;MID($A$2,FIND("_",$A$2),2)&amp;"'!$A$10:$K$51"),MATCH(MID($A181,FIND(":",$A181)+2,LEN($A181)-FIND(":",$A181)+2),INDIRECT("'Annex 1 LV and HV charges"&amp;MID($A$2,FIND("_",$A$2),2)&amp;"'!$A$10:$A$51"),0),MATCH(J$13,$A$13:$J$13,0))-J181),"")</f>
        <v/>
      </c>
    </row>
    <row r="182" spans="1:11" ht="27.75" customHeight="1" x14ac:dyDescent="0.2">
      <c r="A182" s="322" t="s">
        <v>493</v>
      </c>
      <c r="B182" s="24"/>
      <c r="C182" s="324">
        <v>4</v>
      </c>
      <c r="D182" s="90">
        <v>0.51900000000000002</v>
      </c>
      <c r="E182" s="91">
        <v>8.5000000000000006E-2</v>
      </c>
      <c r="F182" s="92">
        <v>1.0999999999999999E-2</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charges"&amp;MID($A$2,FIND("_",$A$2),2)&amp;"'!$A$10:$A$51"),0),MATCH(J$13,$A$13:$J$13,0))-J182),"")</f>
        <v/>
      </c>
    </row>
    <row r="183" spans="1:11" ht="27.75" customHeight="1" x14ac:dyDescent="0.2">
      <c r="A183" s="322" t="s">
        <v>630</v>
      </c>
      <c r="B183" s="18"/>
      <c r="C183" s="324">
        <v>0</v>
      </c>
      <c r="D183" s="90">
        <v>0.38</v>
      </c>
      <c r="E183" s="91">
        <v>5.8999999999999997E-2</v>
      </c>
      <c r="F183" s="92">
        <v>7.0000000000000001E-3</v>
      </c>
      <c r="G183" s="317">
        <v>1.1100000000000001</v>
      </c>
      <c r="H183" s="317">
        <v>0.39</v>
      </c>
      <c r="I183" s="320">
        <v>0.39</v>
      </c>
      <c r="J183" s="25">
        <v>1.9E-2</v>
      </c>
      <c r="K183" s="326" t="str">
        <f ca="1">IFERROR(IF(#REF!="","",INDEX(INDIRECT("'Annex 1 LV and HV charges"&amp;MID($A$2,FIND("_",$A$2),2)&amp;"'!$A$10:$K$51"),MATCH(MID($A183,FIND(":",$A183)+2,LEN($A183)-FIND(":",$A183)+2),INDIRECT("'Annex 1 LV and HV charges"&amp;MID($A$2,FIND("_",$A$2),2)&amp;"'!$A$10:$A$51"),0),MATCH(J$13,$A$13:$J$13,0))-J183),"")</f>
        <v/>
      </c>
    </row>
    <row r="184" spans="1:11" ht="27.75" customHeight="1" x14ac:dyDescent="0.2">
      <c r="A184" s="322" t="s">
        <v>631</v>
      </c>
      <c r="B184" s="24"/>
      <c r="C184" s="324">
        <v>0</v>
      </c>
      <c r="D184" s="90">
        <v>0.38</v>
      </c>
      <c r="E184" s="91">
        <v>5.8999999999999997E-2</v>
      </c>
      <c r="F184" s="92">
        <v>7.0000000000000001E-3</v>
      </c>
      <c r="G184" s="317">
        <v>3.87</v>
      </c>
      <c r="H184" s="317">
        <v>0.39</v>
      </c>
      <c r="I184" s="320">
        <v>0.39</v>
      </c>
      <c r="J184" s="25">
        <v>1.9E-2</v>
      </c>
      <c r="K184" s="326" t="str">
        <f ca="1">IFERROR(IF(#REF!="","",INDEX(INDIRECT("'Annex 1 LV and HV charges"&amp;MID($A$2,FIND("_",$A$2),2)&amp;"'!$A$10:$K$51"),MATCH(MID($A184,FIND(":",$A184)+2,LEN($A184)-FIND(":",$A184)+2),INDIRECT("'Annex 1 LV and HV charges"&amp;MID($A$2,FIND("_",$A$2),2)&amp;"'!$A$10:$A$51"),0),MATCH(J$13,$A$13:$J$13,0))-J184),"")</f>
        <v/>
      </c>
    </row>
    <row r="185" spans="1:11" ht="27.75" customHeight="1" x14ac:dyDescent="0.2">
      <c r="A185" s="322" t="s">
        <v>632</v>
      </c>
      <c r="B185" s="18"/>
      <c r="C185" s="324">
        <v>0</v>
      </c>
      <c r="D185" s="90">
        <v>0.38</v>
      </c>
      <c r="E185" s="91">
        <v>5.8999999999999997E-2</v>
      </c>
      <c r="F185" s="92">
        <v>7.0000000000000001E-3</v>
      </c>
      <c r="G185" s="317">
        <v>5.48</v>
      </c>
      <c r="H185" s="317">
        <v>0.39</v>
      </c>
      <c r="I185" s="320">
        <v>0.39</v>
      </c>
      <c r="J185" s="25">
        <v>1.9E-2</v>
      </c>
      <c r="K185" s="326" t="str">
        <f ca="1">IFERROR(IF(#REF!="","",INDEX(INDIRECT("'Annex 1 LV and HV charges"&amp;MID($A$2,FIND("_",$A$2),2)&amp;"'!$A$10:$K$51"),MATCH(MID($A185,FIND(":",$A185)+2,LEN($A185)-FIND(":",$A185)+2),INDIRECT("'Annex 1 LV and HV charges"&amp;MID($A$2,FIND("_",$A$2),2)&amp;"'!$A$10:$A$51"),0),MATCH(J$13,$A$13:$J$13,0))-J185),"")</f>
        <v/>
      </c>
    </row>
    <row r="186" spans="1:11" ht="27.75" customHeight="1" x14ac:dyDescent="0.2">
      <c r="A186" s="322" t="s">
        <v>633</v>
      </c>
      <c r="B186" s="18"/>
      <c r="C186" s="324">
        <v>0</v>
      </c>
      <c r="D186" s="90">
        <v>0.38</v>
      </c>
      <c r="E186" s="91">
        <v>5.8999999999999997E-2</v>
      </c>
      <c r="F186" s="92">
        <v>7.0000000000000001E-3</v>
      </c>
      <c r="G186" s="317">
        <v>7.73</v>
      </c>
      <c r="H186" s="317">
        <v>0.39</v>
      </c>
      <c r="I186" s="320">
        <v>0.39</v>
      </c>
      <c r="J186" s="25">
        <v>1.9E-2</v>
      </c>
      <c r="K186" s="326" t="str">
        <f ca="1">IFERROR(IF(#REF!="","",INDEX(INDIRECT("'Annex 1 LV and HV charges"&amp;MID($A$2,FIND("_",$A$2),2)&amp;"'!$A$10:$K$51"),MATCH(MID($A186,FIND(":",$A186)+2,LEN($A186)-FIND(":",$A186)+2),INDIRECT("'Annex 1 LV and HV charges"&amp;MID($A$2,FIND("_",$A$2),2)&amp;"'!$A$10:$A$51"),0),MATCH(J$13,$A$13:$J$13,0))-J186),"")</f>
        <v/>
      </c>
    </row>
    <row r="187" spans="1:11" ht="27.75" customHeight="1" x14ac:dyDescent="0.2">
      <c r="A187" s="322" t="s">
        <v>634</v>
      </c>
      <c r="B187" s="18"/>
      <c r="C187" s="324">
        <v>0</v>
      </c>
      <c r="D187" s="90">
        <v>0.38</v>
      </c>
      <c r="E187" s="91">
        <v>5.8999999999999997E-2</v>
      </c>
      <c r="F187" s="92">
        <v>7.0000000000000001E-3</v>
      </c>
      <c r="G187" s="317">
        <v>16.48</v>
      </c>
      <c r="H187" s="317">
        <v>0.39</v>
      </c>
      <c r="I187" s="320">
        <v>0.39</v>
      </c>
      <c r="J187" s="25">
        <v>1.9E-2</v>
      </c>
      <c r="K187" s="326" t="str">
        <f ca="1">IFERROR(IF(#REF!="","",INDEX(INDIRECT("'Annex 1 LV and HV charges"&amp;MID($A$2,FIND("_",$A$2),2)&amp;"'!$A$10:$K$51"),MATCH(MID($A187,FIND(":",$A187)+2,LEN($A187)-FIND(":",$A187)+2),INDIRECT("'Annex 1 LV and HV charges"&amp;MID($A$2,FIND("_",$A$2),2)&amp;"'!$A$10:$A$51"),0),MATCH(J$13,$A$13:$J$13,0))-J187),"")</f>
        <v/>
      </c>
    </row>
    <row r="188" spans="1:11" ht="27.75" customHeight="1" x14ac:dyDescent="0.2">
      <c r="A188" s="322" t="s">
        <v>635</v>
      </c>
      <c r="B188" s="18"/>
      <c r="C188" s="324">
        <v>0</v>
      </c>
      <c r="D188" s="90">
        <v>0.371</v>
      </c>
      <c r="E188" s="91">
        <v>5.2999999999999999E-2</v>
      </c>
      <c r="F188" s="92">
        <v>6.0000000000000001E-3</v>
      </c>
      <c r="G188" s="317">
        <v>1.43</v>
      </c>
      <c r="H188" s="317">
        <v>0.44</v>
      </c>
      <c r="I188" s="320">
        <v>0.44</v>
      </c>
      <c r="J188" s="25">
        <v>1.7000000000000001E-2</v>
      </c>
      <c r="K188" s="326" t="str">
        <f ca="1">IFERROR(IF(#REF!="","",INDEX(INDIRECT("'Annex 1 LV and HV charges"&amp;MID($A$2,FIND("_",$A$2),2)&amp;"'!$A$10:$K$51"),MATCH(MID($A188,FIND(":",$A188)+2,LEN($A188)-FIND(":",$A188)+2),INDIRECT("'Annex 1 LV and HV charges"&amp;MID($A$2,FIND("_",$A$2),2)&amp;"'!$A$10:$A$51"),0),MATCH(J$13,$A$13:$J$13,0))-J188),"")</f>
        <v/>
      </c>
    </row>
    <row r="189" spans="1:11" ht="27.75" customHeight="1" x14ac:dyDescent="0.2">
      <c r="A189" s="322" t="s">
        <v>636</v>
      </c>
      <c r="B189" s="24"/>
      <c r="C189" s="324">
        <v>0</v>
      </c>
      <c r="D189" s="90">
        <v>0.371</v>
      </c>
      <c r="E189" s="91">
        <v>5.2999999999999999E-2</v>
      </c>
      <c r="F189" s="92">
        <v>6.0000000000000001E-3</v>
      </c>
      <c r="G189" s="317">
        <v>5.68</v>
      </c>
      <c r="H189" s="317">
        <v>0.44</v>
      </c>
      <c r="I189" s="320">
        <v>0.44</v>
      </c>
      <c r="J189" s="25">
        <v>1.7000000000000001E-2</v>
      </c>
      <c r="K189" s="326" t="str">
        <f ca="1">IFERROR(IF(#REF!="","",INDEX(INDIRECT("'Annex 1 LV and HV charges"&amp;MID($A$2,FIND("_",$A$2),2)&amp;"'!$A$10:$K$51"),MATCH(MID($A189,FIND(":",$A189)+2,LEN($A189)-FIND(":",$A189)+2),INDIRECT("'Annex 1 LV and HV charges"&amp;MID($A$2,FIND("_",$A$2),2)&amp;"'!$A$10:$A$51"),0),MATCH(J$13,$A$13:$J$13,0))-J189),"")</f>
        <v/>
      </c>
    </row>
    <row r="190" spans="1:11" ht="27.75" customHeight="1" x14ac:dyDescent="0.2">
      <c r="A190" s="322" t="s">
        <v>637</v>
      </c>
      <c r="B190" s="18"/>
      <c r="C190" s="324">
        <v>0</v>
      </c>
      <c r="D190" s="90">
        <v>0.371</v>
      </c>
      <c r="E190" s="91">
        <v>5.2999999999999999E-2</v>
      </c>
      <c r="F190" s="92">
        <v>6.0000000000000001E-3</v>
      </c>
      <c r="G190" s="317">
        <v>8.15</v>
      </c>
      <c r="H190" s="317">
        <v>0.44</v>
      </c>
      <c r="I190" s="320">
        <v>0.44</v>
      </c>
      <c r="J190" s="25">
        <v>1.7000000000000001E-2</v>
      </c>
      <c r="K190" s="326" t="str">
        <f ca="1">IFERROR(IF(#REF!="","",INDEX(INDIRECT("'Annex 1 LV and HV charges"&amp;MID($A$2,FIND("_",$A$2),2)&amp;"'!$A$10:$K$51"),MATCH(MID($A190,FIND(":",$A190)+2,LEN($A190)-FIND(":",$A190)+2),INDIRECT("'Annex 1 LV and HV charges"&amp;MID($A$2,FIND("_",$A$2),2)&amp;"'!$A$10:$A$51"),0),MATCH(J$13,$A$13:$J$13,0))-J190),"")</f>
        <v/>
      </c>
    </row>
    <row r="191" spans="1:11" ht="27.75" customHeight="1" x14ac:dyDescent="0.2">
      <c r="A191" s="322" t="s">
        <v>638</v>
      </c>
      <c r="B191" s="18"/>
      <c r="C191" s="324">
        <v>0</v>
      </c>
      <c r="D191" s="90">
        <v>0.371</v>
      </c>
      <c r="E191" s="91">
        <v>5.2999999999999999E-2</v>
      </c>
      <c r="F191" s="92">
        <v>6.0000000000000001E-3</v>
      </c>
      <c r="G191" s="317">
        <v>11.6</v>
      </c>
      <c r="H191" s="317">
        <v>0.44</v>
      </c>
      <c r="I191" s="320">
        <v>0.44</v>
      </c>
      <c r="J191" s="25">
        <v>1.7000000000000001E-2</v>
      </c>
      <c r="K191" s="326" t="str">
        <f ca="1">IFERROR(IF(#REF!="","",INDEX(INDIRECT("'Annex 1 LV and HV charges"&amp;MID($A$2,FIND("_",$A$2),2)&amp;"'!$A$10:$K$51"),MATCH(MID($A191,FIND(":",$A191)+2,LEN($A191)-FIND(":",$A191)+2),INDIRECT("'Annex 1 LV and HV charges"&amp;MID($A$2,FIND("_",$A$2),2)&amp;"'!$A$10:$A$51"),0),MATCH(J$13,$A$13:$J$13,0))-J191),"")</f>
        <v/>
      </c>
    </row>
    <row r="192" spans="1:11" ht="27.75" customHeight="1" x14ac:dyDescent="0.2">
      <c r="A192" s="322" t="s">
        <v>639</v>
      </c>
      <c r="B192" s="18"/>
      <c r="C192" s="324">
        <v>0</v>
      </c>
      <c r="D192" s="90">
        <v>0.371</v>
      </c>
      <c r="E192" s="91">
        <v>5.2999999999999999E-2</v>
      </c>
      <c r="F192" s="92">
        <v>6.0000000000000001E-3</v>
      </c>
      <c r="G192" s="317">
        <v>25.06</v>
      </c>
      <c r="H192" s="317">
        <v>0.44</v>
      </c>
      <c r="I192" s="320">
        <v>0.44</v>
      </c>
      <c r="J192" s="25">
        <v>1.7000000000000001E-2</v>
      </c>
      <c r="K192" s="326" t="str">
        <f ca="1">IFERROR(IF(#REF!="","",INDEX(INDIRECT("'Annex 1 LV and HV charges"&amp;MID($A$2,FIND("_",$A$2),2)&amp;"'!$A$10:$K$51"),MATCH(MID($A192,FIND(":",$A192)+2,LEN($A192)-FIND(":",$A192)+2),INDIRECT("'Annex 1 LV and HV charges"&amp;MID($A$2,FIND("_",$A$2),2)&amp;"'!$A$10:$A$51"),0),MATCH(J$13,$A$13:$J$13,0))-J192),"")</f>
        <v/>
      </c>
    </row>
    <row r="193" spans="1:11" ht="27.75" customHeight="1" x14ac:dyDescent="0.2">
      <c r="A193" s="322" t="s">
        <v>640</v>
      </c>
      <c r="B193" s="18"/>
      <c r="C193" s="324">
        <v>0</v>
      </c>
      <c r="D193" s="90">
        <v>0.35199999999999998</v>
      </c>
      <c r="E193" s="91">
        <v>4.8000000000000001E-2</v>
      </c>
      <c r="F193" s="92">
        <v>5.0000000000000001E-3</v>
      </c>
      <c r="G193" s="317">
        <v>16.78</v>
      </c>
      <c r="H193" s="317">
        <v>0.42</v>
      </c>
      <c r="I193" s="320">
        <v>0.42</v>
      </c>
      <c r="J193" s="25">
        <v>1.4999999999999999E-2</v>
      </c>
      <c r="K193" s="326" t="str">
        <f ca="1">IFERROR(IF(#REF!="","",INDEX(INDIRECT("'Annex 1 LV and HV charges"&amp;MID($A$2,FIND("_",$A$2),2)&amp;"'!$A$10:$K$51"),MATCH(MID($A193,FIND(":",$A193)+2,LEN($A193)-FIND(":",$A193)+2),INDIRECT("'Annex 1 LV and HV charges"&amp;MID($A$2,FIND("_",$A$2),2)&amp;"'!$A$10:$A$51"),0),MATCH(J$13,$A$13:$J$13,0))-J193),"")</f>
        <v/>
      </c>
    </row>
    <row r="194" spans="1:11" ht="27.75" customHeight="1" x14ac:dyDescent="0.2">
      <c r="A194" s="322" t="s">
        <v>641</v>
      </c>
      <c r="B194" s="24"/>
      <c r="C194" s="324">
        <v>0</v>
      </c>
      <c r="D194" s="90">
        <v>0.35199999999999998</v>
      </c>
      <c r="E194" s="91">
        <v>4.8000000000000001E-2</v>
      </c>
      <c r="F194" s="92">
        <v>5.0000000000000001E-3</v>
      </c>
      <c r="G194" s="317">
        <v>57.88</v>
      </c>
      <c r="H194" s="317">
        <v>0.42</v>
      </c>
      <c r="I194" s="320">
        <v>0.42</v>
      </c>
      <c r="J194" s="25">
        <v>1.4999999999999999E-2</v>
      </c>
      <c r="K194" s="326" t="str">
        <f ca="1">IFERROR(IF(#REF!="","",INDEX(INDIRECT("'Annex 1 LV and HV charges"&amp;MID($A$2,FIND("_",$A$2),2)&amp;"'!$A$10:$K$51"),MATCH(MID($A194,FIND(":",$A194)+2,LEN($A194)-FIND(":",$A194)+2),INDIRECT("'Annex 1 LV and HV charges"&amp;MID($A$2,FIND("_",$A$2),2)&amp;"'!$A$10:$A$51"),0),MATCH(J$13,$A$13:$J$13,0))-J194),"")</f>
        <v/>
      </c>
    </row>
    <row r="195" spans="1:11" ht="27.75" customHeight="1" x14ac:dyDescent="0.2">
      <c r="A195" s="322" t="s">
        <v>642</v>
      </c>
      <c r="B195" s="18"/>
      <c r="C195" s="324">
        <v>0</v>
      </c>
      <c r="D195" s="90">
        <v>0.35199999999999998</v>
      </c>
      <c r="E195" s="91">
        <v>4.8000000000000001E-2</v>
      </c>
      <c r="F195" s="92">
        <v>5.0000000000000001E-3</v>
      </c>
      <c r="G195" s="317">
        <v>104.51</v>
      </c>
      <c r="H195" s="317">
        <v>0.42</v>
      </c>
      <c r="I195" s="320">
        <v>0.42</v>
      </c>
      <c r="J195" s="25">
        <v>1.4999999999999999E-2</v>
      </c>
      <c r="K195" s="326" t="str">
        <f ca="1">IFERROR(IF(#REF!="","",INDEX(INDIRECT("'Annex 1 LV and HV charges"&amp;MID($A$2,FIND("_",$A$2),2)&amp;"'!$A$10:$K$51"),MATCH(MID($A195,FIND(":",$A195)+2,LEN($A195)-FIND(":",$A195)+2),INDIRECT("'Annex 1 LV and HV charges"&amp;MID($A$2,FIND("_",$A$2),2)&amp;"'!$A$10:$A$51"),0),MATCH(J$13,$A$13:$J$13,0))-J195),"")</f>
        <v/>
      </c>
    </row>
    <row r="196" spans="1:11" ht="27.75" customHeight="1" x14ac:dyDescent="0.2">
      <c r="A196" s="322" t="s">
        <v>643</v>
      </c>
      <c r="B196" s="18"/>
      <c r="C196" s="324">
        <v>0</v>
      </c>
      <c r="D196" s="90">
        <v>0.35199999999999998</v>
      </c>
      <c r="E196" s="91">
        <v>4.8000000000000001E-2</v>
      </c>
      <c r="F196" s="92">
        <v>5.0000000000000001E-3</v>
      </c>
      <c r="G196" s="317">
        <v>171.71</v>
      </c>
      <c r="H196" s="317">
        <v>0.42</v>
      </c>
      <c r="I196" s="320">
        <v>0.42</v>
      </c>
      <c r="J196" s="25">
        <v>1.4999999999999999E-2</v>
      </c>
      <c r="K196" s="326" t="str">
        <f ca="1">IFERROR(IF(#REF!="","",INDEX(INDIRECT("'Annex 1 LV and HV charges"&amp;MID($A$2,FIND("_",$A$2),2)&amp;"'!$A$10:$K$51"),MATCH(MID($A196,FIND(":",$A196)+2,LEN($A196)-FIND(":",$A196)+2),INDIRECT("'Annex 1 LV and HV charges"&amp;MID($A$2,FIND("_",$A$2),2)&amp;"'!$A$10:$A$51"),0),MATCH(J$13,$A$13:$J$13,0))-J196),"")</f>
        <v/>
      </c>
    </row>
    <row r="197" spans="1:11" ht="27.75" customHeight="1" x14ac:dyDescent="0.2">
      <c r="A197" s="322" t="s">
        <v>644</v>
      </c>
      <c r="B197" s="18"/>
      <c r="C197" s="324">
        <v>0</v>
      </c>
      <c r="D197" s="90">
        <v>0.35199999999999998</v>
      </c>
      <c r="E197" s="91">
        <v>4.8000000000000001E-2</v>
      </c>
      <c r="F197" s="92">
        <v>5.0000000000000001E-3</v>
      </c>
      <c r="G197" s="317">
        <v>468.98</v>
      </c>
      <c r="H197" s="317">
        <v>0.42</v>
      </c>
      <c r="I197" s="320">
        <v>0.42</v>
      </c>
      <c r="J197" s="25">
        <v>1.4999999999999999E-2</v>
      </c>
      <c r="K197" s="326" t="str">
        <f ca="1">IFERROR(IF(#REF!="","",INDEX(INDIRECT("'Annex 1 LV and HV charges"&amp;MID($A$2,FIND("_",$A$2),2)&amp;"'!$A$10:$K$51"),MATCH(MID($A197,FIND(":",$A197)+2,LEN($A197)-FIND(":",$A197)+2),INDIRECT("'Annex 1 LV and HV charges"&amp;MID($A$2,FIND("_",$A$2),2)&amp;"'!$A$10:$A$51"),0),MATCH(J$13,$A$13:$J$13,0))-J197),"")</f>
        <v/>
      </c>
    </row>
    <row r="198" spans="1:11" ht="27.75" customHeight="1" x14ac:dyDescent="0.2">
      <c r="A198" s="322" t="s">
        <v>494</v>
      </c>
      <c r="B198" s="24"/>
      <c r="C198" s="324" t="s">
        <v>804</v>
      </c>
      <c r="D198" s="93">
        <v>1.9790000000000001</v>
      </c>
      <c r="E198" s="94">
        <v>0.20399999999999999</v>
      </c>
      <c r="F198" s="92">
        <v>0.11799999999999999</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charges"&amp;MID($A$2,FIND("_",$A$2),2)&amp;"'!$A$10:$A$51"),0),MATCH(J$13,$A$13:$J$13,0))-J198),"")</f>
        <v/>
      </c>
    </row>
    <row r="199" spans="1:11" ht="27.75" customHeight="1" x14ac:dyDescent="0.2">
      <c r="A199" s="322" t="s">
        <v>538</v>
      </c>
      <c r="B199" s="24"/>
      <c r="C199" s="324" t="s">
        <v>805</v>
      </c>
      <c r="D199" s="90">
        <v>-0.59899999999999998</v>
      </c>
      <c r="E199" s="91">
        <v>-9.8000000000000004E-2</v>
      </c>
      <c r="F199" s="92">
        <v>-1.2999999999999999E-2</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charges"&amp;MID($A$2,FIND("_",$A$2),2)&amp;"'!$A$10:$A$51"),0),MATCH(J$13,$A$13:$J$13,0))-J199),"")</f>
        <v/>
      </c>
    </row>
    <row r="200" spans="1:11" ht="27.75" customHeight="1" x14ac:dyDescent="0.2">
      <c r="A200" s="322" t="s">
        <v>539</v>
      </c>
      <c r="B200" s="321"/>
      <c r="C200" s="324">
        <v>0</v>
      </c>
      <c r="D200" s="90">
        <v>-0.52800000000000002</v>
      </c>
      <c r="E200" s="91">
        <v>-8.4000000000000005E-2</v>
      </c>
      <c r="F200" s="92">
        <v>-1.0999999999999999E-2</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charges"&amp;MID($A$2,FIND("_",$A$2),2)&amp;"'!$A$10:$A$51"),0),MATCH(J$13,$A$13:$J$13,0))-J200),"")</f>
        <v/>
      </c>
    </row>
    <row r="201" spans="1:11" ht="27.75" customHeight="1" x14ac:dyDescent="0.2">
      <c r="A201" s="322" t="s">
        <v>540</v>
      </c>
      <c r="B201" s="24"/>
      <c r="C201" s="324">
        <v>0</v>
      </c>
      <c r="D201" s="90">
        <v>-0.59899999999999998</v>
      </c>
      <c r="E201" s="91">
        <v>-9.8000000000000004E-2</v>
      </c>
      <c r="F201" s="92">
        <v>-1.2999999999999999E-2</v>
      </c>
      <c r="G201" s="317" t="s">
        <v>797</v>
      </c>
      <c r="H201" s="318" t="s">
        <v>797</v>
      </c>
      <c r="I201" s="319" t="s">
        <v>797</v>
      </c>
      <c r="J201" s="25">
        <v>3.4000000000000002E-2</v>
      </c>
      <c r="K201" s="326" t="str">
        <f ca="1">IFERROR(IF(#REF!="","",INDEX(INDIRECT("'Annex 1 LV and HV charges"&amp;MID($A$2,FIND("_",$A$2),2)&amp;"'!$A$10:$K$51"),MATCH(MID($A201,FIND(":",$A201)+2,LEN($A201)-FIND(":",$A201)+2),INDIRECT("'Annex 1 LV and HV charges"&amp;MID($A$2,FIND("_",$A$2),2)&amp;"'!$A$10:$A$51"),0),MATCH(J$13,$A$13:$J$13,0))-J201),"")</f>
        <v/>
      </c>
    </row>
    <row r="202" spans="1:11" ht="27.75" customHeight="1" x14ac:dyDescent="0.2">
      <c r="A202" s="322" t="s">
        <v>541</v>
      </c>
      <c r="B202" s="24"/>
      <c r="C202" s="324">
        <v>0</v>
      </c>
      <c r="D202" s="90">
        <v>-0.52800000000000002</v>
      </c>
      <c r="E202" s="91">
        <v>-8.4000000000000005E-2</v>
      </c>
      <c r="F202" s="92">
        <v>-1.0999999999999999E-2</v>
      </c>
      <c r="G202" s="317" t="s">
        <v>797</v>
      </c>
      <c r="H202" s="318" t="s">
        <v>797</v>
      </c>
      <c r="I202" s="319" t="s">
        <v>797</v>
      </c>
      <c r="J202" s="25">
        <v>2.7E-2</v>
      </c>
      <c r="K202" s="326" t="str">
        <f ca="1">IFERROR(IF(#REF!="","",INDEX(INDIRECT("'Annex 1 LV and HV charges"&amp;MID($A$2,FIND("_",$A$2),2)&amp;"'!$A$10:$K$51"),MATCH(MID($A202,FIND(":",$A202)+2,LEN($A202)-FIND(":",$A202)+2),INDIRECT("'Annex 1 LV and HV charges"&amp;MID($A$2,FIND("_",$A$2),2)&amp;"'!$A$10:$A$51"),0),MATCH(J$13,$A$13:$J$13,0))-J202),"")</f>
        <v/>
      </c>
    </row>
    <row r="203" spans="1:11" ht="27.75" customHeight="1" x14ac:dyDescent="0.2">
      <c r="A203" s="322" t="s">
        <v>542</v>
      </c>
      <c r="B203" s="24"/>
      <c r="C203" s="324">
        <v>0</v>
      </c>
      <c r="D203" s="90">
        <v>-0.52900000000000003</v>
      </c>
      <c r="E203" s="91">
        <v>-7.5999999999999998E-2</v>
      </c>
      <c r="F203" s="92">
        <v>-8.0000000000000002E-3</v>
      </c>
      <c r="G203" s="317">
        <v>1.61</v>
      </c>
      <c r="H203" s="318" t="s">
        <v>797</v>
      </c>
      <c r="I203" s="319" t="s">
        <v>797</v>
      </c>
      <c r="J203" s="25">
        <v>3.1E-2</v>
      </c>
      <c r="K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K203">
    <cfRule type="cellIs" dxfId="78" priority="2" operator="equal">
      <formula>0</formula>
    </cfRule>
    <cfRule type="cellIs" dxfId="77" priority="3" operator="lessThan">
      <formula>0</formula>
    </cfRule>
    <cfRule type="cellIs" dxfId="76" priority="4" operator="greaterThan">
      <formula>0</formula>
    </cfRule>
  </conditionalFormatting>
  <conditionalFormatting sqref="K14:L203">
    <cfRule type="expression" dxfId="75" priority="20">
      <formula>#REF!&lt;&gt;""</formula>
    </cfRule>
  </conditionalFormatting>
  <hyperlinks>
    <hyperlink ref="A1" location="Overview!A1" display="Back to Overview" xr:uid="{50B4F35E-DE80-46CC-896A-0FD3B9BD269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203"/>
  <sheetViews>
    <sheetView zoomScale="70" zoomScaleNormal="70" workbookViewId="0"/>
  </sheetViews>
  <sheetFormatPr defaultColWidth="9.140625" defaultRowHeight="27.75" customHeight="1" x14ac:dyDescent="0.2"/>
  <cols>
    <col min="1" max="1" width="54.85546875"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54" t="str">
        <f>Overview!B4&amp;" - Effective from "&amp;TEXT(Overview!$D$4,"d mmmm yyyy")&amp;" - Final LDNO tariffs in WPD EM Area (GSP Group_B)"</f>
        <v>Leep Electricity Networks Limited - Effective from 1 April 2027 - Final LDNO tariffs in WPD EM Area (GSP Group_B)</v>
      </c>
      <c r="B2" s="454"/>
      <c r="C2" s="454"/>
      <c r="D2" s="454"/>
      <c r="E2" s="454"/>
      <c r="F2" s="454"/>
      <c r="G2" s="454"/>
      <c r="H2" s="454"/>
      <c r="I2" s="454"/>
      <c r="J2" s="454"/>
    </row>
    <row r="3" spans="1:17" s="40" customFormat="1" ht="15" customHeight="1" x14ac:dyDescent="0.2">
      <c r="A3" s="45"/>
      <c r="B3" s="45"/>
      <c r="C3" s="45"/>
      <c r="D3" s="45"/>
      <c r="E3" s="45"/>
      <c r="F3" s="45"/>
      <c r="G3" s="45"/>
      <c r="H3" s="45"/>
      <c r="I3" s="45"/>
      <c r="J3" s="45"/>
      <c r="K3" s="30"/>
      <c r="L3" s="30"/>
    </row>
    <row r="4" spans="1:17" ht="18" customHeight="1" x14ac:dyDescent="0.2">
      <c r="A4" s="396" t="s">
        <v>290</v>
      </c>
      <c r="B4" s="397"/>
      <c r="C4" s="397"/>
      <c r="D4" s="398"/>
      <c r="E4" s="45"/>
      <c r="F4" s="396" t="s">
        <v>289</v>
      </c>
      <c r="G4" s="397"/>
      <c r="H4" s="397"/>
      <c r="I4" s="397"/>
      <c r="J4" s="398"/>
      <c r="K4" s="3"/>
      <c r="L4" s="3"/>
    </row>
    <row r="5" spans="1:17" ht="30" x14ac:dyDescent="0.2">
      <c r="A5" s="39" t="s">
        <v>13</v>
      </c>
      <c r="B5" s="256" t="s">
        <v>281</v>
      </c>
      <c r="C5" s="269" t="s">
        <v>282</v>
      </c>
      <c r="D5" s="41" t="s">
        <v>283</v>
      </c>
      <c r="E5" s="45"/>
      <c r="F5" s="246"/>
      <c r="G5" s="247"/>
      <c r="H5" s="43" t="s">
        <v>287</v>
      </c>
      <c r="I5" s="44" t="s">
        <v>288</v>
      </c>
      <c r="J5" s="41" t="s">
        <v>283</v>
      </c>
      <c r="K5" s="45"/>
      <c r="L5" s="3"/>
      <c r="M5" s="3"/>
    </row>
    <row r="6" spans="1:17" ht="51.75" customHeight="1" x14ac:dyDescent="0.2">
      <c r="A6" s="267" t="str">
        <f>'Annex 1 LV and HV charges_B'!A6</f>
        <v>Monday to Friday 
(Including Bank Holidays)
All Year</v>
      </c>
      <c r="B6" s="13" t="str">
        <f>'Annex 1 LV and HV charges_B'!B6</f>
        <v>16:00 - 19:00</v>
      </c>
      <c r="C6" s="248" t="str">
        <f>'Annex 1 LV and HV charges_B'!C6</f>
        <v>07:30 to 16:00
19:00 to 21:00</v>
      </c>
      <c r="D6" s="95" t="str">
        <f>'Annex 1 LV and HV charges_B'!E6</f>
        <v>00:00 to 07:30
21:00 to 24:00</v>
      </c>
      <c r="E6" s="45"/>
      <c r="F6" s="253" t="str">
        <f>'Annex 1 LV and HV charges_B'!G6</f>
        <v>Monday to Friday 
(Including Bank Holidays)
Nov to Feb Inclusive</v>
      </c>
      <c r="G6" s="253">
        <f>'Annex 1 LV and HV charges_B'!H6</f>
        <v>0</v>
      </c>
      <c r="H6" s="13" t="str">
        <f>'Annex 1 LV and HV charges_B'!I6</f>
        <v>16:00 to 19:00</v>
      </c>
      <c r="I6" s="248" t="str">
        <f>'Annex 1 LV and HV charges_B'!J6</f>
        <v>07:30 to 16:00
19:00 to 21:00</v>
      </c>
      <c r="J6" s="248" t="str">
        <f>'Annex 1 LV and HV charges_B'!K6</f>
        <v>00:00 to 07:30
21:00 to 24:00</v>
      </c>
      <c r="K6" s="45"/>
      <c r="L6" s="3"/>
      <c r="M6" s="3"/>
    </row>
    <row r="7" spans="1:17" ht="45" customHeight="1" x14ac:dyDescent="0.2">
      <c r="A7" s="267" t="str">
        <f>'Annex 1 LV and HV charges_B'!A7</f>
        <v>Saturday and Sunday
All Year</v>
      </c>
      <c r="B7" s="250" t="str">
        <f>'Annex 1 LV and HV charges_B'!B7</f>
        <v/>
      </c>
      <c r="C7" s="252" t="str">
        <f>'Annex 1 LV and HV charges_B'!C7</f>
        <v/>
      </c>
      <c r="D7" s="248" t="str">
        <f>'Annex 1 LV and HV charges_B'!E7</f>
        <v>00:00 to 24:00</v>
      </c>
      <c r="E7" s="45"/>
      <c r="F7" s="253" t="str">
        <f>'Annex 1 LV and HV charges_B'!G7</f>
        <v>Monday to Friday 
(Including Bank Holidays)
Mar to Oct Inclusive</v>
      </c>
      <c r="G7" s="253">
        <f>'Annex 1 LV and HV charges_B'!H7</f>
        <v>0</v>
      </c>
      <c r="H7" s="250" t="str">
        <f>'Annex 1 LV and HV charges_B'!I7</f>
        <v/>
      </c>
      <c r="I7" s="248" t="str">
        <f>'Annex 1 LV and HV charges_B'!J7</f>
        <v>07:30 to 21:00</v>
      </c>
      <c r="J7" s="248" t="str">
        <f>'Annex 1 LV and HV charges_B'!K7</f>
        <v>00:00 to 07:30
21:00 to 24:00</v>
      </c>
      <c r="K7" s="45"/>
      <c r="L7" s="3"/>
      <c r="M7" s="3"/>
    </row>
    <row r="8" spans="1:17" ht="29.25" customHeight="1" x14ac:dyDescent="0.2">
      <c r="A8" s="253" t="str">
        <f>'Annex 1 LV and HV charges_B'!A8</f>
        <v>Notes</v>
      </c>
      <c r="B8" s="391" t="str">
        <f>'Annex 1 LV and HV charges_B'!B8</f>
        <v>All the above times are in UK Clock time</v>
      </c>
      <c r="C8" s="392">
        <f>'Annex 1 LV and HV charges_B'!C8</f>
        <v>0</v>
      </c>
      <c r="D8" s="393">
        <f>'Annex 1 LV and HV charges_B'!D8</f>
        <v>0</v>
      </c>
      <c r="E8" s="45"/>
      <c r="F8" s="253" t="str">
        <f>'Annex 1 LV and HV charges_B'!G8</f>
        <v>Saturday and Sunday
All year</v>
      </c>
      <c r="G8" s="253">
        <f>'Annex 1 LV and HV charges_B'!H8</f>
        <v>0</v>
      </c>
      <c r="H8" s="250" t="str">
        <f>'Annex 1 LV and HV charges_B'!I8</f>
        <v/>
      </c>
      <c r="I8" s="250" t="str">
        <f>'Annex 1 LV and HV charges_B'!J8</f>
        <v/>
      </c>
      <c r="J8" s="248" t="str">
        <f>'Annex 1 LV and HV charges_B'!K8</f>
        <v>00:00 to 24:00</v>
      </c>
      <c r="K8" s="45"/>
      <c r="L8" s="3"/>
      <c r="M8" s="3"/>
    </row>
    <row r="9" spans="1:17" s="40" customFormat="1" ht="23.25" customHeight="1" x14ac:dyDescent="0.2">
      <c r="A9" s="254"/>
      <c r="B9" s="254"/>
      <c r="C9" s="387"/>
      <c r="D9" s="388"/>
      <c r="E9" s="45"/>
      <c r="F9" s="253" t="str">
        <f>'Annex 1 LV and HV charges_B'!G9</f>
        <v>Notes</v>
      </c>
      <c r="G9" s="253">
        <f>'Annex 1 LV and HV charges_B'!H9</f>
        <v>0</v>
      </c>
      <c r="H9" s="391" t="str">
        <f>'Annex 1 LV and HV charges_B'!I9</f>
        <v>All the above times are in UK Clock time</v>
      </c>
      <c r="I9" s="392">
        <f>'Annex 1 LV and HV charges_B'!J9</f>
        <v>0</v>
      </c>
      <c r="J9" s="393">
        <f>'Annex 1 LV and HV charges_B'!K9</f>
        <v>0</v>
      </c>
      <c r="K9" s="45"/>
      <c r="L9" s="30"/>
      <c r="M9" s="30"/>
    </row>
    <row r="10" spans="1:17" s="40" customFormat="1" ht="18" x14ac:dyDescent="0.2">
      <c r="A10" s="118"/>
      <c r="B10" s="481"/>
      <c r="C10" s="482"/>
      <c r="D10" s="482"/>
      <c r="E10" s="483"/>
      <c r="F10" s="45"/>
      <c r="G10" s="387"/>
      <c r="H10" s="388"/>
      <c r="I10" s="255"/>
      <c r="J10" s="255"/>
      <c r="K10" s="45"/>
      <c r="L10" s="30"/>
      <c r="M10" s="30"/>
    </row>
    <row r="11" spans="1:17" s="40" customFormat="1" ht="18" x14ac:dyDescent="0.2">
      <c r="A11" s="45"/>
      <c r="B11" s="45"/>
      <c r="C11" s="45"/>
      <c r="D11" s="45"/>
      <c r="E11" s="45"/>
      <c r="F11" s="45"/>
      <c r="G11" s="118"/>
      <c r="H11" s="118"/>
      <c r="I11" s="268"/>
      <c r="J11" s="268"/>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25" customHeight="1" x14ac:dyDescent="0.2">
      <c r="A14" s="322" t="s">
        <v>680</v>
      </c>
      <c r="B14" s="24"/>
      <c r="C14" s="324" t="s">
        <v>802</v>
      </c>
      <c r="D14" s="90">
        <v>8.3919999999999995</v>
      </c>
      <c r="E14" s="91">
        <v>1.0009999999999999</v>
      </c>
      <c r="F14" s="92">
        <v>8.2000000000000003E-2</v>
      </c>
      <c r="G14" s="317">
        <v>8.08</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25" customHeight="1" x14ac:dyDescent="0.2">
      <c r="A15" s="322" t="s">
        <v>543</v>
      </c>
      <c r="B15" s="24"/>
      <c r="C15" s="324" t="s">
        <v>2031</v>
      </c>
      <c r="D15" s="90">
        <v>8.3919999999999995</v>
      </c>
      <c r="E15" s="91">
        <v>1.0009999999999999</v>
      </c>
      <c r="F15" s="92">
        <v>8.2000000000000003E-2</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25" customHeight="1" x14ac:dyDescent="0.2">
      <c r="A16" s="322" t="s">
        <v>687</v>
      </c>
      <c r="B16" s="24"/>
      <c r="C16" s="324" t="s">
        <v>803</v>
      </c>
      <c r="D16" s="90">
        <v>8.125</v>
      </c>
      <c r="E16" s="91">
        <v>0.96899999999999997</v>
      </c>
      <c r="F16" s="92">
        <v>0.08</v>
      </c>
      <c r="G16" s="317">
        <v>7.98</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25" customHeight="1" x14ac:dyDescent="0.2">
      <c r="A17" s="322" t="s">
        <v>694</v>
      </c>
      <c r="B17" s="24"/>
      <c r="C17" s="324" t="s">
        <v>803</v>
      </c>
      <c r="D17" s="90">
        <v>8.125</v>
      </c>
      <c r="E17" s="91">
        <v>0.96899999999999997</v>
      </c>
      <c r="F17" s="92">
        <v>0.08</v>
      </c>
      <c r="G17" s="317">
        <v>10.14</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25" customHeight="1" x14ac:dyDescent="0.2">
      <c r="A18" s="322" t="s">
        <v>701</v>
      </c>
      <c r="B18" s="24"/>
      <c r="C18" s="324" t="s">
        <v>803</v>
      </c>
      <c r="D18" s="90">
        <v>8.125</v>
      </c>
      <c r="E18" s="91">
        <v>0.96899999999999997</v>
      </c>
      <c r="F18" s="92">
        <v>0.08</v>
      </c>
      <c r="G18" s="317">
        <v>16.14</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25" customHeight="1" x14ac:dyDescent="0.2">
      <c r="A19" s="322" t="s">
        <v>708</v>
      </c>
      <c r="B19" s="24"/>
      <c r="C19" s="324" t="s">
        <v>803</v>
      </c>
      <c r="D19" s="90">
        <v>8.125</v>
      </c>
      <c r="E19" s="91">
        <v>0.96899999999999997</v>
      </c>
      <c r="F19" s="92">
        <v>0.08</v>
      </c>
      <c r="G19" s="317">
        <v>25.88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25" customHeight="1" x14ac:dyDescent="0.2">
      <c r="A20" s="322" t="s">
        <v>715</v>
      </c>
      <c r="B20" s="24"/>
      <c r="C20" s="324" t="s">
        <v>803</v>
      </c>
      <c r="D20" s="90">
        <v>8.125</v>
      </c>
      <c r="E20" s="91">
        <v>0.96899999999999997</v>
      </c>
      <c r="F20" s="92">
        <v>0.08</v>
      </c>
      <c r="G20" s="317">
        <v>54.99</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25" customHeight="1" x14ac:dyDescent="0.2">
      <c r="A21" s="322" t="s">
        <v>481</v>
      </c>
      <c r="B21" s="24"/>
      <c r="C21" s="324" t="s">
        <v>2032</v>
      </c>
      <c r="D21" s="90">
        <v>8.125</v>
      </c>
      <c r="E21" s="91">
        <v>0.96899999999999997</v>
      </c>
      <c r="F21" s="92">
        <v>0.08</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25" customHeight="1" x14ac:dyDescent="0.2">
      <c r="A22" s="322" t="s">
        <v>544</v>
      </c>
      <c r="B22" s="18"/>
      <c r="C22" s="324">
        <v>0</v>
      </c>
      <c r="D22" s="90">
        <v>5.5049999999999999</v>
      </c>
      <c r="E22" s="91">
        <v>0.61499999999999999</v>
      </c>
      <c r="F22" s="92">
        <v>4.7E-2</v>
      </c>
      <c r="G22" s="317">
        <v>9.39</v>
      </c>
      <c r="H22" s="317">
        <v>5.18</v>
      </c>
      <c r="I22" s="320">
        <v>5.18</v>
      </c>
      <c r="J22" s="25">
        <v>0.16300000000000001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25" customHeight="1" x14ac:dyDescent="0.2">
      <c r="A23" s="322" t="s">
        <v>545</v>
      </c>
      <c r="B23" s="24"/>
      <c r="C23" s="324">
        <v>0</v>
      </c>
      <c r="D23" s="90">
        <v>5.5049999999999999</v>
      </c>
      <c r="E23" s="91">
        <v>0.61499999999999999</v>
      </c>
      <c r="F23" s="92">
        <v>4.7E-2</v>
      </c>
      <c r="G23" s="317">
        <v>91.88</v>
      </c>
      <c r="H23" s="317">
        <v>5.18</v>
      </c>
      <c r="I23" s="320">
        <v>5.18</v>
      </c>
      <c r="J23" s="25">
        <v>0.16300000000000001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25" customHeight="1" x14ac:dyDescent="0.2">
      <c r="A24" s="322" t="s">
        <v>546</v>
      </c>
      <c r="B24" s="18"/>
      <c r="C24" s="324">
        <v>0</v>
      </c>
      <c r="D24" s="90">
        <v>5.5049999999999999</v>
      </c>
      <c r="E24" s="91">
        <v>0.61499999999999999</v>
      </c>
      <c r="F24" s="92">
        <v>4.7E-2</v>
      </c>
      <c r="G24" s="317">
        <v>149.15</v>
      </c>
      <c r="H24" s="317">
        <v>5.18</v>
      </c>
      <c r="I24" s="320">
        <v>5.18</v>
      </c>
      <c r="J24" s="25">
        <v>0.16300000000000001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25" customHeight="1" x14ac:dyDescent="0.2">
      <c r="A25" s="322" t="s">
        <v>547</v>
      </c>
      <c r="B25" s="18"/>
      <c r="C25" s="324">
        <v>0</v>
      </c>
      <c r="D25" s="90">
        <v>5.5049999999999999</v>
      </c>
      <c r="E25" s="91">
        <v>0.61499999999999999</v>
      </c>
      <c r="F25" s="92">
        <v>4.7E-2</v>
      </c>
      <c r="G25" s="317">
        <v>234.3</v>
      </c>
      <c r="H25" s="317">
        <v>5.18</v>
      </c>
      <c r="I25" s="320">
        <v>5.18</v>
      </c>
      <c r="J25" s="25">
        <v>0.16300000000000001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25" customHeight="1" x14ac:dyDescent="0.2">
      <c r="A26" s="322" t="s">
        <v>548</v>
      </c>
      <c r="B26" s="18"/>
      <c r="C26" s="324">
        <v>0</v>
      </c>
      <c r="D26" s="90">
        <v>5.5049999999999999</v>
      </c>
      <c r="E26" s="91">
        <v>0.61499999999999999</v>
      </c>
      <c r="F26" s="92">
        <v>4.7E-2</v>
      </c>
      <c r="G26" s="317">
        <v>461.44</v>
      </c>
      <c r="H26" s="317">
        <v>5.18</v>
      </c>
      <c r="I26" s="320">
        <v>5.18</v>
      </c>
      <c r="J26" s="25">
        <v>0.16300000000000001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25" customHeight="1" x14ac:dyDescent="0.2">
      <c r="A27" s="322" t="s">
        <v>482</v>
      </c>
      <c r="B27" s="24"/>
      <c r="C27" s="325" t="s">
        <v>804</v>
      </c>
      <c r="D27" s="93">
        <v>26.076000000000001</v>
      </c>
      <c r="E27" s="94">
        <v>1.9470000000000001</v>
      </c>
      <c r="F27" s="92">
        <v>1.0900000000000001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25" customHeight="1" x14ac:dyDescent="0.2">
      <c r="A28" s="322" t="s">
        <v>511</v>
      </c>
      <c r="B28" s="24"/>
      <c r="C28" s="325">
        <v>0</v>
      </c>
      <c r="D28" s="90">
        <v>-8.0399999999999991</v>
      </c>
      <c r="E28" s="91">
        <v>-0.95899999999999996</v>
      </c>
      <c r="F28" s="92">
        <v>-7.9000000000000001E-2</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25" customHeight="1" x14ac:dyDescent="0.2">
      <c r="A29" s="322" t="s">
        <v>512</v>
      </c>
      <c r="B29" s="24"/>
      <c r="C29" s="325">
        <v>0</v>
      </c>
      <c r="D29" s="90">
        <v>-8.0399999999999991</v>
      </c>
      <c r="E29" s="91">
        <v>-0.95899999999999996</v>
      </c>
      <c r="F29" s="92">
        <v>-7.9000000000000001E-2</v>
      </c>
      <c r="G29" s="317" t="s">
        <v>797</v>
      </c>
      <c r="H29" s="318" t="s">
        <v>797</v>
      </c>
      <c r="I29" s="319" t="s">
        <v>797</v>
      </c>
      <c r="J29" s="25">
        <v>0.28000000000000003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25" customHeight="1" x14ac:dyDescent="0.2">
      <c r="A30" s="323" t="s">
        <v>681</v>
      </c>
      <c r="B30" s="24"/>
      <c r="C30" s="325" t="s">
        <v>802</v>
      </c>
      <c r="D30" s="90">
        <v>6.6379999999999999</v>
      </c>
      <c r="E30" s="91">
        <v>0.79200000000000004</v>
      </c>
      <c r="F30" s="92">
        <v>6.5000000000000002E-2</v>
      </c>
      <c r="G30" s="317">
        <v>6.39</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25" customHeight="1" x14ac:dyDescent="0.2">
      <c r="A31" s="323" t="s">
        <v>549</v>
      </c>
      <c r="B31" s="24"/>
      <c r="C31" s="325" t="s">
        <v>2031</v>
      </c>
      <c r="D31" s="90">
        <v>6.6379999999999999</v>
      </c>
      <c r="E31" s="91">
        <v>0.79200000000000004</v>
      </c>
      <c r="F31" s="92">
        <v>6.5000000000000002E-2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25" customHeight="1" x14ac:dyDescent="0.2">
      <c r="A32" s="323" t="s">
        <v>688</v>
      </c>
      <c r="B32" s="18"/>
      <c r="C32" s="325" t="s">
        <v>803</v>
      </c>
      <c r="D32" s="90">
        <v>6.4260000000000002</v>
      </c>
      <c r="E32" s="91">
        <v>0.76600000000000001</v>
      </c>
      <c r="F32" s="92">
        <v>6.3E-2</v>
      </c>
      <c r="G32" s="317">
        <v>6.31</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25" customHeight="1" x14ac:dyDescent="0.2">
      <c r="A33" s="323" t="s">
        <v>695</v>
      </c>
      <c r="B33" s="24"/>
      <c r="C33" s="325" t="s">
        <v>803</v>
      </c>
      <c r="D33" s="90">
        <v>6.4260000000000002</v>
      </c>
      <c r="E33" s="91">
        <v>0.76600000000000001</v>
      </c>
      <c r="F33" s="92">
        <v>6.3E-2</v>
      </c>
      <c r="G33" s="317">
        <v>8.02</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25" customHeight="1" x14ac:dyDescent="0.2">
      <c r="A34" s="323" t="s">
        <v>702</v>
      </c>
      <c r="B34" s="18"/>
      <c r="C34" s="325" t="s">
        <v>803</v>
      </c>
      <c r="D34" s="90">
        <v>6.4260000000000002</v>
      </c>
      <c r="E34" s="91">
        <v>0.76600000000000001</v>
      </c>
      <c r="F34" s="92">
        <v>6.3E-2</v>
      </c>
      <c r="G34" s="317">
        <v>12.76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25" customHeight="1" x14ac:dyDescent="0.2">
      <c r="A35" s="323" t="s">
        <v>709</v>
      </c>
      <c r="B35" s="18"/>
      <c r="C35" s="325" t="s">
        <v>803</v>
      </c>
      <c r="D35" s="90">
        <v>6.4260000000000002</v>
      </c>
      <c r="E35" s="91">
        <v>0.76600000000000001</v>
      </c>
      <c r="F35" s="92">
        <v>6.3E-2</v>
      </c>
      <c r="G35" s="317">
        <v>20.47</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25" customHeight="1" x14ac:dyDescent="0.2">
      <c r="A36" s="323" t="s">
        <v>716</v>
      </c>
      <c r="B36" s="18"/>
      <c r="C36" s="325" t="s">
        <v>803</v>
      </c>
      <c r="D36" s="90">
        <v>6.4260000000000002</v>
      </c>
      <c r="E36" s="91">
        <v>0.76600000000000001</v>
      </c>
      <c r="F36" s="92">
        <v>6.3E-2</v>
      </c>
      <c r="G36" s="317">
        <v>43.49</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25" customHeight="1" x14ac:dyDescent="0.2">
      <c r="A37" s="323" t="s">
        <v>483</v>
      </c>
      <c r="B37" s="24"/>
      <c r="C37" s="325" t="s">
        <v>2032</v>
      </c>
      <c r="D37" s="90">
        <v>6.4260000000000002</v>
      </c>
      <c r="E37" s="91">
        <v>0.76600000000000001</v>
      </c>
      <c r="F37" s="92">
        <v>6.3E-2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25" customHeight="1" x14ac:dyDescent="0.2">
      <c r="A38" s="323" t="s">
        <v>550</v>
      </c>
      <c r="B38" s="18"/>
      <c r="C38" s="325">
        <v>0</v>
      </c>
      <c r="D38" s="90">
        <v>4.3540000000000001</v>
      </c>
      <c r="E38" s="91">
        <v>0.48699999999999999</v>
      </c>
      <c r="F38" s="92">
        <v>3.7999999999999999E-2</v>
      </c>
      <c r="G38" s="317">
        <v>7.43</v>
      </c>
      <c r="H38" s="317">
        <v>4.0999999999999996</v>
      </c>
      <c r="I38" s="320">
        <v>4.0999999999999996</v>
      </c>
      <c r="J38" s="25">
        <v>0.129</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25" customHeight="1" x14ac:dyDescent="0.2">
      <c r="A39" s="323" t="s">
        <v>551</v>
      </c>
      <c r="B39" s="24"/>
      <c r="C39" s="325">
        <v>0</v>
      </c>
      <c r="D39" s="90">
        <v>4.3540000000000001</v>
      </c>
      <c r="E39" s="91">
        <v>0.48699999999999999</v>
      </c>
      <c r="F39" s="92">
        <v>3.7999999999999999E-2</v>
      </c>
      <c r="G39" s="317">
        <v>72.67</v>
      </c>
      <c r="H39" s="317">
        <v>4.0999999999999996</v>
      </c>
      <c r="I39" s="320">
        <v>4.0999999999999996</v>
      </c>
      <c r="J39" s="25">
        <v>0.129</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25" customHeight="1" x14ac:dyDescent="0.2">
      <c r="A40" s="323" t="s">
        <v>552</v>
      </c>
      <c r="B40" s="18"/>
      <c r="C40" s="325">
        <v>0</v>
      </c>
      <c r="D40" s="90">
        <v>4.3540000000000001</v>
      </c>
      <c r="E40" s="91">
        <v>0.48699999999999999</v>
      </c>
      <c r="F40" s="92">
        <v>3.7999999999999999E-2</v>
      </c>
      <c r="G40" s="317">
        <v>117.96</v>
      </c>
      <c r="H40" s="317">
        <v>4.0999999999999996</v>
      </c>
      <c r="I40" s="320">
        <v>4.0999999999999996</v>
      </c>
      <c r="J40" s="25">
        <v>0.129</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25" customHeight="1" x14ac:dyDescent="0.2">
      <c r="A41" s="323" t="s">
        <v>553</v>
      </c>
      <c r="B41" s="18"/>
      <c r="C41" s="325">
        <v>0</v>
      </c>
      <c r="D41" s="90">
        <v>4.3540000000000001</v>
      </c>
      <c r="E41" s="91">
        <v>0.48699999999999999</v>
      </c>
      <c r="F41" s="92">
        <v>3.7999999999999999E-2</v>
      </c>
      <c r="G41" s="317">
        <v>185.31</v>
      </c>
      <c r="H41" s="317">
        <v>4.0999999999999996</v>
      </c>
      <c r="I41" s="320">
        <v>4.0999999999999996</v>
      </c>
      <c r="J41" s="25">
        <v>0.129</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25" customHeight="1" x14ac:dyDescent="0.2">
      <c r="A42" s="323" t="s">
        <v>554</v>
      </c>
      <c r="B42" s="18"/>
      <c r="C42" s="325">
        <v>0</v>
      </c>
      <c r="D42" s="90">
        <v>4.3540000000000001</v>
      </c>
      <c r="E42" s="91">
        <v>0.48699999999999999</v>
      </c>
      <c r="F42" s="92">
        <v>3.7999999999999999E-2</v>
      </c>
      <c r="G42" s="317">
        <v>364.96</v>
      </c>
      <c r="H42" s="317">
        <v>4.0999999999999996</v>
      </c>
      <c r="I42" s="320">
        <v>4.0999999999999996</v>
      </c>
      <c r="J42" s="25">
        <v>0.129</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25" customHeight="1" x14ac:dyDescent="0.2">
      <c r="A43" s="323" t="s">
        <v>555</v>
      </c>
      <c r="B43" s="18"/>
      <c r="C43" s="325">
        <v>0</v>
      </c>
      <c r="D43" s="90">
        <v>4.4409999999999998</v>
      </c>
      <c r="E43" s="91">
        <v>0.42199999999999999</v>
      </c>
      <c r="F43" s="92">
        <v>2.5999999999999999E-2</v>
      </c>
      <c r="G43" s="317">
        <v>8.98</v>
      </c>
      <c r="H43" s="317">
        <v>6.15</v>
      </c>
      <c r="I43" s="320">
        <v>6.15</v>
      </c>
      <c r="J43" s="25">
        <v>0.125</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25" customHeight="1" x14ac:dyDescent="0.2">
      <c r="A44" s="323" t="s">
        <v>556</v>
      </c>
      <c r="B44" s="24"/>
      <c r="C44" s="325">
        <v>0</v>
      </c>
      <c r="D44" s="90">
        <v>4.4409999999999998</v>
      </c>
      <c r="E44" s="91">
        <v>0.42199999999999999</v>
      </c>
      <c r="F44" s="92">
        <v>2.5999999999999999E-2</v>
      </c>
      <c r="G44" s="317">
        <v>110.09</v>
      </c>
      <c r="H44" s="317">
        <v>6.15</v>
      </c>
      <c r="I44" s="320">
        <v>6.15</v>
      </c>
      <c r="J44" s="25">
        <v>0.125</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25" customHeight="1" x14ac:dyDescent="0.2">
      <c r="A45" s="323" t="s">
        <v>557</v>
      </c>
      <c r="B45" s="18"/>
      <c r="C45" s="325">
        <v>0</v>
      </c>
      <c r="D45" s="90">
        <v>4.4409999999999998</v>
      </c>
      <c r="E45" s="91">
        <v>0.42199999999999999</v>
      </c>
      <c r="F45" s="92">
        <v>2.5999999999999999E-2</v>
      </c>
      <c r="G45" s="317">
        <v>180.28</v>
      </c>
      <c r="H45" s="317">
        <v>6.15</v>
      </c>
      <c r="I45" s="320">
        <v>6.15</v>
      </c>
      <c r="J45" s="25">
        <v>0.125</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25" customHeight="1" x14ac:dyDescent="0.2">
      <c r="A46" s="323" t="s">
        <v>558</v>
      </c>
      <c r="B46" s="18"/>
      <c r="C46" s="325">
        <v>0</v>
      </c>
      <c r="D46" s="90">
        <v>4.4409999999999998</v>
      </c>
      <c r="E46" s="91">
        <v>0.42199999999999999</v>
      </c>
      <c r="F46" s="92">
        <v>2.5999999999999999E-2</v>
      </c>
      <c r="G46" s="317">
        <v>284.64</v>
      </c>
      <c r="H46" s="317">
        <v>6.15</v>
      </c>
      <c r="I46" s="320">
        <v>6.15</v>
      </c>
      <c r="J46" s="25">
        <v>0.125</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25" customHeight="1" x14ac:dyDescent="0.2">
      <c r="A47" s="323" t="s">
        <v>559</v>
      </c>
      <c r="B47" s="18"/>
      <c r="C47" s="325">
        <v>0</v>
      </c>
      <c r="D47" s="90">
        <v>4.4409999999999998</v>
      </c>
      <c r="E47" s="91">
        <v>0.42199999999999999</v>
      </c>
      <c r="F47" s="92">
        <v>2.5999999999999999E-2</v>
      </c>
      <c r="G47" s="317">
        <v>563.04</v>
      </c>
      <c r="H47" s="317">
        <v>6.15</v>
      </c>
      <c r="I47" s="320">
        <v>6.15</v>
      </c>
      <c r="J47" s="25">
        <v>0.125</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25" customHeight="1" x14ac:dyDescent="0.2">
      <c r="A48" s="323" t="s">
        <v>560</v>
      </c>
      <c r="B48" s="18"/>
      <c r="C48" s="325">
        <v>0</v>
      </c>
      <c r="D48" s="90">
        <v>2.8650000000000002</v>
      </c>
      <c r="E48" s="91">
        <v>0.214</v>
      </c>
      <c r="F48" s="92">
        <v>8.0000000000000002E-3</v>
      </c>
      <c r="G48" s="317">
        <v>94.32</v>
      </c>
      <c r="H48" s="317">
        <v>8.09</v>
      </c>
      <c r="I48" s="320">
        <v>8.09</v>
      </c>
      <c r="J48" s="25">
        <v>7.0999999999999994E-2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25" customHeight="1" x14ac:dyDescent="0.2">
      <c r="A49" s="323" t="s">
        <v>561</v>
      </c>
      <c r="B49" s="18"/>
      <c r="C49" s="325">
        <v>0</v>
      </c>
      <c r="D49" s="90">
        <v>2.8650000000000002</v>
      </c>
      <c r="E49" s="91">
        <v>0.214</v>
      </c>
      <c r="F49" s="92">
        <v>8.0000000000000002E-3</v>
      </c>
      <c r="G49" s="317">
        <v>873.34</v>
      </c>
      <c r="H49" s="317">
        <v>8.09</v>
      </c>
      <c r="I49" s="320">
        <v>8.09</v>
      </c>
      <c r="J49" s="25">
        <v>7.0999999999999994E-2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25" customHeight="1" x14ac:dyDescent="0.2">
      <c r="A50" s="323" t="s">
        <v>562</v>
      </c>
      <c r="B50" s="24"/>
      <c r="C50" s="325">
        <v>0</v>
      </c>
      <c r="D50" s="90">
        <v>2.8650000000000002</v>
      </c>
      <c r="E50" s="91">
        <v>0.214</v>
      </c>
      <c r="F50" s="92">
        <v>8.0000000000000002E-3</v>
      </c>
      <c r="G50" s="317">
        <v>2370.4499999999998</v>
      </c>
      <c r="H50" s="317">
        <v>8.09</v>
      </c>
      <c r="I50" s="320">
        <v>8.09</v>
      </c>
      <c r="J50" s="25">
        <v>7.0999999999999994E-2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25" customHeight="1" x14ac:dyDescent="0.2">
      <c r="A51" s="323" t="s">
        <v>563</v>
      </c>
      <c r="B51" s="18"/>
      <c r="C51" s="325">
        <v>0</v>
      </c>
      <c r="D51" s="90">
        <v>2.8650000000000002</v>
      </c>
      <c r="E51" s="91">
        <v>0.214</v>
      </c>
      <c r="F51" s="92">
        <v>8.0000000000000002E-3</v>
      </c>
      <c r="G51" s="317">
        <v>4309.7700000000004</v>
      </c>
      <c r="H51" s="317">
        <v>8.09</v>
      </c>
      <c r="I51" s="320">
        <v>8.09</v>
      </c>
      <c r="J51" s="25">
        <v>7.0999999999999994E-2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25" customHeight="1" x14ac:dyDescent="0.2">
      <c r="A52" s="323" t="s">
        <v>564</v>
      </c>
      <c r="B52" s="18"/>
      <c r="C52" s="325">
        <v>0</v>
      </c>
      <c r="D52" s="90">
        <v>2.8650000000000002</v>
      </c>
      <c r="E52" s="91">
        <v>0.214</v>
      </c>
      <c r="F52" s="92">
        <v>8.0000000000000002E-3</v>
      </c>
      <c r="G52" s="317">
        <v>10806.97</v>
      </c>
      <c r="H52" s="317">
        <v>8.09</v>
      </c>
      <c r="I52" s="320">
        <v>8.09</v>
      </c>
      <c r="J52" s="25">
        <v>7.0999999999999994E-2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25" customHeight="1" x14ac:dyDescent="0.2">
      <c r="A53" s="323" t="s">
        <v>484</v>
      </c>
      <c r="B53" s="24"/>
      <c r="C53" s="325" t="s">
        <v>804</v>
      </c>
      <c r="D53" s="93">
        <v>20.623999999999999</v>
      </c>
      <c r="E53" s="94">
        <v>1.54</v>
      </c>
      <c r="F53" s="92">
        <v>0.86199999999999999</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25" customHeight="1" x14ac:dyDescent="0.2">
      <c r="A54" s="323" t="s">
        <v>513</v>
      </c>
      <c r="B54" s="24"/>
      <c r="C54" s="325">
        <v>0</v>
      </c>
      <c r="D54" s="90">
        <v>-8.0399999999999991</v>
      </c>
      <c r="E54" s="91">
        <v>-0.95899999999999996</v>
      </c>
      <c r="F54" s="92">
        <v>-7.9000000000000001E-2</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25" customHeight="1" x14ac:dyDescent="0.2">
      <c r="A55" s="323" t="s">
        <v>514</v>
      </c>
      <c r="B55" s="321"/>
      <c r="C55" s="325">
        <v>0</v>
      </c>
      <c r="D55" s="90">
        <v>-6.7160000000000002</v>
      </c>
      <c r="E55" s="91">
        <v>-0.76900000000000002</v>
      </c>
      <c r="F55" s="92">
        <v>-6.0999999999999999E-2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25" customHeight="1" x14ac:dyDescent="0.2">
      <c r="A56" s="323" t="s">
        <v>515</v>
      </c>
      <c r="B56" s="24"/>
      <c r="C56" s="325">
        <v>0</v>
      </c>
      <c r="D56" s="90">
        <v>-8.0399999999999991</v>
      </c>
      <c r="E56" s="91">
        <v>-0.95899999999999996</v>
      </c>
      <c r="F56" s="92">
        <v>-7.9000000000000001E-2</v>
      </c>
      <c r="G56" s="317" t="s">
        <v>797</v>
      </c>
      <c r="H56" s="318" t="s">
        <v>797</v>
      </c>
      <c r="I56" s="319" t="s">
        <v>797</v>
      </c>
      <c r="J56" s="25">
        <v>0.28000000000000003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25" customHeight="1" x14ac:dyDescent="0.2">
      <c r="A57" s="323" t="s">
        <v>516</v>
      </c>
      <c r="B57" s="24"/>
      <c r="C57" s="325">
        <v>0</v>
      </c>
      <c r="D57" s="90">
        <v>-6.7160000000000002</v>
      </c>
      <c r="E57" s="91">
        <v>-0.76900000000000002</v>
      </c>
      <c r="F57" s="92">
        <v>-6.0999999999999999E-2</v>
      </c>
      <c r="G57" s="317" t="s">
        <v>797</v>
      </c>
      <c r="H57" s="318" t="s">
        <v>797</v>
      </c>
      <c r="I57" s="319" t="s">
        <v>797</v>
      </c>
      <c r="J57" s="25">
        <v>0.20899999999999999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25" customHeight="1" x14ac:dyDescent="0.2">
      <c r="A58" s="323" t="s">
        <v>517</v>
      </c>
      <c r="B58" s="24"/>
      <c r="C58" s="325">
        <v>0</v>
      </c>
      <c r="D58" s="90">
        <v>-4.1890000000000001</v>
      </c>
      <c r="E58" s="91">
        <v>-0.39800000000000002</v>
      </c>
      <c r="F58" s="92">
        <v>-2.5000000000000001E-2</v>
      </c>
      <c r="G58" s="317" t="s">
        <v>797</v>
      </c>
      <c r="H58" s="318" t="s">
        <v>797</v>
      </c>
      <c r="I58" s="319" t="s">
        <v>797</v>
      </c>
      <c r="J58" s="25">
        <v>0.17299999999999999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25" customHeight="1" x14ac:dyDescent="0.2">
      <c r="A59" s="322" t="s">
        <v>682</v>
      </c>
      <c r="B59" s="24"/>
      <c r="C59" s="325" t="s">
        <v>802</v>
      </c>
      <c r="D59" s="90">
        <v>5.23</v>
      </c>
      <c r="E59" s="91">
        <v>0.624</v>
      </c>
      <c r="F59" s="92">
        <v>5.0999999999999997E-2</v>
      </c>
      <c r="G59" s="317">
        <v>5.03</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25" customHeight="1" x14ac:dyDescent="0.2">
      <c r="A60" s="322" t="s">
        <v>565</v>
      </c>
      <c r="B60" s="24"/>
      <c r="C60" s="325" t="s">
        <v>2031</v>
      </c>
      <c r="D60" s="90">
        <v>5.23</v>
      </c>
      <c r="E60" s="91">
        <v>0.624</v>
      </c>
      <c r="F60" s="92">
        <v>5.0999999999999997E-2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25" customHeight="1" x14ac:dyDescent="0.2">
      <c r="A61" s="322" t="s">
        <v>689</v>
      </c>
      <c r="B61" s="18"/>
      <c r="C61" s="325" t="s">
        <v>803</v>
      </c>
      <c r="D61" s="90">
        <v>5.0640000000000001</v>
      </c>
      <c r="E61" s="91">
        <v>0.60399999999999998</v>
      </c>
      <c r="F61" s="92">
        <v>0.05</v>
      </c>
      <c r="G61" s="317">
        <v>4.97</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25" customHeight="1" x14ac:dyDescent="0.2">
      <c r="A62" s="322" t="s">
        <v>696</v>
      </c>
      <c r="B62" s="24"/>
      <c r="C62" s="325" t="s">
        <v>803</v>
      </c>
      <c r="D62" s="90">
        <v>5.0640000000000001</v>
      </c>
      <c r="E62" s="91">
        <v>0.60399999999999998</v>
      </c>
      <c r="F62" s="92">
        <v>0.05</v>
      </c>
      <c r="G62" s="317">
        <v>6.32</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25" customHeight="1" x14ac:dyDescent="0.2">
      <c r="A63" s="322" t="s">
        <v>703</v>
      </c>
      <c r="B63" s="18"/>
      <c r="C63" s="325" t="s">
        <v>803</v>
      </c>
      <c r="D63" s="90">
        <v>5.0640000000000001</v>
      </c>
      <c r="E63" s="91">
        <v>0.60399999999999998</v>
      </c>
      <c r="F63" s="92">
        <v>0.05</v>
      </c>
      <c r="G63" s="317">
        <v>10.06</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25" customHeight="1" x14ac:dyDescent="0.2">
      <c r="A64" s="322" t="s">
        <v>710</v>
      </c>
      <c r="B64" s="18"/>
      <c r="C64" s="325" t="s">
        <v>803</v>
      </c>
      <c r="D64" s="90">
        <v>5.0640000000000001</v>
      </c>
      <c r="E64" s="91">
        <v>0.60399999999999998</v>
      </c>
      <c r="F64" s="92">
        <v>0.05</v>
      </c>
      <c r="G64" s="317">
        <v>16.13</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25" customHeight="1" x14ac:dyDescent="0.2">
      <c r="A65" s="322" t="s">
        <v>717</v>
      </c>
      <c r="B65" s="18"/>
      <c r="C65" s="325" t="s">
        <v>803</v>
      </c>
      <c r="D65" s="90">
        <v>5.0640000000000001</v>
      </c>
      <c r="E65" s="91">
        <v>0.60399999999999998</v>
      </c>
      <c r="F65" s="92">
        <v>0.05</v>
      </c>
      <c r="G65" s="317">
        <v>34.270000000000003</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25" customHeight="1" x14ac:dyDescent="0.2">
      <c r="A66" s="322" t="s">
        <v>485</v>
      </c>
      <c r="B66" s="24"/>
      <c r="C66" s="325" t="s">
        <v>2032</v>
      </c>
      <c r="D66" s="90">
        <v>5.0640000000000001</v>
      </c>
      <c r="E66" s="91">
        <v>0.60399999999999998</v>
      </c>
      <c r="F66" s="92">
        <v>0.05</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25" customHeight="1" x14ac:dyDescent="0.2">
      <c r="A67" s="322" t="s">
        <v>566</v>
      </c>
      <c r="B67" s="18"/>
      <c r="C67" s="325">
        <v>0</v>
      </c>
      <c r="D67" s="90">
        <v>3.431</v>
      </c>
      <c r="E67" s="91">
        <v>0.38400000000000001</v>
      </c>
      <c r="F67" s="92">
        <v>0.03</v>
      </c>
      <c r="G67" s="317">
        <v>5.85</v>
      </c>
      <c r="H67" s="317">
        <v>3.23</v>
      </c>
      <c r="I67" s="320">
        <v>3.23</v>
      </c>
      <c r="J67" s="25">
        <v>0.10100000000000001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25" customHeight="1" x14ac:dyDescent="0.2">
      <c r="A68" s="322" t="s">
        <v>567</v>
      </c>
      <c r="B68" s="24"/>
      <c r="C68" s="325">
        <v>0</v>
      </c>
      <c r="D68" s="90">
        <v>3.431</v>
      </c>
      <c r="E68" s="91">
        <v>0.38400000000000001</v>
      </c>
      <c r="F68" s="92">
        <v>0.03</v>
      </c>
      <c r="G68" s="317">
        <v>57.26</v>
      </c>
      <c r="H68" s="317">
        <v>3.23</v>
      </c>
      <c r="I68" s="320">
        <v>3.23</v>
      </c>
      <c r="J68" s="25">
        <v>0.10100000000000001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25" customHeight="1" x14ac:dyDescent="0.2">
      <c r="A69" s="322" t="s">
        <v>568</v>
      </c>
      <c r="B69" s="18"/>
      <c r="C69" s="325">
        <v>0</v>
      </c>
      <c r="D69" s="90">
        <v>3.431</v>
      </c>
      <c r="E69" s="91">
        <v>0.38400000000000001</v>
      </c>
      <c r="F69" s="92">
        <v>0.03</v>
      </c>
      <c r="G69" s="317">
        <v>92.96</v>
      </c>
      <c r="H69" s="317">
        <v>3.23</v>
      </c>
      <c r="I69" s="320">
        <v>3.23</v>
      </c>
      <c r="J69" s="25">
        <v>0.10100000000000001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25" customHeight="1" x14ac:dyDescent="0.2">
      <c r="A70" s="322" t="s">
        <v>569</v>
      </c>
      <c r="B70" s="18"/>
      <c r="C70" s="325">
        <v>0</v>
      </c>
      <c r="D70" s="90">
        <v>3.431</v>
      </c>
      <c r="E70" s="91">
        <v>0.38400000000000001</v>
      </c>
      <c r="F70" s="92">
        <v>0.03</v>
      </c>
      <c r="G70" s="317">
        <v>146.02000000000001</v>
      </c>
      <c r="H70" s="317">
        <v>3.23</v>
      </c>
      <c r="I70" s="320">
        <v>3.23</v>
      </c>
      <c r="J70" s="25">
        <v>0.10100000000000001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25" customHeight="1" x14ac:dyDescent="0.2">
      <c r="A71" s="322" t="s">
        <v>570</v>
      </c>
      <c r="B71" s="18"/>
      <c r="C71" s="325">
        <v>0</v>
      </c>
      <c r="D71" s="90">
        <v>3.431</v>
      </c>
      <c r="E71" s="91">
        <v>0.38400000000000001</v>
      </c>
      <c r="F71" s="92">
        <v>0.03</v>
      </c>
      <c r="G71" s="317">
        <v>287.58999999999997</v>
      </c>
      <c r="H71" s="317">
        <v>3.23</v>
      </c>
      <c r="I71" s="320">
        <v>3.23</v>
      </c>
      <c r="J71" s="25">
        <v>0.10100000000000001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25" customHeight="1" x14ac:dyDescent="0.2">
      <c r="A72" s="322" t="s">
        <v>571</v>
      </c>
      <c r="B72" s="18"/>
      <c r="C72" s="325">
        <v>0</v>
      </c>
      <c r="D72" s="90">
        <v>3.4060000000000001</v>
      </c>
      <c r="E72" s="91">
        <v>0.32400000000000001</v>
      </c>
      <c r="F72" s="92">
        <v>0.02</v>
      </c>
      <c r="G72" s="317">
        <v>6.89</v>
      </c>
      <c r="H72" s="317">
        <v>4.71</v>
      </c>
      <c r="I72" s="320">
        <v>4.71</v>
      </c>
      <c r="J72" s="25">
        <v>9.6000000000000002E-2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25" customHeight="1" x14ac:dyDescent="0.2">
      <c r="A73" s="322" t="s">
        <v>572</v>
      </c>
      <c r="B73" s="24"/>
      <c r="C73" s="325">
        <v>0</v>
      </c>
      <c r="D73" s="90">
        <v>3.4060000000000001</v>
      </c>
      <c r="E73" s="91">
        <v>0.32400000000000001</v>
      </c>
      <c r="F73" s="92">
        <v>0.02</v>
      </c>
      <c r="G73" s="317">
        <v>84.43</v>
      </c>
      <c r="H73" s="317">
        <v>4.71</v>
      </c>
      <c r="I73" s="320">
        <v>4.71</v>
      </c>
      <c r="J73" s="25">
        <v>9.6000000000000002E-2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25" customHeight="1" x14ac:dyDescent="0.2">
      <c r="A74" s="322" t="s">
        <v>573</v>
      </c>
      <c r="B74" s="18"/>
      <c r="C74" s="325">
        <v>0</v>
      </c>
      <c r="D74" s="90">
        <v>3.4060000000000001</v>
      </c>
      <c r="E74" s="91">
        <v>0.32400000000000001</v>
      </c>
      <c r="F74" s="92">
        <v>0.02</v>
      </c>
      <c r="G74" s="317">
        <v>138.26</v>
      </c>
      <c r="H74" s="317">
        <v>4.71</v>
      </c>
      <c r="I74" s="320">
        <v>4.71</v>
      </c>
      <c r="J74" s="25">
        <v>9.6000000000000002E-2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25" customHeight="1" x14ac:dyDescent="0.2">
      <c r="A75" s="322" t="s">
        <v>574</v>
      </c>
      <c r="B75" s="18"/>
      <c r="C75" s="325">
        <v>0</v>
      </c>
      <c r="D75" s="90">
        <v>3.4060000000000001</v>
      </c>
      <c r="E75" s="91">
        <v>0.32400000000000001</v>
      </c>
      <c r="F75" s="92">
        <v>0.02</v>
      </c>
      <c r="G75" s="317">
        <v>218.3</v>
      </c>
      <c r="H75" s="317">
        <v>4.71</v>
      </c>
      <c r="I75" s="320">
        <v>4.71</v>
      </c>
      <c r="J75" s="25">
        <v>9.6000000000000002E-2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25" customHeight="1" x14ac:dyDescent="0.2">
      <c r="A76" s="322" t="s">
        <v>575</v>
      </c>
      <c r="B76" s="18"/>
      <c r="C76" s="325">
        <v>0</v>
      </c>
      <c r="D76" s="90">
        <v>3.4060000000000001</v>
      </c>
      <c r="E76" s="91">
        <v>0.32400000000000001</v>
      </c>
      <c r="F76" s="92">
        <v>0.02</v>
      </c>
      <c r="G76" s="317">
        <v>431.81</v>
      </c>
      <c r="H76" s="317">
        <v>4.71</v>
      </c>
      <c r="I76" s="320">
        <v>4.71</v>
      </c>
      <c r="J76" s="25">
        <v>9.6000000000000002E-2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25" customHeight="1" x14ac:dyDescent="0.2">
      <c r="A77" s="322" t="s">
        <v>576</v>
      </c>
      <c r="B77" s="18"/>
      <c r="C77" s="325">
        <v>0</v>
      </c>
      <c r="D77" s="90">
        <v>2.1669999999999998</v>
      </c>
      <c r="E77" s="91">
        <v>0.16200000000000001</v>
      </c>
      <c r="F77" s="92">
        <v>6.0000000000000001E-3</v>
      </c>
      <c r="G77" s="317">
        <v>71.34</v>
      </c>
      <c r="H77" s="317">
        <v>6.12</v>
      </c>
      <c r="I77" s="320">
        <v>6.12</v>
      </c>
      <c r="J77" s="25">
        <v>5.3999999999999999E-2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25" customHeight="1" x14ac:dyDescent="0.2">
      <c r="A78" s="322" t="s">
        <v>577</v>
      </c>
      <c r="B78" s="24"/>
      <c r="C78" s="325">
        <v>0</v>
      </c>
      <c r="D78" s="90">
        <v>2.1669999999999998</v>
      </c>
      <c r="E78" s="91">
        <v>0.16200000000000001</v>
      </c>
      <c r="F78" s="92">
        <v>6.0000000000000001E-3</v>
      </c>
      <c r="G78" s="317">
        <v>660.56</v>
      </c>
      <c r="H78" s="317">
        <v>6.12</v>
      </c>
      <c r="I78" s="320">
        <v>6.12</v>
      </c>
      <c r="J78" s="25">
        <v>5.3999999999999999E-2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25" customHeight="1" x14ac:dyDescent="0.2">
      <c r="A79" s="322" t="s">
        <v>578</v>
      </c>
      <c r="B79" s="18"/>
      <c r="C79" s="325">
        <v>0</v>
      </c>
      <c r="D79" s="90">
        <v>2.1669999999999998</v>
      </c>
      <c r="E79" s="91">
        <v>0.16200000000000001</v>
      </c>
      <c r="F79" s="92">
        <v>6.0000000000000001E-3</v>
      </c>
      <c r="G79" s="317">
        <v>1792.92</v>
      </c>
      <c r="H79" s="317">
        <v>6.12</v>
      </c>
      <c r="I79" s="320">
        <v>6.12</v>
      </c>
      <c r="J79" s="25">
        <v>5.3999999999999999E-2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25" customHeight="1" x14ac:dyDescent="0.2">
      <c r="A80" s="322" t="s">
        <v>579</v>
      </c>
      <c r="B80" s="18"/>
      <c r="C80" s="325">
        <v>0</v>
      </c>
      <c r="D80" s="90">
        <v>2.1669999999999998</v>
      </c>
      <c r="E80" s="91">
        <v>0.16200000000000001</v>
      </c>
      <c r="F80" s="92">
        <v>6.0000000000000001E-3</v>
      </c>
      <c r="G80" s="317">
        <v>3259.75</v>
      </c>
      <c r="H80" s="317">
        <v>6.12</v>
      </c>
      <c r="I80" s="320">
        <v>6.12</v>
      </c>
      <c r="J80" s="25">
        <v>5.3999999999999999E-2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25" customHeight="1" x14ac:dyDescent="0.2">
      <c r="A81" s="322" t="s">
        <v>580</v>
      </c>
      <c r="B81" s="18"/>
      <c r="C81" s="325">
        <v>0</v>
      </c>
      <c r="D81" s="90">
        <v>2.1669999999999998</v>
      </c>
      <c r="E81" s="91">
        <v>0.16200000000000001</v>
      </c>
      <c r="F81" s="92">
        <v>6.0000000000000001E-3</v>
      </c>
      <c r="G81" s="317">
        <v>8174</v>
      </c>
      <c r="H81" s="317">
        <v>6.12</v>
      </c>
      <c r="I81" s="320">
        <v>6.12</v>
      </c>
      <c r="J81" s="25">
        <v>5.3999999999999999E-2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25" customHeight="1" x14ac:dyDescent="0.2">
      <c r="A82" s="322" t="s">
        <v>486</v>
      </c>
      <c r="B82" s="24"/>
      <c r="C82" s="325" t="s">
        <v>804</v>
      </c>
      <c r="D82" s="93">
        <v>16.251999999999999</v>
      </c>
      <c r="E82" s="94">
        <v>1.214</v>
      </c>
      <c r="F82" s="92">
        <v>0.67900000000000005</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25" customHeight="1" x14ac:dyDescent="0.2">
      <c r="A83" s="322" t="s">
        <v>518</v>
      </c>
      <c r="B83" s="24"/>
      <c r="C83" s="325">
        <v>0</v>
      </c>
      <c r="D83" s="90">
        <v>-4.9720000000000004</v>
      </c>
      <c r="E83" s="91">
        <v>-0.59299999999999997</v>
      </c>
      <c r="F83" s="92">
        <v>-4.9000000000000002E-2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25" customHeight="1" x14ac:dyDescent="0.2">
      <c r="A84" s="322" t="s">
        <v>519</v>
      </c>
      <c r="B84" s="321"/>
      <c r="C84" s="325">
        <v>0</v>
      </c>
      <c r="D84" s="90">
        <v>-4.6580000000000004</v>
      </c>
      <c r="E84" s="91">
        <v>-0.53300000000000003</v>
      </c>
      <c r="F84" s="92">
        <v>-4.2000000000000003E-2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25" customHeight="1" x14ac:dyDescent="0.2">
      <c r="A85" s="322" t="s">
        <v>520</v>
      </c>
      <c r="B85" s="24"/>
      <c r="C85" s="325">
        <v>0</v>
      </c>
      <c r="D85" s="90">
        <v>-4.9720000000000004</v>
      </c>
      <c r="E85" s="91">
        <v>-0.59299999999999997</v>
      </c>
      <c r="F85" s="92">
        <v>-4.9000000000000002E-2</v>
      </c>
      <c r="G85" s="317" t="s">
        <v>797</v>
      </c>
      <c r="H85" s="318" t="s">
        <v>797</v>
      </c>
      <c r="I85" s="319" t="s">
        <v>797</v>
      </c>
      <c r="J85" s="25">
        <v>0.17299999999999999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25" customHeight="1" x14ac:dyDescent="0.2">
      <c r="A86" s="322" t="s">
        <v>521</v>
      </c>
      <c r="B86" s="24"/>
      <c r="C86" s="325">
        <v>0</v>
      </c>
      <c r="D86" s="90">
        <v>-4.6580000000000004</v>
      </c>
      <c r="E86" s="91">
        <v>-0.53300000000000003</v>
      </c>
      <c r="F86" s="92">
        <v>-4.2000000000000003E-2</v>
      </c>
      <c r="G86" s="317" t="s">
        <v>797</v>
      </c>
      <c r="H86" s="318" t="s">
        <v>797</v>
      </c>
      <c r="I86" s="319" t="s">
        <v>797</v>
      </c>
      <c r="J86" s="25">
        <v>0.14499999999999999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25" customHeight="1" x14ac:dyDescent="0.2">
      <c r="A87" s="322" t="s">
        <v>522</v>
      </c>
      <c r="B87" s="24"/>
      <c r="C87" s="325">
        <v>0</v>
      </c>
      <c r="D87" s="90">
        <v>-4.1890000000000001</v>
      </c>
      <c r="E87" s="91">
        <v>-0.39800000000000002</v>
      </c>
      <c r="F87" s="92">
        <v>-2.5000000000000001E-2</v>
      </c>
      <c r="G87" s="317">
        <v>64.37</v>
      </c>
      <c r="H87" s="318" t="s">
        <v>797</v>
      </c>
      <c r="I87" s="319" t="s">
        <v>797</v>
      </c>
      <c r="J87" s="25">
        <v>0.17299999999999999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25" customHeight="1" x14ac:dyDescent="0.2">
      <c r="A88" s="322" t="s">
        <v>683</v>
      </c>
      <c r="B88" s="24"/>
      <c r="C88" s="325" t="s">
        <v>802</v>
      </c>
      <c r="D88" s="90">
        <v>4.5439999999999996</v>
      </c>
      <c r="E88" s="91">
        <v>0.54200000000000004</v>
      </c>
      <c r="F88" s="92">
        <v>4.4999999999999998E-2</v>
      </c>
      <c r="G88" s="317">
        <v>4.37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25" customHeight="1" x14ac:dyDescent="0.2">
      <c r="A89" s="322" t="s">
        <v>581</v>
      </c>
      <c r="B89" s="24"/>
      <c r="C89" s="325" t="s">
        <v>2031</v>
      </c>
      <c r="D89" s="90">
        <v>4.5439999999999996</v>
      </c>
      <c r="E89" s="91">
        <v>0.54200000000000004</v>
      </c>
      <c r="F89" s="92">
        <v>4.4999999999999998E-2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25" customHeight="1" x14ac:dyDescent="0.2">
      <c r="A90" s="322" t="s">
        <v>690</v>
      </c>
      <c r="B90" s="18"/>
      <c r="C90" s="325" t="s">
        <v>803</v>
      </c>
      <c r="D90" s="90">
        <v>4.399</v>
      </c>
      <c r="E90" s="91">
        <v>0.52500000000000002</v>
      </c>
      <c r="F90" s="92">
        <v>4.2999999999999997E-2</v>
      </c>
      <c r="G90" s="317">
        <v>4.32</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25" customHeight="1" x14ac:dyDescent="0.2">
      <c r="A91" s="322" t="s">
        <v>697</v>
      </c>
      <c r="B91" s="24"/>
      <c r="C91" s="325" t="s">
        <v>803</v>
      </c>
      <c r="D91" s="90">
        <v>4.399</v>
      </c>
      <c r="E91" s="91">
        <v>0.52500000000000002</v>
      </c>
      <c r="F91" s="92">
        <v>4.2999999999999997E-2</v>
      </c>
      <c r="G91" s="317">
        <v>5.49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25" customHeight="1" x14ac:dyDescent="0.2">
      <c r="A92" s="322" t="s">
        <v>704</v>
      </c>
      <c r="B92" s="18"/>
      <c r="C92" s="325" t="s">
        <v>803</v>
      </c>
      <c r="D92" s="90">
        <v>4.399</v>
      </c>
      <c r="E92" s="91">
        <v>0.52500000000000002</v>
      </c>
      <c r="F92" s="92">
        <v>4.2999999999999997E-2</v>
      </c>
      <c r="G92" s="317">
        <v>8.74</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25" customHeight="1" x14ac:dyDescent="0.2">
      <c r="A93" s="322" t="s">
        <v>711</v>
      </c>
      <c r="B93" s="18"/>
      <c r="C93" s="325" t="s">
        <v>803</v>
      </c>
      <c r="D93" s="90">
        <v>4.399</v>
      </c>
      <c r="E93" s="91">
        <v>0.52500000000000002</v>
      </c>
      <c r="F93" s="92">
        <v>4.2999999999999997E-2</v>
      </c>
      <c r="G93" s="317">
        <v>14.01</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25" customHeight="1" x14ac:dyDescent="0.2">
      <c r="A94" s="322" t="s">
        <v>718</v>
      </c>
      <c r="B94" s="18"/>
      <c r="C94" s="325" t="s">
        <v>803</v>
      </c>
      <c r="D94" s="90">
        <v>4.399</v>
      </c>
      <c r="E94" s="91">
        <v>0.52500000000000002</v>
      </c>
      <c r="F94" s="92">
        <v>4.2999999999999997E-2</v>
      </c>
      <c r="G94" s="317">
        <v>29.77</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25" customHeight="1" x14ac:dyDescent="0.2">
      <c r="A95" s="322" t="s">
        <v>487</v>
      </c>
      <c r="B95" s="24"/>
      <c r="C95" s="325" t="s">
        <v>2032</v>
      </c>
      <c r="D95" s="90">
        <v>4.399</v>
      </c>
      <c r="E95" s="91">
        <v>0.52500000000000002</v>
      </c>
      <c r="F95" s="92">
        <v>4.2999999999999997E-2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25" customHeight="1" x14ac:dyDescent="0.2">
      <c r="A96" s="322" t="s">
        <v>582</v>
      </c>
      <c r="B96" s="18"/>
      <c r="C96" s="325">
        <v>0</v>
      </c>
      <c r="D96" s="90">
        <v>2.9809999999999999</v>
      </c>
      <c r="E96" s="91">
        <v>0.33300000000000002</v>
      </c>
      <c r="F96" s="92">
        <v>2.5999999999999999E-2</v>
      </c>
      <c r="G96" s="317">
        <v>5.08</v>
      </c>
      <c r="H96" s="317">
        <v>2.81</v>
      </c>
      <c r="I96" s="320">
        <v>2.81</v>
      </c>
      <c r="J96" s="25">
        <v>8.7999999999999995E-2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25" customHeight="1" x14ac:dyDescent="0.2">
      <c r="A97" s="322" t="s">
        <v>583</v>
      </c>
      <c r="B97" s="24"/>
      <c r="C97" s="325">
        <v>0</v>
      </c>
      <c r="D97" s="90">
        <v>2.9809999999999999</v>
      </c>
      <c r="E97" s="91">
        <v>0.33300000000000002</v>
      </c>
      <c r="F97" s="92">
        <v>2.5999999999999999E-2</v>
      </c>
      <c r="G97" s="317">
        <v>49.74</v>
      </c>
      <c r="H97" s="317">
        <v>2.81</v>
      </c>
      <c r="I97" s="320">
        <v>2.81</v>
      </c>
      <c r="J97" s="25">
        <v>8.7999999999999995E-2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25" customHeight="1" x14ac:dyDescent="0.2">
      <c r="A98" s="322" t="s">
        <v>584</v>
      </c>
      <c r="B98" s="18"/>
      <c r="C98" s="325">
        <v>0</v>
      </c>
      <c r="D98" s="90">
        <v>2.9809999999999999</v>
      </c>
      <c r="E98" s="91">
        <v>0.33300000000000002</v>
      </c>
      <c r="F98" s="92">
        <v>2.5999999999999999E-2</v>
      </c>
      <c r="G98" s="317">
        <v>80.75</v>
      </c>
      <c r="H98" s="317">
        <v>2.81</v>
      </c>
      <c r="I98" s="320">
        <v>2.81</v>
      </c>
      <c r="J98" s="25">
        <v>8.7999999999999995E-2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25" customHeight="1" x14ac:dyDescent="0.2">
      <c r="A99" s="322" t="s">
        <v>585</v>
      </c>
      <c r="B99" s="18"/>
      <c r="C99" s="325">
        <v>0</v>
      </c>
      <c r="D99" s="90">
        <v>2.9809999999999999</v>
      </c>
      <c r="E99" s="91">
        <v>0.33300000000000002</v>
      </c>
      <c r="F99" s="92">
        <v>2.5999999999999999E-2</v>
      </c>
      <c r="G99" s="317">
        <v>126.85</v>
      </c>
      <c r="H99" s="317">
        <v>2.81</v>
      </c>
      <c r="I99" s="320">
        <v>2.81</v>
      </c>
      <c r="J99" s="25">
        <v>8.7999999999999995E-2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25" customHeight="1" x14ac:dyDescent="0.2">
      <c r="A100" s="322" t="s">
        <v>586</v>
      </c>
      <c r="B100" s="18"/>
      <c r="C100" s="325">
        <v>0</v>
      </c>
      <c r="D100" s="90">
        <v>2.9809999999999999</v>
      </c>
      <c r="E100" s="91">
        <v>0.33300000000000002</v>
      </c>
      <c r="F100" s="92">
        <v>2.5999999999999999E-2</v>
      </c>
      <c r="G100" s="317">
        <v>249.82</v>
      </c>
      <c r="H100" s="317">
        <v>2.81</v>
      </c>
      <c r="I100" s="320">
        <v>2.81</v>
      </c>
      <c r="J100" s="25">
        <v>8.7999999999999995E-2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25" customHeight="1" x14ac:dyDescent="0.2">
      <c r="A101" s="322" t="s">
        <v>587</v>
      </c>
      <c r="B101" s="18"/>
      <c r="C101" s="325">
        <v>0</v>
      </c>
      <c r="D101" s="90">
        <v>2.9580000000000002</v>
      </c>
      <c r="E101" s="91">
        <v>0.28100000000000003</v>
      </c>
      <c r="F101" s="92">
        <v>1.7999999999999999E-2</v>
      </c>
      <c r="G101" s="317">
        <v>5.99</v>
      </c>
      <c r="H101" s="317">
        <v>4.09</v>
      </c>
      <c r="I101" s="320">
        <v>4.09</v>
      </c>
      <c r="J101" s="25">
        <v>8.4000000000000005E-2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25" customHeight="1" x14ac:dyDescent="0.2">
      <c r="A102" s="322" t="s">
        <v>588</v>
      </c>
      <c r="B102" s="24"/>
      <c r="C102" s="325">
        <v>0</v>
      </c>
      <c r="D102" s="90">
        <v>2.9580000000000002</v>
      </c>
      <c r="E102" s="91">
        <v>0.28100000000000003</v>
      </c>
      <c r="F102" s="92">
        <v>1.7999999999999999E-2</v>
      </c>
      <c r="G102" s="317">
        <v>73.34</v>
      </c>
      <c r="H102" s="317">
        <v>4.09</v>
      </c>
      <c r="I102" s="320">
        <v>4.09</v>
      </c>
      <c r="J102" s="25">
        <v>8.4000000000000005E-2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25" customHeight="1" x14ac:dyDescent="0.2">
      <c r="A103" s="322" t="s">
        <v>589</v>
      </c>
      <c r="B103" s="18"/>
      <c r="C103" s="325">
        <v>0</v>
      </c>
      <c r="D103" s="90">
        <v>2.9580000000000002</v>
      </c>
      <c r="E103" s="91">
        <v>0.28100000000000003</v>
      </c>
      <c r="F103" s="92">
        <v>1.7999999999999999E-2</v>
      </c>
      <c r="G103" s="317">
        <v>120.11</v>
      </c>
      <c r="H103" s="317">
        <v>4.09</v>
      </c>
      <c r="I103" s="320">
        <v>4.09</v>
      </c>
      <c r="J103" s="25">
        <v>8.4000000000000005E-2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25" customHeight="1" x14ac:dyDescent="0.2">
      <c r="A104" s="322" t="s">
        <v>590</v>
      </c>
      <c r="B104" s="18"/>
      <c r="C104" s="325">
        <v>0</v>
      </c>
      <c r="D104" s="90">
        <v>2.9580000000000002</v>
      </c>
      <c r="E104" s="91">
        <v>0.28100000000000003</v>
      </c>
      <c r="F104" s="92">
        <v>1.7999999999999999E-2</v>
      </c>
      <c r="G104" s="317">
        <v>189.63</v>
      </c>
      <c r="H104" s="317">
        <v>4.09</v>
      </c>
      <c r="I104" s="320">
        <v>4.09</v>
      </c>
      <c r="J104" s="25">
        <v>8.4000000000000005E-2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25" customHeight="1" x14ac:dyDescent="0.2">
      <c r="A105" s="322" t="s">
        <v>591</v>
      </c>
      <c r="B105" s="18"/>
      <c r="C105" s="325">
        <v>0</v>
      </c>
      <c r="D105" s="90">
        <v>2.9580000000000002</v>
      </c>
      <c r="E105" s="91">
        <v>0.28100000000000003</v>
      </c>
      <c r="F105" s="92">
        <v>1.7999999999999999E-2</v>
      </c>
      <c r="G105" s="317">
        <v>375.11</v>
      </c>
      <c r="H105" s="317">
        <v>4.09</v>
      </c>
      <c r="I105" s="320">
        <v>4.09</v>
      </c>
      <c r="J105" s="25">
        <v>8.4000000000000005E-2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25" customHeight="1" x14ac:dyDescent="0.2">
      <c r="A106" s="322" t="s">
        <v>592</v>
      </c>
      <c r="B106" s="18"/>
      <c r="C106" s="325">
        <v>0</v>
      </c>
      <c r="D106" s="90">
        <v>1.883</v>
      </c>
      <c r="E106" s="91">
        <v>0.14000000000000001</v>
      </c>
      <c r="F106" s="92">
        <v>5.0000000000000001E-3</v>
      </c>
      <c r="G106" s="317">
        <v>61.97</v>
      </c>
      <c r="H106" s="317">
        <v>5.32</v>
      </c>
      <c r="I106" s="320">
        <v>5.32</v>
      </c>
      <c r="J106" s="25">
        <v>4.7E-2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25" customHeight="1" x14ac:dyDescent="0.2">
      <c r="A107" s="322" t="s">
        <v>593</v>
      </c>
      <c r="B107" s="24"/>
      <c r="C107" s="325">
        <v>0</v>
      </c>
      <c r="D107" s="90">
        <v>1.883</v>
      </c>
      <c r="E107" s="91">
        <v>0.14000000000000001</v>
      </c>
      <c r="F107" s="92">
        <v>5.0000000000000001E-3</v>
      </c>
      <c r="G107" s="317">
        <v>573.82000000000005</v>
      </c>
      <c r="H107" s="317">
        <v>5.32</v>
      </c>
      <c r="I107" s="320">
        <v>5.32</v>
      </c>
      <c r="J107" s="25">
        <v>4.7E-2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25" customHeight="1" x14ac:dyDescent="0.2">
      <c r="A108" s="322" t="s">
        <v>594</v>
      </c>
      <c r="B108" s="18"/>
      <c r="C108" s="325">
        <v>0</v>
      </c>
      <c r="D108" s="90">
        <v>1.883</v>
      </c>
      <c r="E108" s="91">
        <v>0.14000000000000001</v>
      </c>
      <c r="F108" s="92">
        <v>5.0000000000000001E-3</v>
      </c>
      <c r="G108" s="317">
        <v>1557.49</v>
      </c>
      <c r="H108" s="317">
        <v>5.32</v>
      </c>
      <c r="I108" s="320">
        <v>5.32</v>
      </c>
      <c r="J108" s="25">
        <v>4.7E-2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25" customHeight="1" x14ac:dyDescent="0.2">
      <c r="A109" s="322" t="s">
        <v>595</v>
      </c>
      <c r="B109" s="18"/>
      <c r="C109" s="325">
        <v>0</v>
      </c>
      <c r="D109" s="90">
        <v>1.883</v>
      </c>
      <c r="E109" s="91">
        <v>0.14000000000000001</v>
      </c>
      <c r="F109" s="92">
        <v>5.0000000000000001E-3</v>
      </c>
      <c r="G109" s="317">
        <v>2831.7</v>
      </c>
      <c r="H109" s="317">
        <v>5.32</v>
      </c>
      <c r="I109" s="320">
        <v>5.32</v>
      </c>
      <c r="J109" s="25">
        <v>4.7E-2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25" customHeight="1" x14ac:dyDescent="0.2">
      <c r="A110" s="322" t="s">
        <v>596</v>
      </c>
      <c r="B110" s="18"/>
      <c r="C110" s="325">
        <v>0</v>
      </c>
      <c r="D110" s="90">
        <v>1.883</v>
      </c>
      <c r="E110" s="91">
        <v>0.14000000000000001</v>
      </c>
      <c r="F110" s="92">
        <v>5.0000000000000001E-3</v>
      </c>
      <c r="G110" s="317">
        <v>7100.64</v>
      </c>
      <c r="H110" s="317">
        <v>5.32</v>
      </c>
      <c r="I110" s="320">
        <v>5.32</v>
      </c>
      <c r="J110" s="25">
        <v>4.7E-2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25" customHeight="1" x14ac:dyDescent="0.2">
      <c r="A111" s="322" t="s">
        <v>488</v>
      </c>
      <c r="B111" s="24"/>
      <c r="C111" s="325" t="s">
        <v>804</v>
      </c>
      <c r="D111" s="93">
        <v>14.118</v>
      </c>
      <c r="E111" s="94">
        <v>1.054</v>
      </c>
      <c r="F111" s="92">
        <v>0.59</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25" customHeight="1" x14ac:dyDescent="0.2">
      <c r="A112" s="322" t="s">
        <v>523</v>
      </c>
      <c r="B112" s="24"/>
      <c r="C112" s="325">
        <v>0</v>
      </c>
      <c r="D112" s="90">
        <v>-4.319</v>
      </c>
      <c r="E112" s="91">
        <v>-0.51500000000000001</v>
      </c>
      <c r="F112" s="92">
        <v>-4.2000000000000003E-2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25" customHeight="1" x14ac:dyDescent="0.2">
      <c r="A113" s="322" t="s">
        <v>524</v>
      </c>
      <c r="B113" s="24"/>
      <c r="C113" s="325">
        <v>0</v>
      </c>
      <c r="D113" s="90">
        <v>-4.0460000000000003</v>
      </c>
      <c r="E113" s="91">
        <v>-0.46300000000000002</v>
      </c>
      <c r="F113" s="92">
        <v>-3.6999999999999998E-2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25" customHeight="1" x14ac:dyDescent="0.2">
      <c r="A114" s="322" t="s">
        <v>525</v>
      </c>
      <c r="B114" s="24"/>
      <c r="C114" s="325">
        <v>0</v>
      </c>
      <c r="D114" s="90">
        <v>-4.319</v>
      </c>
      <c r="E114" s="91">
        <v>-0.51500000000000001</v>
      </c>
      <c r="F114" s="92">
        <v>-4.2000000000000003E-2</v>
      </c>
      <c r="G114" s="317" t="s">
        <v>797</v>
      </c>
      <c r="H114" s="318" t="s">
        <v>797</v>
      </c>
      <c r="I114" s="319" t="s">
        <v>797</v>
      </c>
      <c r="J114" s="25">
        <v>0.151</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25" customHeight="1" x14ac:dyDescent="0.2">
      <c r="A115" s="322" t="s">
        <v>526</v>
      </c>
      <c r="B115" s="24"/>
      <c r="C115" s="325">
        <v>0</v>
      </c>
      <c r="D115" s="90">
        <v>-4.0460000000000003</v>
      </c>
      <c r="E115" s="91">
        <v>-0.46300000000000002</v>
      </c>
      <c r="F115" s="92">
        <v>-3.6999999999999998E-2</v>
      </c>
      <c r="G115" s="317" t="s">
        <v>797</v>
      </c>
      <c r="H115" s="318" t="s">
        <v>797</v>
      </c>
      <c r="I115" s="319" t="s">
        <v>797</v>
      </c>
      <c r="J115" s="25">
        <v>0.126</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25" customHeight="1" x14ac:dyDescent="0.2">
      <c r="A116" s="322" t="s">
        <v>527</v>
      </c>
      <c r="B116" s="24"/>
      <c r="C116" s="325">
        <v>0</v>
      </c>
      <c r="D116" s="90">
        <v>-3.6389999999999998</v>
      </c>
      <c r="E116" s="91">
        <v>-0.34599999999999997</v>
      </c>
      <c r="F116" s="92">
        <v>-2.1999999999999999E-2</v>
      </c>
      <c r="G116" s="317">
        <v>55.92</v>
      </c>
      <c r="H116" s="318" t="s">
        <v>797</v>
      </c>
      <c r="I116" s="319" t="s">
        <v>797</v>
      </c>
      <c r="J116" s="25">
        <v>0.15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25" customHeight="1" x14ac:dyDescent="0.2">
      <c r="A117" s="322" t="s">
        <v>684</v>
      </c>
      <c r="B117" s="24"/>
      <c r="C117" s="325" t="s">
        <v>802</v>
      </c>
      <c r="D117" s="90">
        <v>4.2450000000000001</v>
      </c>
      <c r="E117" s="91">
        <v>0.50600000000000001</v>
      </c>
      <c r="F117" s="92">
        <v>4.2000000000000003E-2</v>
      </c>
      <c r="G117" s="317">
        <v>4.09</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25" customHeight="1" x14ac:dyDescent="0.2">
      <c r="A118" s="322" t="s">
        <v>597</v>
      </c>
      <c r="B118" s="24"/>
      <c r="C118" s="325" t="s">
        <v>2031</v>
      </c>
      <c r="D118" s="90">
        <v>4.2450000000000001</v>
      </c>
      <c r="E118" s="91">
        <v>0.50600000000000001</v>
      </c>
      <c r="F118" s="92">
        <v>4.2000000000000003E-2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25" customHeight="1" x14ac:dyDescent="0.2">
      <c r="A119" s="322" t="s">
        <v>691</v>
      </c>
      <c r="B119" s="18"/>
      <c r="C119" s="325" t="s">
        <v>803</v>
      </c>
      <c r="D119" s="90">
        <v>4.1100000000000003</v>
      </c>
      <c r="E119" s="91">
        <v>0.49</v>
      </c>
      <c r="F119" s="92">
        <v>0.04</v>
      </c>
      <c r="G119" s="317">
        <v>4.04</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25" customHeight="1" x14ac:dyDescent="0.2">
      <c r="A120" s="322" t="s">
        <v>698</v>
      </c>
      <c r="B120" s="24"/>
      <c r="C120" s="325" t="s">
        <v>803</v>
      </c>
      <c r="D120" s="90">
        <v>4.1100000000000003</v>
      </c>
      <c r="E120" s="91">
        <v>0.49</v>
      </c>
      <c r="F120" s="92">
        <v>0.04</v>
      </c>
      <c r="G120" s="317">
        <v>5.13</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25" customHeight="1" x14ac:dyDescent="0.2">
      <c r="A121" s="322" t="s">
        <v>705</v>
      </c>
      <c r="B121" s="18"/>
      <c r="C121" s="325" t="s">
        <v>803</v>
      </c>
      <c r="D121" s="90">
        <v>4.1100000000000003</v>
      </c>
      <c r="E121" s="91">
        <v>0.49</v>
      </c>
      <c r="F121" s="92">
        <v>0.04</v>
      </c>
      <c r="G121" s="317">
        <v>8.16</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25" customHeight="1" x14ac:dyDescent="0.2">
      <c r="A122" s="322" t="s">
        <v>712</v>
      </c>
      <c r="B122" s="18"/>
      <c r="C122" s="325" t="s">
        <v>803</v>
      </c>
      <c r="D122" s="90">
        <v>4.1100000000000003</v>
      </c>
      <c r="E122" s="91">
        <v>0.49</v>
      </c>
      <c r="F122" s="92">
        <v>0.04</v>
      </c>
      <c r="G122" s="317">
        <v>13.09</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25" customHeight="1" x14ac:dyDescent="0.2">
      <c r="A123" s="322" t="s">
        <v>719</v>
      </c>
      <c r="B123" s="18"/>
      <c r="C123" s="325" t="s">
        <v>803</v>
      </c>
      <c r="D123" s="90">
        <v>4.1100000000000003</v>
      </c>
      <c r="E123" s="91">
        <v>0.49</v>
      </c>
      <c r="F123" s="92">
        <v>0.04</v>
      </c>
      <c r="G123" s="317">
        <v>27.82</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25" customHeight="1" x14ac:dyDescent="0.2">
      <c r="A124" s="322" t="s">
        <v>489</v>
      </c>
      <c r="B124" s="24"/>
      <c r="C124" s="325" t="s">
        <v>2032</v>
      </c>
      <c r="D124" s="90">
        <v>4.1100000000000003</v>
      </c>
      <c r="E124" s="91">
        <v>0.49</v>
      </c>
      <c r="F124" s="92">
        <v>0.04</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25" customHeight="1" x14ac:dyDescent="0.2">
      <c r="A125" s="322" t="s">
        <v>598</v>
      </c>
      <c r="B125" s="18"/>
      <c r="C125" s="325">
        <v>0</v>
      </c>
      <c r="D125" s="90">
        <v>2.7850000000000001</v>
      </c>
      <c r="E125" s="91">
        <v>0.311</v>
      </c>
      <c r="F125" s="92">
        <v>2.4E-2</v>
      </c>
      <c r="G125" s="317">
        <v>4.75</v>
      </c>
      <c r="H125" s="317">
        <v>2.62</v>
      </c>
      <c r="I125" s="320">
        <v>2.62</v>
      </c>
      <c r="J125" s="25">
        <v>8.2000000000000003E-2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25" customHeight="1" x14ac:dyDescent="0.2">
      <c r="A126" s="322" t="s">
        <v>599</v>
      </c>
      <c r="B126" s="24"/>
      <c r="C126" s="325">
        <v>0</v>
      </c>
      <c r="D126" s="90">
        <v>2.7850000000000001</v>
      </c>
      <c r="E126" s="91">
        <v>0.311</v>
      </c>
      <c r="F126" s="92">
        <v>2.4E-2</v>
      </c>
      <c r="G126" s="317">
        <v>46.48</v>
      </c>
      <c r="H126" s="317">
        <v>2.62</v>
      </c>
      <c r="I126" s="320">
        <v>2.62</v>
      </c>
      <c r="J126" s="25">
        <v>8.2000000000000003E-2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25" customHeight="1" x14ac:dyDescent="0.2">
      <c r="A127" s="322" t="s">
        <v>600</v>
      </c>
      <c r="B127" s="18"/>
      <c r="C127" s="325">
        <v>0</v>
      </c>
      <c r="D127" s="90">
        <v>2.7850000000000001</v>
      </c>
      <c r="E127" s="91">
        <v>0.311</v>
      </c>
      <c r="F127" s="92">
        <v>2.4E-2</v>
      </c>
      <c r="G127" s="317">
        <v>75.45</v>
      </c>
      <c r="H127" s="317">
        <v>2.62</v>
      </c>
      <c r="I127" s="320">
        <v>2.62</v>
      </c>
      <c r="J127" s="25">
        <v>8.2000000000000003E-2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25" customHeight="1" x14ac:dyDescent="0.2">
      <c r="A128" s="322" t="s">
        <v>601</v>
      </c>
      <c r="B128" s="18"/>
      <c r="C128" s="325">
        <v>0</v>
      </c>
      <c r="D128" s="90">
        <v>2.7850000000000001</v>
      </c>
      <c r="E128" s="91">
        <v>0.311</v>
      </c>
      <c r="F128" s="92">
        <v>2.4E-2</v>
      </c>
      <c r="G128" s="317">
        <v>118.52</v>
      </c>
      <c r="H128" s="317">
        <v>2.62</v>
      </c>
      <c r="I128" s="320">
        <v>2.62</v>
      </c>
      <c r="J128" s="25">
        <v>8.2000000000000003E-2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25" customHeight="1" x14ac:dyDescent="0.2">
      <c r="A129" s="322" t="s">
        <v>602</v>
      </c>
      <c r="B129" s="18"/>
      <c r="C129" s="325">
        <v>0</v>
      </c>
      <c r="D129" s="90">
        <v>2.7850000000000001</v>
      </c>
      <c r="E129" s="91">
        <v>0.311</v>
      </c>
      <c r="F129" s="92">
        <v>2.4E-2</v>
      </c>
      <c r="G129" s="317">
        <v>233.43</v>
      </c>
      <c r="H129" s="317">
        <v>2.62</v>
      </c>
      <c r="I129" s="320">
        <v>2.62</v>
      </c>
      <c r="J129" s="25">
        <v>8.2000000000000003E-2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25" customHeight="1" x14ac:dyDescent="0.2">
      <c r="A130" s="322" t="s">
        <v>603</v>
      </c>
      <c r="B130" s="18"/>
      <c r="C130" s="325">
        <v>0</v>
      </c>
      <c r="D130" s="90">
        <v>2.7639999999999998</v>
      </c>
      <c r="E130" s="91">
        <v>0.26300000000000001</v>
      </c>
      <c r="F130" s="92">
        <v>1.6E-2</v>
      </c>
      <c r="G130" s="317">
        <v>5.59</v>
      </c>
      <c r="H130" s="317">
        <v>3.83</v>
      </c>
      <c r="I130" s="320">
        <v>3.83</v>
      </c>
      <c r="J130" s="25">
        <v>7.8E-2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25" customHeight="1" x14ac:dyDescent="0.2">
      <c r="A131" s="322" t="s">
        <v>604</v>
      </c>
      <c r="B131" s="24"/>
      <c r="C131" s="325">
        <v>0</v>
      </c>
      <c r="D131" s="90">
        <v>2.7639999999999998</v>
      </c>
      <c r="E131" s="91">
        <v>0.26300000000000001</v>
      </c>
      <c r="F131" s="92">
        <v>1.6E-2</v>
      </c>
      <c r="G131" s="317">
        <v>68.53</v>
      </c>
      <c r="H131" s="317">
        <v>3.83</v>
      </c>
      <c r="I131" s="320">
        <v>3.83</v>
      </c>
      <c r="J131" s="25">
        <v>7.8E-2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25" customHeight="1" x14ac:dyDescent="0.2">
      <c r="A132" s="322" t="s">
        <v>605</v>
      </c>
      <c r="B132" s="18"/>
      <c r="C132" s="325">
        <v>0</v>
      </c>
      <c r="D132" s="90">
        <v>2.7639999999999998</v>
      </c>
      <c r="E132" s="91">
        <v>0.26300000000000001</v>
      </c>
      <c r="F132" s="92">
        <v>1.6E-2</v>
      </c>
      <c r="G132" s="317">
        <v>112.22</v>
      </c>
      <c r="H132" s="317">
        <v>3.83</v>
      </c>
      <c r="I132" s="320">
        <v>3.83</v>
      </c>
      <c r="J132" s="25">
        <v>7.8E-2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25" customHeight="1" x14ac:dyDescent="0.2">
      <c r="A133" s="322" t="s">
        <v>606</v>
      </c>
      <c r="B133" s="18"/>
      <c r="C133" s="325">
        <v>0</v>
      </c>
      <c r="D133" s="90">
        <v>2.7639999999999998</v>
      </c>
      <c r="E133" s="91">
        <v>0.26300000000000001</v>
      </c>
      <c r="F133" s="92">
        <v>1.6E-2</v>
      </c>
      <c r="G133" s="317">
        <v>177.18</v>
      </c>
      <c r="H133" s="317">
        <v>3.83</v>
      </c>
      <c r="I133" s="320">
        <v>3.83</v>
      </c>
      <c r="J133" s="25">
        <v>7.8E-2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25" customHeight="1" x14ac:dyDescent="0.2">
      <c r="A134" s="322" t="s">
        <v>607</v>
      </c>
      <c r="B134" s="18"/>
      <c r="C134" s="325">
        <v>0</v>
      </c>
      <c r="D134" s="90">
        <v>2.7639999999999998</v>
      </c>
      <c r="E134" s="91">
        <v>0.26300000000000001</v>
      </c>
      <c r="F134" s="92">
        <v>1.6E-2</v>
      </c>
      <c r="G134" s="317">
        <v>350.49</v>
      </c>
      <c r="H134" s="317">
        <v>3.83</v>
      </c>
      <c r="I134" s="320">
        <v>3.83</v>
      </c>
      <c r="J134" s="25">
        <v>7.8E-2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25" customHeight="1" x14ac:dyDescent="0.2">
      <c r="A135" s="322" t="s">
        <v>608</v>
      </c>
      <c r="B135" s="18"/>
      <c r="C135" s="325">
        <v>0</v>
      </c>
      <c r="D135" s="90">
        <v>1.7589999999999999</v>
      </c>
      <c r="E135" s="91">
        <v>0.13100000000000001</v>
      </c>
      <c r="F135" s="92">
        <v>5.0000000000000001E-3</v>
      </c>
      <c r="G135" s="317">
        <v>57.9</v>
      </c>
      <c r="H135" s="317">
        <v>4.97</v>
      </c>
      <c r="I135" s="320">
        <v>4.97</v>
      </c>
      <c r="J135" s="25">
        <v>4.3999999999999997E-2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25" customHeight="1" x14ac:dyDescent="0.2">
      <c r="A136" s="322" t="s">
        <v>609</v>
      </c>
      <c r="B136" s="24"/>
      <c r="C136" s="325">
        <v>0</v>
      </c>
      <c r="D136" s="90">
        <v>1.7589999999999999</v>
      </c>
      <c r="E136" s="91">
        <v>0.13100000000000001</v>
      </c>
      <c r="F136" s="92">
        <v>5.0000000000000001E-3</v>
      </c>
      <c r="G136" s="317">
        <v>536.15</v>
      </c>
      <c r="H136" s="317">
        <v>4.97</v>
      </c>
      <c r="I136" s="320">
        <v>4.97</v>
      </c>
      <c r="J136" s="25">
        <v>4.3999999999999997E-2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25" customHeight="1" x14ac:dyDescent="0.2">
      <c r="A137" s="322" t="s">
        <v>610</v>
      </c>
      <c r="B137" s="18"/>
      <c r="C137" s="325">
        <v>0</v>
      </c>
      <c r="D137" s="90">
        <v>1.7589999999999999</v>
      </c>
      <c r="E137" s="91">
        <v>0.13100000000000001</v>
      </c>
      <c r="F137" s="92">
        <v>5.0000000000000001E-3</v>
      </c>
      <c r="G137" s="317">
        <v>1455.25</v>
      </c>
      <c r="H137" s="317">
        <v>4.97</v>
      </c>
      <c r="I137" s="320">
        <v>4.97</v>
      </c>
      <c r="J137" s="25">
        <v>4.3999999999999997E-2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25" customHeight="1" x14ac:dyDescent="0.2">
      <c r="A138" s="322" t="s">
        <v>611</v>
      </c>
      <c r="B138" s="18"/>
      <c r="C138" s="325">
        <v>0</v>
      </c>
      <c r="D138" s="90">
        <v>1.7589999999999999</v>
      </c>
      <c r="E138" s="91">
        <v>0.13100000000000001</v>
      </c>
      <c r="F138" s="92">
        <v>5.0000000000000001E-3</v>
      </c>
      <c r="G138" s="317">
        <v>2645.82</v>
      </c>
      <c r="H138" s="317">
        <v>4.97</v>
      </c>
      <c r="I138" s="320">
        <v>4.97</v>
      </c>
      <c r="J138" s="25">
        <v>4.3999999999999997E-2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25" customHeight="1" x14ac:dyDescent="0.2">
      <c r="A139" s="322" t="s">
        <v>612</v>
      </c>
      <c r="B139" s="18"/>
      <c r="C139" s="325">
        <v>0</v>
      </c>
      <c r="D139" s="90">
        <v>1.7589999999999999</v>
      </c>
      <c r="E139" s="91">
        <v>0.13100000000000001</v>
      </c>
      <c r="F139" s="92">
        <v>5.0000000000000001E-3</v>
      </c>
      <c r="G139" s="317">
        <v>6634.53</v>
      </c>
      <c r="H139" s="317">
        <v>4.97</v>
      </c>
      <c r="I139" s="320">
        <v>4.97</v>
      </c>
      <c r="J139" s="25">
        <v>4.3999999999999997E-2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25" customHeight="1" x14ac:dyDescent="0.2">
      <c r="A140" s="322" t="s">
        <v>490</v>
      </c>
      <c r="B140" s="24"/>
      <c r="C140" s="325" t="s">
        <v>804</v>
      </c>
      <c r="D140" s="93">
        <v>13.191000000000001</v>
      </c>
      <c r="E140" s="94">
        <v>0.98499999999999999</v>
      </c>
      <c r="F140" s="92">
        <v>0.55100000000000005</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-4.0359999999999996</v>
      </c>
      <c r="E141" s="91">
        <v>-0.48099999999999998</v>
      </c>
      <c r="F141" s="92">
        <v>-0.04</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-3.78</v>
      </c>
      <c r="E142" s="91">
        <v>-0.433</v>
      </c>
      <c r="F142" s="92">
        <v>-3.4000000000000002E-2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-4.0359999999999996</v>
      </c>
      <c r="E143" s="91">
        <v>-0.48099999999999998</v>
      </c>
      <c r="F143" s="92">
        <v>-0.04</v>
      </c>
      <c r="G143" s="317" t="s">
        <v>797</v>
      </c>
      <c r="H143" s="318" t="s">
        <v>797</v>
      </c>
      <c r="I143" s="319" t="s">
        <v>797</v>
      </c>
      <c r="J143" s="25">
        <v>0.14099999999999999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-3.78</v>
      </c>
      <c r="E144" s="91">
        <v>-0.433</v>
      </c>
      <c r="F144" s="92">
        <v>-3.4000000000000002E-2</v>
      </c>
      <c r="G144" s="317" t="s">
        <v>797</v>
      </c>
      <c r="H144" s="318" t="s">
        <v>797</v>
      </c>
      <c r="I144" s="319" t="s">
        <v>797</v>
      </c>
      <c r="J144" s="25">
        <v>0.11700000000000001</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-3.4</v>
      </c>
      <c r="E145" s="91">
        <v>-0.32300000000000001</v>
      </c>
      <c r="F145" s="92">
        <v>-0.02</v>
      </c>
      <c r="G145" s="317">
        <v>52.25</v>
      </c>
      <c r="H145" s="318" t="s">
        <v>797</v>
      </c>
      <c r="I145" s="319" t="s">
        <v>797</v>
      </c>
      <c r="J145" s="25">
        <v>0.14099999999999999</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3.1669999999999998</v>
      </c>
      <c r="E146" s="91">
        <v>0.378</v>
      </c>
      <c r="F146" s="92">
        <v>3.1E-2</v>
      </c>
      <c r="G146" s="317">
        <v>3.05</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2031</v>
      </c>
      <c r="D147" s="90">
        <v>3.1669999999999998</v>
      </c>
      <c r="E147" s="91">
        <v>0.378</v>
      </c>
      <c r="F147" s="92">
        <v>3.1E-2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3.0659999999999998</v>
      </c>
      <c r="E148" s="91">
        <v>0.36599999999999999</v>
      </c>
      <c r="F148" s="92">
        <v>0.03</v>
      </c>
      <c r="G148" s="317">
        <v>3.01</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3.0659999999999998</v>
      </c>
      <c r="E149" s="91">
        <v>0.36599999999999999</v>
      </c>
      <c r="F149" s="92">
        <v>0.03</v>
      </c>
      <c r="G149" s="317">
        <v>3.83</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3.0659999999999998</v>
      </c>
      <c r="E150" s="91">
        <v>0.36599999999999999</v>
      </c>
      <c r="F150" s="92">
        <v>0.03</v>
      </c>
      <c r="G150" s="317">
        <v>6.09</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3.0659999999999998</v>
      </c>
      <c r="E151" s="91">
        <v>0.36599999999999999</v>
      </c>
      <c r="F151" s="92">
        <v>0.03</v>
      </c>
      <c r="G151" s="317">
        <v>9.77</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3.0659999999999998</v>
      </c>
      <c r="E152" s="91">
        <v>0.36599999999999999</v>
      </c>
      <c r="F152" s="92">
        <v>0.03</v>
      </c>
      <c r="G152" s="317">
        <v>20.75</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2032</v>
      </c>
      <c r="D153" s="90">
        <v>3.0659999999999998</v>
      </c>
      <c r="E153" s="91">
        <v>0.36599999999999999</v>
      </c>
      <c r="F153" s="92">
        <v>0.03</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2.077</v>
      </c>
      <c r="E154" s="91">
        <v>0.23200000000000001</v>
      </c>
      <c r="F154" s="92">
        <v>1.7999999999999999E-2</v>
      </c>
      <c r="G154" s="317">
        <v>3.54</v>
      </c>
      <c r="H154" s="317">
        <v>1.96</v>
      </c>
      <c r="I154" s="320">
        <v>1.96</v>
      </c>
      <c r="J154" s="25">
        <v>6.0999999999999999E-2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2.077</v>
      </c>
      <c r="E155" s="91">
        <v>0.23200000000000001</v>
      </c>
      <c r="F155" s="92">
        <v>1.7999999999999999E-2</v>
      </c>
      <c r="G155" s="317">
        <v>34.67</v>
      </c>
      <c r="H155" s="317">
        <v>1.96</v>
      </c>
      <c r="I155" s="320">
        <v>1.96</v>
      </c>
      <c r="J155" s="25">
        <v>6.0999999999999999E-2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2.077</v>
      </c>
      <c r="E156" s="91">
        <v>0.23200000000000001</v>
      </c>
      <c r="F156" s="92">
        <v>1.7999999999999999E-2</v>
      </c>
      <c r="G156" s="317">
        <v>56.28</v>
      </c>
      <c r="H156" s="317">
        <v>1.96</v>
      </c>
      <c r="I156" s="320">
        <v>1.96</v>
      </c>
      <c r="J156" s="25">
        <v>6.0999999999999999E-2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2.077</v>
      </c>
      <c r="E157" s="91">
        <v>0.23200000000000001</v>
      </c>
      <c r="F157" s="92">
        <v>1.7999999999999999E-2</v>
      </c>
      <c r="G157" s="317">
        <v>88.41</v>
      </c>
      <c r="H157" s="317">
        <v>1.96</v>
      </c>
      <c r="I157" s="320">
        <v>1.96</v>
      </c>
      <c r="J157" s="25">
        <v>6.0999999999999999E-2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2.077</v>
      </c>
      <c r="E158" s="91">
        <v>0.23200000000000001</v>
      </c>
      <c r="F158" s="92">
        <v>1.7999999999999999E-2</v>
      </c>
      <c r="G158" s="317">
        <v>174.12</v>
      </c>
      <c r="H158" s="317">
        <v>1.96</v>
      </c>
      <c r="I158" s="320">
        <v>1.96</v>
      </c>
      <c r="J158" s="25">
        <v>6.0999999999999999E-2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2.0619999999999998</v>
      </c>
      <c r="E159" s="91">
        <v>0.19600000000000001</v>
      </c>
      <c r="F159" s="92">
        <v>1.2E-2</v>
      </c>
      <c r="G159" s="317">
        <v>4.17</v>
      </c>
      <c r="H159" s="317">
        <v>2.85</v>
      </c>
      <c r="I159" s="320">
        <v>2.85</v>
      </c>
      <c r="J159" s="25">
        <v>5.8000000000000003E-2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2.0619999999999998</v>
      </c>
      <c r="E160" s="91">
        <v>0.19600000000000001</v>
      </c>
      <c r="F160" s="92">
        <v>1.2E-2</v>
      </c>
      <c r="G160" s="317">
        <v>51.12</v>
      </c>
      <c r="H160" s="317">
        <v>2.85</v>
      </c>
      <c r="I160" s="320">
        <v>2.85</v>
      </c>
      <c r="J160" s="25">
        <v>5.8000000000000003E-2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2.0619999999999998</v>
      </c>
      <c r="E161" s="91">
        <v>0.19600000000000001</v>
      </c>
      <c r="F161" s="92">
        <v>1.2E-2</v>
      </c>
      <c r="G161" s="317">
        <v>83.71</v>
      </c>
      <c r="H161" s="317">
        <v>2.85</v>
      </c>
      <c r="I161" s="320">
        <v>2.85</v>
      </c>
      <c r="J161" s="25">
        <v>5.8000000000000003E-2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2.0619999999999998</v>
      </c>
      <c r="E162" s="91">
        <v>0.19600000000000001</v>
      </c>
      <c r="F162" s="92">
        <v>1.2E-2</v>
      </c>
      <c r="G162" s="317">
        <v>132.16999999999999</v>
      </c>
      <c r="H162" s="317">
        <v>2.85</v>
      </c>
      <c r="I162" s="320">
        <v>2.85</v>
      </c>
      <c r="J162" s="25">
        <v>5.8000000000000003E-2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2.0619999999999998</v>
      </c>
      <c r="E163" s="91">
        <v>0.19600000000000001</v>
      </c>
      <c r="F163" s="92">
        <v>1.2E-2</v>
      </c>
      <c r="G163" s="317">
        <v>261.44</v>
      </c>
      <c r="H163" s="317">
        <v>2.85</v>
      </c>
      <c r="I163" s="320">
        <v>2.85</v>
      </c>
      <c r="J163" s="25">
        <v>5.8000000000000003E-2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1.3120000000000001</v>
      </c>
      <c r="E164" s="91">
        <v>9.8000000000000004E-2</v>
      </c>
      <c r="F164" s="92">
        <v>4.0000000000000001E-3</v>
      </c>
      <c r="G164" s="317">
        <v>43.19</v>
      </c>
      <c r="H164" s="317">
        <v>3.71</v>
      </c>
      <c r="I164" s="320">
        <v>3.71</v>
      </c>
      <c r="J164" s="25">
        <v>3.3000000000000002E-2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1.3120000000000001</v>
      </c>
      <c r="E165" s="91">
        <v>9.8000000000000004E-2</v>
      </c>
      <c r="F165" s="92">
        <v>4.0000000000000001E-3</v>
      </c>
      <c r="G165" s="317">
        <v>399.94</v>
      </c>
      <c r="H165" s="317">
        <v>3.71</v>
      </c>
      <c r="I165" s="320">
        <v>3.71</v>
      </c>
      <c r="J165" s="25">
        <v>3.3000000000000002E-2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1.3120000000000001</v>
      </c>
      <c r="E166" s="91">
        <v>9.8000000000000004E-2</v>
      </c>
      <c r="F166" s="92">
        <v>4.0000000000000001E-3</v>
      </c>
      <c r="G166" s="317">
        <v>1085.52</v>
      </c>
      <c r="H166" s="317">
        <v>3.71</v>
      </c>
      <c r="I166" s="320">
        <v>3.71</v>
      </c>
      <c r="J166" s="25">
        <v>3.3000000000000002E-2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1.3120000000000001</v>
      </c>
      <c r="E167" s="91">
        <v>9.8000000000000004E-2</v>
      </c>
      <c r="F167" s="92">
        <v>4.0000000000000001E-3</v>
      </c>
      <c r="G167" s="317">
        <v>1973.61</v>
      </c>
      <c r="H167" s="317">
        <v>3.71</v>
      </c>
      <c r="I167" s="320">
        <v>3.71</v>
      </c>
      <c r="J167" s="25">
        <v>3.3000000000000002E-2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1.3120000000000001</v>
      </c>
      <c r="E168" s="91">
        <v>9.8000000000000004E-2</v>
      </c>
      <c r="F168" s="92">
        <v>4.0000000000000001E-3</v>
      </c>
      <c r="G168" s="317">
        <v>4948.92</v>
      </c>
      <c r="H168" s="317">
        <v>3.71</v>
      </c>
      <c r="I168" s="320">
        <v>3.71</v>
      </c>
      <c r="J168" s="25">
        <v>3.3000000000000002E-2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9.84</v>
      </c>
      <c r="E169" s="94">
        <v>0.73499999999999999</v>
      </c>
      <c r="F169" s="92">
        <v>0.41099999999999998</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-3.01</v>
      </c>
      <c r="E170" s="91">
        <v>-0.35899999999999999</v>
      </c>
      <c r="F170" s="92">
        <v>-0.03</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-2.82</v>
      </c>
      <c r="E171" s="91">
        <v>-0.32300000000000001</v>
      </c>
      <c r="F171" s="92">
        <v>-2.5999999999999999E-2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-3.01</v>
      </c>
      <c r="E172" s="91">
        <v>-0.35899999999999999</v>
      </c>
      <c r="F172" s="92">
        <v>-0.03</v>
      </c>
      <c r="G172" s="317" t="s">
        <v>797</v>
      </c>
      <c r="H172" s="318" t="s">
        <v>797</v>
      </c>
      <c r="I172" s="319" t="s">
        <v>797</v>
      </c>
      <c r="J172" s="25">
        <v>0.105</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-2.82</v>
      </c>
      <c r="E173" s="91">
        <v>-0.32300000000000001</v>
      </c>
      <c r="F173" s="92">
        <v>-2.5999999999999999E-2</v>
      </c>
      <c r="G173" s="317" t="s">
        <v>797</v>
      </c>
      <c r="H173" s="318" t="s">
        <v>797</v>
      </c>
      <c r="I173" s="319" t="s">
        <v>797</v>
      </c>
      <c r="J173" s="25">
        <v>8.7999999999999995E-2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-2.536</v>
      </c>
      <c r="E174" s="91">
        <v>-0.24099999999999999</v>
      </c>
      <c r="F174" s="92">
        <v>-1.4999999999999999E-2</v>
      </c>
      <c r="G174" s="317">
        <v>38.97</v>
      </c>
      <c r="H174" s="318" t="s">
        <v>797</v>
      </c>
      <c r="I174" s="319" t="s">
        <v>797</v>
      </c>
      <c r="J174" s="25">
        <v>0.105</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1.119</v>
      </c>
      <c r="E175" s="91">
        <v>0.13300000000000001</v>
      </c>
      <c r="F175" s="92">
        <v>1.0999999999999999E-2</v>
      </c>
      <c r="G175" s="317">
        <v>1.08</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2031</v>
      </c>
      <c r="D176" s="90">
        <v>1.119</v>
      </c>
      <c r="E176" s="91">
        <v>0.13300000000000001</v>
      </c>
      <c r="F176" s="92">
        <v>1.0999999999999999E-2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1.083</v>
      </c>
      <c r="E177" s="91">
        <v>0.129</v>
      </c>
      <c r="F177" s="92">
        <v>1.0999999999999999E-2</v>
      </c>
      <c r="G177" s="317">
        <v>1.06</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1.083</v>
      </c>
      <c r="E178" s="91">
        <v>0.129</v>
      </c>
      <c r="F178" s="92">
        <v>1.0999999999999999E-2</v>
      </c>
      <c r="G178" s="317">
        <v>1.35</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1.083</v>
      </c>
      <c r="E179" s="91">
        <v>0.129</v>
      </c>
      <c r="F179" s="92">
        <v>1.0999999999999999E-2</v>
      </c>
      <c r="G179" s="317">
        <v>2.15</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1.083</v>
      </c>
      <c r="E180" s="91">
        <v>0.129</v>
      </c>
      <c r="F180" s="92">
        <v>1.0999999999999999E-2</v>
      </c>
      <c r="G180" s="317">
        <v>3.45</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1.083</v>
      </c>
      <c r="E181" s="91">
        <v>0.129</v>
      </c>
      <c r="F181" s="92">
        <v>1.0999999999999999E-2</v>
      </c>
      <c r="G181" s="317">
        <v>7.33</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2032</v>
      </c>
      <c r="D182" s="90">
        <v>1.083</v>
      </c>
      <c r="E182" s="91">
        <v>0.129</v>
      </c>
      <c r="F182" s="92">
        <v>1.0999999999999999E-2</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0.73399999999999999</v>
      </c>
      <c r="E183" s="91">
        <v>8.2000000000000003E-2</v>
      </c>
      <c r="F183" s="92">
        <v>6.0000000000000001E-3</v>
      </c>
      <c r="G183" s="317">
        <v>1.25</v>
      </c>
      <c r="H183" s="317">
        <v>0.69</v>
      </c>
      <c r="I183" s="320">
        <v>0.69</v>
      </c>
      <c r="J183" s="25">
        <v>2.1999999999999999E-2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0.73399999999999999</v>
      </c>
      <c r="E184" s="91">
        <v>8.2000000000000003E-2</v>
      </c>
      <c r="F184" s="92">
        <v>6.0000000000000001E-3</v>
      </c>
      <c r="G184" s="317">
        <v>12.25</v>
      </c>
      <c r="H184" s="317">
        <v>0.69</v>
      </c>
      <c r="I184" s="320">
        <v>0.69</v>
      </c>
      <c r="J184" s="25">
        <v>2.1999999999999999E-2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0.73399999999999999</v>
      </c>
      <c r="E185" s="91">
        <v>8.2000000000000003E-2</v>
      </c>
      <c r="F185" s="92">
        <v>6.0000000000000001E-3</v>
      </c>
      <c r="G185" s="317">
        <v>19.88</v>
      </c>
      <c r="H185" s="317">
        <v>0.69</v>
      </c>
      <c r="I185" s="320">
        <v>0.69</v>
      </c>
      <c r="J185" s="25">
        <v>2.1999999999999999E-2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0.73399999999999999</v>
      </c>
      <c r="E186" s="91">
        <v>8.2000000000000003E-2</v>
      </c>
      <c r="F186" s="92">
        <v>6.0000000000000001E-3</v>
      </c>
      <c r="G186" s="317">
        <v>31.23</v>
      </c>
      <c r="H186" s="317">
        <v>0.69</v>
      </c>
      <c r="I186" s="320">
        <v>0.69</v>
      </c>
      <c r="J186" s="25">
        <v>2.1999999999999999E-2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0.73399999999999999</v>
      </c>
      <c r="E187" s="91">
        <v>8.2000000000000003E-2</v>
      </c>
      <c r="F187" s="92">
        <v>6.0000000000000001E-3</v>
      </c>
      <c r="G187" s="317">
        <v>61.5</v>
      </c>
      <c r="H187" s="317">
        <v>0.69</v>
      </c>
      <c r="I187" s="320">
        <v>0.69</v>
      </c>
      <c r="J187" s="25">
        <v>2.1999999999999999E-2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0.72799999999999998</v>
      </c>
      <c r="E188" s="91">
        <v>6.9000000000000006E-2</v>
      </c>
      <c r="F188" s="92">
        <v>4.0000000000000001E-3</v>
      </c>
      <c r="G188" s="317">
        <v>1.47</v>
      </c>
      <c r="H188" s="317">
        <v>1.01</v>
      </c>
      <c r="I188" s="320">
        <v>1.01</v>
      </c>
      <c r="J188" s="25">
        <v>2.1000000000000001E-2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0.72799999999999998</v>
      </c>
      <c r="E189" s="91">
        <v>6.9000000000000006E-2</v>
      </c>
      <c r="F189" s="92">
        <v>4.0000000000000001E-3</v>
      </c>
      <c r="G189" s="317">
        <v>18.059999999999999</v>
      </c>
      <c r="H189" s="317">
        <v>1.01</v>
      </c>
      <c r="I189" s="320">
        <v>1.01</v>
      </c>
      <c r="J189" s="25">
        <v>2.1000000000000001E-2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0.72799999999999998</v>
      </c>
      <c r="E190" s="91">
        <v>6.9000000000000006E-2</v>
      </c>
      <c r="F190" s="92">
        <v>4.0000000000000001E-3</v>
      </c>
      <c r="G190" s="317">
        <v>29.57</v>
      </c>
      <c r="H190" s="317">
        <v>1.01</v>
      </c>
      <c r="I190" s="320">
        <v>1.01</v>
      </c>
      <c r="J190" s="25">
        <v>2.1000000000000001E-2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0.72799999999999998</v>
      </c>
      <c r="E191" s="91">
        <v>6.9000000000000006E-2</v>
      </c>
      <c r="F191" s="92">
        <v>4.0000000000000001E-3</v>
      </c>
      <c r="G191" s="317">
        <v>46.68</v>
      </c>
      <c r="H191" s="317">
        <v>1.01</v>
      </c>
      <c r="I191" s="320">
        <v>1.01</v>
      </c>
      <c r="J191" s="25">
        <v>2.1000000000000001E-2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0.72799999999999998</v>
      </c>
      <c r="E192" s="91">
        <v>6.9000000000000006E-2</v>
      </c>
      <c r="F192" s="92">
        <v>4.0000000000000001E-3</v>
      </c>
      <c r="G192" s="317">
        <v>92.34</v>
      </c>
      <c r="H192" s="317">
        <v>1.01</v>
      </c>
      <c r="I192" s="320">
        <v>1.01</v>
      </c>
      <c r="J192" s="25">
        <v>2.1000000000000001E-2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0.46300000000000002</v>
      </c>
      <c r="E193" s="91">
        <v>3.5000000000000003E-2</v>
      </c>
      <c r="F193" s="92">
        <v>1E-3</v>
      </c>
      <c r="G193" s="317">
        <v>15.26</v>
      </c>
      <c r="H193" s="317">
        <v>1.31</v>
      </c>
      <c r="I193" s="320">
        <v>1.31</v>
      </c>
      <c r="J193" s="25">
        <v>1.0999999999999999E-2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0.46300000000000002</v>
      </c>
      <c r="E194" s="91">
        <v>3.5000000000000003E-2</v>
      </c>
      <c r="F194" s="92">
        <v>1E-3</v>
      </c>
      <c r="G194" s="317">
        <v>141.26</v>
      </c>
      <c r="H194" s="317">
        <v>1.31</v>
      </c>
      <c r="I194" s="320">
        <v>1.31</v>
      </c>
      <c r="J194" s="25">
        <v>1.0999999999999999E-2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0.46300000000000002</v>
      </c>
      <c r="E195" s="91">
        <v>3.5000000000000003E-2</v>
      </c>
      <c r="F195" s="92">
        <v>1E-3</v>
      </c>
      <c r="G195" s="317">
        <v>383.42</v>
      </c>
      <c r="H195" s="317">
        <v>1.31</v>
      </c>
      <c r="I195" s="320">
        <v>1.31</v>
      </c>
      <c r="J195" s="25">
        <v>1.0999999999999999E-2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0.46300000000000002</v>
      </c>
      <c r="E196" s="91">
        <v>3.5000000000000003E-2</v>
      </c>
      <c r="F196" s="92">
        <v>1E-3</v>
      </c>
      <c r="G196" s="317">
        <v>697.1</v>
      </c>
      <c r="H196" s="317">
        <v>1.31</v>
      </c>
      <c r="I196" s="320">
        <v>1.31</v>
      </c>
      <c r="J196" s="25">
        <v>1.0999999999999999E-2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0.46300000000000002</v>
      </c>
      <c r="E197" s="91">
        <v>3.5000000000000003E-2</v>
      </c>
      <c r="F197" s="92">
        <v>1E-3</v>
      </c>
      <c r="G197" s="317">
        <v>1748.01</v>
      </c>
      <c r="H197" s="317">
        <v>1.31</v>
      </c>
      <c r="I197" s="320">
        <v>1.31</v>
      </c>
      <c r="J197" s="25">
        <v>1.0999999999999999E-2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3.4750000000000001</v>
      </c>
      <c r="E198" s="94">
        <v>0.26</v>
      </c>
      <c r="F198" s="92">
        <v>0.14499999999999999</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-1.0629999999999999</v>
      </c>
      <c r="E199" s="91">
        <v>-0.127</v>
      </c>
      <c r="F199" s="92">
        <v>-0.01</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-0.996</v>
      </c>
      <c r="E200" s="91">
        <v>-0.114</v>
      </c>
      <c r="F200" s="92">
        <v>-8.9999999999999993E-3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-1.0629999999999999</v>
      </c>
      <c r="E201" s="91">
        <v>-0.127</v>
      </c>
      <c r="F201" s="92">
        <v>-0.01</v>
      </c>
      <c r="G201" s="317" t="s">
        <v>797</v>
      </c>
      <c r="H201" s="318" t="s">
        <v>797</v>
      </c>
      <c r="I201" s="319" t="s">
        <v>797</v>
      </c>
      <c r="J201" s="25">
        <v>3.6999999999999998E-2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-0.996</v>
      </c>
      <c r="E202" s="91">
        <v>-0.114</v>
      </c>
      <c r="F202" s="92">
        <v>-8.9999999999999993E-3</v>
      </c>
      <c r="G202" s="317" t="s">
        <v>797</v>
      </c>
      <c r="H202" s="318" t="s">
        <v>797</v>
      </c>
      <c r="I202" s="319" t="s">
        <v>797</v>
      </c>
      <c r="J202" s="25">
        <v>3.1E-2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-0.89600000000000002</v>
      </c>
      <c r="E203" s="91">
        <v>-8.5000000000000006E-2</v>
      </c>
      <c r="F203" s="92">
        <v>-5.0000000000000001E-3</v>
      </c>
      <c r="G203" s="317">
        <v>13.77</v>
      </c>
      <c r="H203" s="318" t="s">
        <v>797</v>
      </c>
      <c r="I203" s="319" t="s">
        <v>797</v>
      </c>
      <c r="J203" s="25">
        <v>3.6999999999999998E-2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8">
    <mergeCell ref="B10:E10"/>
    <mergeCell ref="G10:H10"/>
    <mergeCell ref="B8:D8"/>
    <mergeCell ref="A2:J2"/>
    <mergeCell ref="A4:D4"/>
    <mergeCell ref="F4:J4"/>
    <mergeCell ref="C9:D9"/>
    <mergeCell ref="H9:J9"/>
  </mergeCells>
  <conditionalFormatting sqref="K14:Q203">
    <cfRule type="cellIs" dxfId="74" priority="2" operator="equal">
      <formula>0</formula>
    </cfRule>
    <cfRule type="cellIs" dxfId="73" priority="3" operator="lessThan">
      <formula>0</formula>
    </cfRule>
    <cfRule type="cellIs" dxfId="72" priority="4" operator="greaterThan">
      <formula>0</formula>
    </cfRule>
  </conditionalFormatting>
  <conditionalFormatting sqref="K14:R203">
    <cfRule type="expression" dxfId="71" priority="1">
      <formula>$K14&lt;&gt;""</formula>
    </cfRule>
  </conditionalFormatting>
  <hyperlinks>
    <hyperlink ref="A1" location="Overview!A1" display="Back to Overview" xr:uid="{AE56D807-17BE-4F26-94CE-78BC04396834}"/>
  </hyperlinks>
  <pageMargins left="0.39370078740157483" right="0.39370078740157483" top="0.51181102362204722" bottom="0.78740157480314965" header="0.27559055118110237" footer="0.27559055118110237"/>
  <pageSetup paperSize="9" scale="16"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48"/>
  <sheetViews>
    <sheetView zoomScale="80" zoomScaleNormal="80" workbookViewId="0"/>
  </sheetViews>
  <sheetFormatPr defaultColWidth="9.140625" defaultRowHeight="27.75" customHeight="1" x14ac:dyDescent="0.2"/>
  <cols>
    <col min="1" max="1" width="49" style="1" bestFit="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3" width="15.5703125" style="341" customWidth="1"/>
    <col min="14" max="18" width="15.5703125" style="1" customWidth="1"/>
    <col min="19" max="16384" width="9.140625" style="1"/>
  </cols>
  <sheetData>
    <row r="1" spans="1:14" ht="27.75" customHeight="1" x14ac:dyDescent="0.2">
      <c r="A1" s="31" t="s">
        <v>19</v>
      </c>
      <c r="B1" s="385"/>
      <c r="C1" s="386"/>
      <c r="D1" s="386"/>
      <c r="E1" s="383" t="s">
        <v>367</v>
      </c>
      <c r="F1" s="383"/>
      <c r="G1" s="383"/>
      <c r="H1" s="383"/>
      <c r="I1" s="383"/>
      <c r="J1" s="383"/>
      <c r="K1" s="383"/>
      <c r="L1" s="241"/>
      <c r="M1" s="340"/>
      <c r="N1" s="241"/>
    </row>
    <row r="2" spans="1:14" ht="27" customHeight="1" x14ac:dyDescent="0.2">
      <c r="A2" s="384" t="str">
        <f>Overview!B4&amp;" - Effective from "&amp;TEXT(Overview!$D$4,"d mmmm yyyy")&amp;" - Final LV and HV charges in UKPN EPN Area (GSP Group _A)"</f>
        <v>Leep Electricity Networks Limited - Effective from 1 April 2027 - Final LV and HV charges in UKPN EPN Area (GSP Group _A)</v>
      </c>
      <c r="B2" s="384"/>
      <c r="C2" s="384"/>
      <c r="D2" s="384"/>
      <c r="E2" s="384"/>
      <c r="F2" s="384"/>
      <c r="G2" s="384"/>
      <c r="H2" s="384"/>
      <c r="I2" s="384"/>
      <c r="J2" s="384"/>
      <c r="K2" s="384"/>
    </row>
    <row r="3" spans="1:14" s="40" customFormat="1" ht="15" customHeight="1" x14ac:dyDescent="0.2">
      <c r="A3" s="45"/>
      <c r="B3" s="45"/>
      <c r="C3" s="45"/>
      <c r="D3" s="45"/>
      <c r="E3" s="45"/>
      <c r="F3" s="45"/>
      <c r="G3" s="45"/>
      <c r="H3" s="45"/>
      <c r="I3" s="45"/>
      <c r="J3" s="45"/>
      <c r="K3" s="45"/>
      <c r="L3" s="30"/>
      <c r="M3" s="342"/>
    </row>
    <row r="4" spans="1:14" ht="27" customHeight="1" x14ac:dyDescent="0.2">
      <c r="A4" s="384" t="s">
        <v>290</v>
      </c>
      <c r="B4" s="384"/>
      <c r="C4" s="384"/>
      <c r="D4" s="384"/>
      <c r="E4" s="384"/>
      <c r="F4" s="45"/>
      <c r="G4" s="384" t="s">
        <v>289</v>
      </c>
      <c r="H4" s="384"/>
      <c r="I4" s="384"/>
      <c r="J4" s="384"/>
      <c r="K4" s="384"/>
    </row>
    <row r="5" spans="1:14" ht="28.5" customHeight="1" x14ac:dyDescent="0.2">
      <c r="A5" s="39" t="s">
        <v>13</v>
      </c>
      <c r="B5" s="256" t="s">
        <v>281</v>
      </c>
      <c r="C5" s="379" t="s">
        <v>282</v>
      </c>
      <c r="D5" s="380"/>
      <c r="E5" s="41" t="s">
        <v>283</v>
      </c>
      <c r="F5" s="45"/>
      <c r="G5" s="381"/>
      <c r="H5" s="382"/>
      <c r="I5" s="43" t="s">
        <v>287</v>
      </c>
      <c r="J5" s="44" t="s">
        <v>288</v>
      </c>
      <c r="K5" s="41" t="s">
        <v>283</v>
      </c>
      <c r="L5" s="45"/>
    </row>
    <row r="6" spans="1:14" ht="65.25" customHeight="1" x14ac:dyDescent="0.2">
      <c r="A6" s="113" t="s">
        <v>794</v>
      </c>
      <c r="B6" s="13" t="s">
        <v>370</v>
      </c>
      <c r="C6" s="375" t="s">
        <v>795</v>
      </c>
      <c r="D6" s="375"/>
      <c r="E6" s="95" t="s">
        <v>796</v>
      </c>
      <c r="F6" s="45" t="s">
        <v>797</v>
      </c>
      <c r="G6" s="371" t="s">
        <v>285</v>
      </c>
      <c r="H6" s="371"/>
      <c r="I6" s="13" t="s">
        <v>370</v>
      </c>
      <c r="J6" s="248" t="s">
        <v>795</v>
      </c>
      <c r="K6" s="95" t="s">
        <v>796</v>
      </c>
      <c r="L6" s="45"/>
    </row>
    <row r="7" spans="1:14" ht="65.25" customHeight="1" x14ac:dyDescent="0.2">
      <c r="A7" s="113" t="s">
        <v>798</v>
      </c>
      <c r="B7" s="250" t="s">
        <v>797</v>
      </c>
      <c r="C7" s="376" t="s">
        <v>797</v>
      </c>
      <c r="D7" s="376"/>
      <c r="E7" s="248" t="s">
        <v>799</v>
      </c>
      <c r="F7" s="45" t="s">
        <v>797</v>
      </c>
      <c r="G7" s="371" t="s">
        <v>800</v>
      </c>
      <c r="H7" s="371"/>
      <c r="I7" s="250" t="s">
        <v>797</v>
      </c>
      <c r="J7" s="248" t="s">
        <v>801</v>
      </c>
      <c r="K7" s="95" t="s">
        <v>796</v>
      </c>
      <c r="L7" s="45"/>
    </row>
    <row r="8" spans="1:14" ht="65.25" customHeight="1" x14ac:dyDescent="0.2">
      <c r="A8" s="249" t="s">
        <v>14</v>
      </c>
      <c r="B8" s="372" t="s">
        <v>15</v>
      </c>
      <c r="C8" s="373"/>
      <c r="D8" s="373"/>
      <c r="E8" s="374"/>
      <c r="F8" s="45" t="s">
        <v>797</v>
      </c>
      <c r="G8" s="377" t="s">
        <v>798</v>
      </c>
      <c r="H8" s="378"/>
      <c r="I8" s="250" t="s">
        <v>797</v>
      </c>
      <c r="J8" s="250" t="s">
        <v>797</v>
      </c>
      <c r="K8" s="248" t="s">
        <v>799</v>
      </c>
      <c r="L8" s="45"/>
    </row>
    <row r="9" spans="1:14" s="40" customFormat="1" ht="27" customHeight="1" x14ac:dyDescent="0.2">
      <c r="A9" s="45" t="s">
        <v>797</v>
      </c>
      <c r="B9" s="45" t="s">
        <v>797</v>
      </c>
      <c r="C9" s="45" t="s">
        <v>797</v>
      </c>
      <c r="D9" s="45" t="s">
        <v>797</v>
      </c>
      <c r="E9" s="45" t="s">
        <v>797</v>
      </c>
      <c r="F9" s="45" t="s">
        <v>797</v>
      </c>
      <c r="G9" s="371" t="s">
        <v>14</v>
      </c>
      <c r="H9" s="371"/>
      <c r="I9" s="372" t="s">
        <v>15</v>
      </c>
      <c r="J9" s="373"/>
      <c r="K9" s="374"/>
      <c r="L9" s="30"/>
      <c r="M9" s="342"/>
    </row>
    <row r="10" spans="1:14" s="40" customFormat="1" ht="12.75" customHeight="1" x14ac:dyDescent="0.2">
      <c r="A10" s="45"/>
      <c r="B10" s="45"/>
      <c r="C10" s="45"/>
      <c r="D10" s="45"/>
      <c r="E10" s="45"/>
      <c r="F10" s="45"/>
      <c r="G10" s="45"/>
      <c r="H10" s="45"/>
      <c r="I10" s="45"/>
      <c r="J10" s="45"/>
      <c r="K10" s="45"/>
      <c r="L10" s="30"/>
      <c r="M10" s="342"/>
    </row>
    <row r="11" spans="1:14" s="40" customFormat="1" ht="12.75" customHeight="1" x14ac:dyDescent="0.2">
      <c r="A11" s="45"/>
      <c r="B11" s="45"/>
      <c r="C11" s="45"/>
      <c r="D11" s="45"/>
      <c r="E11" s="45"/>
      <c r="F11" s="45"/>
      <c r="G11" s="45"/>
      <c r="H11" s="45"/>
      <c r="I11" s="45"/>
      <c r="J11" s="45"/>
      <c r="K11" s="45"/>
      <c r="L11" s="30"/>
      <c r="M11" s="342"/>
    </row>
    <row r="12" spans="1:14" s="40" customFormat="1" ht="12.75" customHeight="1" x14ac:dyDescent="0.2">
      <c r="A12" s="45"/>
      <c r="B12" s="45"/>
      <c r="C12" s="45"/>
      <c r="D12" s="45"/>
      <c r="E12" s="45"/>
      <c r="F12" s="45"/>
      <c r="G12" s="45"/>
      <c r="H12" s="45"/>
      <c r="I12" s="45"/>
      <c r="J12" s="45"/>
      <c r="K12" s="45"/>
      <c r="L12" s="30"/>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817</v>
      </c>
      <c r="C14" s="311" t="s">
        <v>802</v>
      </c>
      <c r="D14" s="90">
        <v>15.087</v>
      </c>
      <c r="E14" s="91">
        <v>2.472</v>
      </c>
      <c r="F14" s="92">
        <v>0.33300000000000002</v>
      </c>
      <c r="G14" s="28">
        <v>11.78</v>
      </c>
      <c r="H14" s="29" t="s">
        <v>797</v>
      </c>
      <c r="I14" s="29" t="s">
        <v>797</v>
      </c>
      <c r="J14" s="26" t="s">
        <v>797</v>
      </c>
      <c r="K14" s="27"/>
    </row>
    <row r="15" spans="1:14" ht="32.25" customHeight="1" x14ac:dyDescent="0.2">
      <c r="A15" s="10" t="s">
        <v>495</v>
      </c>
      <c r="B15" s="332" t="s">
        <v>797</v>
      </c>
      <c r="C15" s="311">
        <v>2</v>
      </c>
      <c r="D15" s="90">
        <v>15.087</v>
      </c>
      <c r="E15" s="91">
        <v>2.472</v>
      </c>
      <c r="F15" s="92">
        <v>0.33300000000000002</v>
      </c>
      <c r="G15" s="29" t="s">
        <v>797</v>
      </c>
      <c r="H15" s="29" t="s">
        <v>797</v>
      </c>
      <c r="I15" s="29" t="s">
        <v>797</v>
      </c>
      <c r="J15" s="26" t="s">
        <v>797</v>
      </c>
      <c r="K15" s="27"/>
    </row>
    <row r="16" spans="1:14" ht="32.25" customHeight="1" x14ac:dyDescent="0.2">
      <c r="A16" s="10" t="s">
        <v>675</v>
      </c>
      <c r="B16" s="332" t="s">
        <v>818</v>
      </c>
      <c r="C16" s="311" t="s">
        <v>803</v>
      </c>
      <c r="D16" s="90">
        <v>11.648</v>
      </c>
      <c r="E16" s="91">
        <v>1.909</v>
      </c>
      <c r="F16" s="92">
        <v>0.25700000000000001</v>
      </c>
      <c r="G16" s="28">
        <v>10.4</v>
      </c>
      <c r="H16" s="29" t="s">
        <v>797</v>
      </c>
      <c r="I16" s="29" t="s">
        <v>797</v>
      </c>
      <c r="J16" s="26" t="s">
        <v>797</v>
      </c>
      <c r="K16" s="27"/>
    </row>
    <row r="17" spans="1:11" ht="32.25" customHeight="1" x14ac:dyDescent="0.2">
      <c r="A17" s="10" t="s">
        <v>676</v>
      </c>
      <c r="B17" s="332" t="s">
        <v>819</v>
      </c>
      <c r="C17" s="311" t="s">
        <v>803</v>
      </c>
      <c r="D17" s="90">
        <v>11.648</v>
      </c>
      <c r="E17" s="91">
        <v>1.909</v>
      </c>
      <c r="F17" s="92">
        <v>0.25700000000000001</v>
      </c>
      <c r="G17" s="28">
        <v>12.37</v>
      </c>
      <c r="H17" s="29" t="s">
        <v>797</v>
      </c>
      <c r="I17" s="29" t="s">
        <v>797</v>
      </c>
      <c r="J17" s="26" t="s">
        <v>797</v>
      </c>
      <c r="K17" s="27"/>
    </row>
    <row r="18" spans="1:11" ht="32.25" customHeight="1" x14ac:dyDescent="0.2">
      <c r="A18" s="10" t="s">
        <v>677</v>
      </c>
      <c r="B18" s="332" t="s">
        <v>820</v>
      </c>
      <c r="C18" s="311" t="s">
        <v>803</v>
      </c>
      <c r="D18" s="90">
        <v>11.648</v>
      </c>
      <c r="E18" s="91">
        <v>1.909</v>
      </c>
      <c r="F18" s="92">
        <v>0.25700000000000001</v>
      </c>
      <c r="G18" s="28">
        <v>15.67</v>
      </c>
      <c r="H18" s="29" t="s">
        <v>797</v>
      </c>
      <c r="I18" s="29" t="s">
        <v>797</v>
      </c>
      <c r="J18" s="26" t="s">
        <v>797</v>
      </c>
      <c r="K18" s="27"/>
    </row>
    <row r="19" spans="1:11" ht="32.25" customHeight="1" x14ac:dyDescent="0.2">
      <c r="A19" s="10" t="s">
        <v>678</v>
      </c>
      <c r="B19" s="332" t="s">
        <v>821</v>
      </c>
      <c r="C19" s="311" t="s">
        <v>803</v>
      </c>
      <c r="D19" s="90">
        <v>11.648</v>
      </c>
      <c r="E19" s="91">
        <v>1.909</v>
      </c>
      <c r="F19" s="92">
        <v>0.25700000000000001</v>
      </c>
      <c r="G19" s="28">
        <v>20.93</v>
      </c>
      <c r="H19" s="29" t="s">
        <v>797</v>
      </c>
      <c r="I19" s="29" t="s">
        <v>797</v>
      </c>
      <c r="J19" s="26" t="s">
        <v>797</v>
      </c>
      <c r="K19" s="27"/>
    </row>
    <row r="20" spans="1:11" ht="32.25" customHeight="1" x14ac:dyDescent="0.2">
      <c r="A20" s="10" t="s">
        <v>679</v>
      </c>
      <c r="B20" s="332" t="s">
        <v>822</v>
      </c>
      <c r="C20" s="311" t="s">
        <v>803</v>
      </c>
      <c r="D20" s="90">
        <v>11.648</v>
      </c>
      <c r="E20" s="91">
        <v>1.909</v>
      </c>
      <c r="F20" s="92">
        <v>0.25700000000000001</v>
      </c>
      <c r="G20" s="28">
        <v>39.74</v>
      </c>
      <c r="H20" s="29" t="s">
        <v>797</v>
      </c>
      <c r="I20" s="29" t="s">
        <v>797</v>
      </c>
      <c r="J20" s="26" t="s">
        <v>797</v>
      </c>
      <c r="K20" s="27"/>
    </row>
    <row r="21" spans="1:11" ht="32.25" customHeight="1" x14ac:dyDescent="0.2">
      <c r="A21" s="10" t="s">
        <v>476</v>
      </c>
      <c r="B21" s="332" t="s">
        <v>797</v>
      </c>
      <c r="C21" s="311">
        <v>4</v>
      </c>
      <c r="D21" s="90">
        <v>11.648</v>
      </c>
      <c r="E21" s="91">
        <v>1.909</v>
      </c>
      <c r="F21" s="92">
        <v>0.25700000000000001</v>
      </c>
      <c r="G21" s="29" t="s">
        <v>797</v>
      </c>
      <c r="H21" s="29" t="s">
        <v>797</v>
      </c>
      <c r="I21" s="29" t="s">
        <v>797</v>
      </c>
      <c r="J21" s="26" t="s">
        <v>797</v>
      </c>
      <c r="K21" s="27"/>
    </row>
    <row r="22" spans="1:11" ht="32.25" customHeight="1" x14ac:dyDescent="0.2">
      <c r="A22" s="10" t="s">
        <v>496</v>
      </c>
      <c r="B22" s="332" t="s">
        <v>823</v>
      </c>
      <c r="C22" s="311">
        <v>0</v>
      </c>
      <c r="D22" s="90">
        <v>8.5289999999999999</v>
      </c>
      <c r="E22" s="91">
        <v>1.33</v>
      </c>
      <c r="F22" s="92">
        <v>0.16800000000000001</v>
      </c>
      <c r="G22" s="28">
        <v>24.89</v>
      </c>
      <c r="H22" s="28">
        <v>8.7899999999999991</v>
      </c>
      <c r="I22" s="89">
        <v>8.7899999999999991</v>
      </c>
      <c r="J22" s="25">
        <v>0.42699999999999999</v>
      </c>
      <c r="K22" s="27"/>
    </row>
    <row r="23" spans="1:11" ht="32.25" customHeight="1" x14ac:dyDescent="0.2">
      <c r="A23" s="10" t="s">
        <v>497</v>
      </c>
      <c r="B23" s="332" t="s">
        <v>824</v>
      </c>
      <c r="C23" s="311">
        <v>0</v>
      </c>
      <c r="D23" s="90">
        <v>8.5289999999999999</v>
      </c>
      <c r="E23" s="91">
        <v>1.33</v>
      </c>
      <c r="F23" s="92">
        <v>0.16800000000000001</v>
      </c>
      <c r="G23" s="28">
        <v>86.99</v>
      </c>
      <c r="H23" s="28">
        <v>8.7899999999999991</v>
      </c>
      <c r="I23" s="89">
        <v>8.7899999999999991</v>
      </c>
      <c r="J23" s="25">
        <v>0.42699999999999999</v>
      </c>
      <c r="K23" s="27"/>
    </row>
    <row r="24" spans="1:11" ht="32.25" customHeight="1" x14ac:dyDescent="0.2">
      <c r="A24" s="10" t="s">
        <v>498</v>
      </c>
      <c r="B24" s="332" t="s">
        <v>825</v>
      </c>
      <c r="C24" s="311">
        <v>0</v>
      </c>
      <c r="D24" s="90">
        <v>8.5289999999999999</v>
      </c>
      <c r="E24" s="91">
        <v>1.33</v>
      </c>
      <c r="F24" s="92">
        <v>0.16800000000000001</v>
      </c>
      <c r="G24" s="28">
        <v>123.11</v>
      </c>
      <c r="H24" s="28">
        <v>8.7899999999999991</v>
      </c>
      <c r="I24" s="89">
        <v>8.7899999999999991</v>
      </c>
      <c r="J24" s="25">
        <v>0.42699999999999999</v>
      </c>
      <c r="K24" s="27"/>
    </row>
    <row r="25" spans="1:11" ht="32.25" customHeight="1" x14ac:dyDescent="0.2">
      <c r="A25" s="10" t="s">
        <v>499</v>
      </c>
      <c r="B25" s="332" t="s">
        <v>826</v>
      </c>
      <c r="C25" s="311">
        <v>0</v>
      </c>
      <c r="D25" s="90">
        <v>8.5289999999999999</v>
      </c>
      <c r="E25" s="91">
        <v>1.33</v>
      </c>
      <c r="F25" s="92">
        <v>0.16800000000000001</v>
      </c>
      <c r="G25" s="28">
        <v>173.53</v>
      </c>
      <c r="H25" s="28">
        <v>8.7899999999999991</v>
      </c>
      <c r="I25" s="89">
        <v>8.7899999999999991</v>
      </c>
      <c r="J25" s="25">
        <v>0.42699999999999999</v>
      </c>
      <c r="K25" s="27"/>
    </row>
    <row r="26" spans="1:11" ht="32.25" customHeight="1" x14ac:dyDescent="0.2">
      <c r="A26" s="10" t="s">
        <v>500</v>
      </c>
      <c r="B26" s="332" t="s">
        <v>827</v>
      </c>
      <c r="C26" s="311">
        <v>0</v>
      </c>
      <c r="D26" s="90">
        <v>8.5289999999999999</v>
      </c>
      <c r="E26" s="91">
        <v>1.33</v>
      </c>
      <c r="F26" s="92">
        <v>0.16800000000000001</v>
      </c>
      <c r="G26" s="28">
        <v>370.11</v>
      </c>
      <c r="H26" s="28">
        <v>8.7899999999999991</v>
      </c>
      <c r="I26" s="89">
        <v>8.7899999999999991</v>
      </c>
      <c r="J26" s="25">
        <v>0.42699999999999999</v>
      </c>
      <c r="K26" s="27"/>
    </row>
    <row r="27" spans="1:11" ht="32.25" customHeight="1" x14ac:dyDescent="0.2">
      <c r="A27" s="10" t="s">
        <v>501</v>
      </c>
      <c r="B27" s="332" t="s">
        <v>828</v>
      </c>
      <c r="C27" s="311">
        <v>0</v>
      </c>
      <c r="D27" s="90">
        <v>5.4279999999999999</v>
      </c>
      <c r="E27" s="91">
        <v>0.77800000000000002</v>
      </c>
      <c r="F27" s="92">
        <v>8.6999999999999994E-2</v>
      </c>
      <c r="G27" s="28">
        <v>20.94</v>
      </c>
      <c r="H27" s="28">
        <v>6.38</v>
      </c>
      <c r="I27" s="89">
        <v>6.38</v>
      </c>
      <c r="J27" s="25">
        <v>0.25</v>
      </c>
      <c r="K27" s="27"/>
    </row>
    <row r="28" spans="1:11" ht="32.25" customHeight="1" x14ac:dyDescent="0.2">
      <c r="A28" s="10" t="s">
        <v>502</v>
      </c>
      <c r="B28" s="332" t="s">
        <v>829</v>
      </c>
      <c r="C28" s="311">
        <v>0</v>
      </c>
      <c r="D28" s="90">
        <v>5.4279999999999999</v>
      </c>
      <c r="E28" s="91">
        <v>0.77800000000000002</v>
      </c>
      <c r="F28" s="92">
        <v>8.6999999999999994E-2</v>
      </c>
      <c r="G28" s="28">
        <v>83.05</v>
      </c>
      <c r="H28" s="28">
        <v>6.38</v>
      </c>
      <c r="I28" s="89">
        <v>6.38</v>
      </c>
      <c r="J28" s="25">
        <v>0.25</v>
      </c>
      <c r="K28" s="27"/>
    </row>
    <row r="29" spans="1:11" ht="32.25" customHeight="1" x14ac:dyDescent="0.2">
      <c r="A29" s="10" t="s">
        <v>503</v>
      </c>
      <c r="B29" s="332" t="s">
        <v>830</v>
      </c>
      <c r="C29" s="311">
        <v>0</v>
      </c>
      <c r="D29" s="90">
        <v>5.4279999999999999</v>
      </c>
      <c r="E29" s="91">
        <v>0.77800000000000002</v>
      </c>
      <c r="F29" s="92">
        <v>8.6999999999999994E-2</v>
      </c>
      <c r="G29" s="28">
        <v>119.16</v>
      </c>
      <c r="H29" s="28">
        <v>6.38</v>
      </c>
      <c r="I29" s="89">
        <v>6.38</v>
      </c>
      <c r="J29" s="25">
        <v>0.25</v>
      </c>
      <c r="K29" s="27"/>
    </row>
    <row r="30" spans="1:11" ht="32.25" customHeight="1" x14ac:dyDescent="0.2">
      <c r="A30" s="10" t="s">
        <v>504</v>
      </c>
      <c r="B30" s="332" t="s">
        <v>831</v>
      </c>
      <c r="C30" s="311">
        <v>0</v>
      </c>
      <c r="D30" s="90">
        <v>5.4279999999999999</v>
      </c>
      <c r="E30" s="91">
        <v>0.77800000000000002</v>
      </c>
      <c r="F30" s="92">
        <v>8.6999999999999994E-2</v>
      </c>
      <c r="G30" s="28">
        <v>169.58</v>
      </c>
      <c r="H30" s="28">
        <v>6.38</v>
      </c>
      <c r="I30" s="89">
        <v>6.38</v>
      </c>
      <c r="J30" s="25">
        <v>0.25</v>
      </c>
      <c r="K30" s="27"/>
    </row>
    <row r="31" spans="1:11" ht="32.25" customHeight="1" x14ac:dyDescent="0.2">
      <c r="A31" s="10" t="s">
        <v>505</v>
      </c>
      <c r="B31" s="332" t="s">
        <v>832</v>
      </c>
      <c r="C31" s="311">
        <v>0</v>
      </c>
      <c r="D31" s="90">
        <v>5.4279999999999999</v>
      </c>
      <c r="E31" s="91">
        <v>0.77800000000000002</v>
      </c>
      <c r="F31" s="92">
        <v>8.6999999999999994E-2</v>
      </c>
      <c r="G31" s="28">
        <v>366.16</v>
      </c>
      <c r="H31" s="28">
        <v>6.38</v>
      </c>
      <c r="I31" s="89">
        <v>6.38</v>
      </c>
      <c r="J31" s="25">
        <v>0.25</v>
      </c>
      <c r="K31" s="27"/>
    </row>
    <row r="32" spans="1:11" ht="32.25" customHeight="1" x14ac:dyDescent="0.2">
      <c r="A32" s="10" t="s">
        <v>506</v>
      </c>
      <c r="B32" s="332" t="s">
        <v>833</v>
      </c>
      <c r="C32" s="311">
        <v>0</v>
      </c>
      <c r="D32" s="90">
        <v>4.6550000000000002</v>
      </c>
      <c r="E32" s="91">
        <v>0.63100000000000001</v>
      </c>
      <c r="F32" s="92">
        <v>6.7000000000000004E-2</v>
      </c>
      <c r="G32" s="28">
        <v>222.02</v>
      </c>
      <c r="H32" s="28">
        <v>5.6</v>
      </c>
      <c r="I32" s="89">
        <v>5.6</v>
      </c>
      <c r="J32" s="25">
        <v>0.20200000000000001</v>
      </c>
      <c r="K32" s="27"/>
    </row>
    <row r="33" spans="1:11" ht="32.25" customHeight="1" x14ac:dyDescent="0.2">
      <c r="A33" s="10" t="s">
        <v>507</v>
      </c>
      <c r="B33" s="332" t="s">
        <v>834</v>
      </c>
      <c r="C33" s="311">
        <v>0</v>
      </c>
      <c r="D33" s="90">
        <v>4.6550000000000002</v>
      </c>
      <c r="E33" s="91">
        <v>0.63100000000000001</v>
      </c>
      <c r="F33" s="92">
        <v>6.7000000000000004E-2</v>
      </c>
      <c r="G33" s="28">
        <v>765.86</v>
      </c>
      <c r="H33" s="28">
        <v>5.6</v>
      </c>
      <c r="I33" s="89">
        <v>5.6</v>
      </c>
      <c r="J33" s="25">
        <v>0.20200000000000001</v>
      </c>
      <c r="K33" s="27"/>
    </row>
    <row r="34" spans="1:11" ht="32.25" customHeight="1" x14ac:dyDescent="0.2">
      <c r="A34" s="10" t="s">
        <v>508</v>
      </c>
      <c r="B34" s="332" t="s">
        <v>835</v>
      </c>
      <c r="C34" s="311">
        <v>0</v>
      </c>
      <c r="D34" s="90">
        <v>4.6550000000000002</v>
      </c>
      <c r="E34" s="91">
        <v>0.63100000000000001</v>
      </c>
      <c r="F34" s="92">
        <v>6.7000000000000004E-2</v>
      </c>
      <c r="G34" s="28">
        <v>1382.89</v>
      </c>
      <c r="H34" s="28">
        <v>5.6</v>
      </c>
      <c r="I34" s="89">
        <v>5.6</v>
      </c>
      <c r="J34" s="25">
        <v>0.20200000000000001</v>
      </c>
      <c r="K34" s="27"/>
    </row>
    <row r="35" spans="1:11" ht="32.25" customHeight="1" x14ac:dyDescent="0.2">
      <c r="A35" s="10" t="s">
        <v>509</v>
      </c>
      <c r="B35" s="332" t="s">
        <v>836</v>
      </c>
      <c r="C35" s="311">
        <v>0</v>
      </c>
      <c r="D35" s="90">
        <v>4.6550000000000002</v>
      </c>
      <c r="E35" s="91">
        <v>0.63100000000000001</v>
      </c>
      <c r="F35" s="92">
        <v>6.7000000000000004E-2</v>
      </c>
      <c r="G35" s="28">
        <v>2272.02</v>
      </c>
      <c r="H35" s="28">
        <v>5.6</v>
      </c>
      <c r="I35" s="89">
        <v>5.6</v>
      </c>
      <c r="J35" s="25">
        <v>0.20200000000000001</v>
      </c>
      <c r="K35" s="27"/>
    </row>
    <row r="36" spans="1:11" ht="32.25" customHeight="1" x14ac:dyDescent="0.2">
      <c r="A36" s="10" t="s">
        <v>510</v>
      </c>
      <c r="B36" s="332" t="s">
        <v>837</v>
      </c>
      <c r="C36" s="311">
        <v>0</v>
      </c>
      <c r="D36" s="90">
        <v>4.6550000000000002</v>
      </c>
      <c r="E36" s="91">
        <v>0.63100000000000001</v>
      </c>
      <c r="F36" s="92">
        <v>6.7000000000000004E-2</v>
      </c>
      <c r="G36" s="28">
        <v>6205.46</v>
      </c>
      <c r="H36" s="28">
        <v>5.6</v>
      </c>
      <c r="I36" s="89">
        <v>5.6</v>
      </c>
      <c r="J36" s="25">
        <v>0.20200000000000001</v>
      </c>
      <c r="K36" s="27"/>
    </row>
    <row r="37" spans="1:11" ht="32.25" customHeight="1" x14ac:dyDescent="0.2">
      <c r="A37" s="10" t="s">
        <v>477</v>
      </c>
      <c r="B37" s="332" t="s">
        <v>838</v>
      </c>
      <c r="C37" s="311" t="s">
        <v>804</v>
      </c>
      <c r="D37" s="93">
        <v>44.435000000000002</v>
      </c>
      <c r="E37" s="94">
        <v>4.5780000000000003</v>
      </c>
      <c r="F37" s="92">
        <v>2.6539999999999999</v>
      </c>
      <c r="G37" s="29" t="s">
        <v>797</v>
      </c>
      <c r="H37" s="29" t="s">
        <v>797</v>
      </c>
      <c r="I37" s="29" t="s">
        <v>797</v>
      </c>
      <c r="J37" s="26" t="s">
        <v>797</v>
      </c>
      <c r="K37" s="27"/>
    </row>
    <row r="38" spans="1:11" ht="32.25" customHeight="1" x14ac:dyDescent="0.2">
      <c r="A38" s="10" t="s">
        <v>666</v>
      </c>
      <c r="B38" s="332" t="s">
        <v>839</v>
      </c>
      <c r="C38" s="311" t="s">
        <v>805</v>
      </c>
      <c r="D38" s="90">
        <v>-8.76</v>
      </c>
      <c r="E38" s="91">
        <v>-1.4350000000000001</v>
      </c>
      <c r="F38" s="92">
        <v>-0.19400000000000001</v>
      </c>
      <c r="G38" s="28" t="s">
        <v>797</v>
      </c>
      <c r="H38" s="29" t="s">
        <v>797</v>
      </c>
      <c r="I38" s="29" t="s">
        <v>797</v>
      </c>
      <c r="J38" s="26" t="s">
        <v>797</v>
      </c>
      <c r="K38" s="27"/>
    </row>
    <row r="39" spans="1:11" ht="32.25" customHeight="1" x14ac:dyDescent="0.2">
      <c r="A39" s="10" t="s">
        <v>667</v>
      </c>
      <c r="B39" s="332" t="s">
        <v>840</v>
      </c>
      <c r="C39" s="311">
        <v>0</v>
      </c>
      <c r="D39" s="90">
        <v>-6.9880000000000004</v>
      </c>
      <c r="E39" s="91">
        <v>-1.1060000000000001</v>
      </c>
      <c r="F39" s="92">
        <v>-0.14299999999999999</v>
      </c>
      <c r="G39" s="28" t="s">
        <v>797</v>
      </c>
      <c r="H39" s="29" t="s">
        <v>797</v>
      </c>
      <c r="I39" s="29" t="s">
        <v>797</v>
      </c>
      <c r="J39" s="26" t="s">
        <v>797</v>
      </c>
      <c r="K39" s="27"/>
    </row>
    <row r="40" spans="1:11" ht="32.25" customHeight="1" x14ac:dyDescent="0.2">
      <c r="A40" s="10" t="s">
        <v>668</v>
      </c>
      <c r="B40" s="332" t="s">
        <v>841</v>
      </c>
      <c r="C40" s="311">
        <v>0</v>
      </c>
      <c r="D40" s="90">
        <v>-8.76</v>
      </c>
      <c r="E40" s="91">
        <v>-1.4350000000000001</v>
      </c>
      <c r="F40" s="92">
        <v>-0.19400000000000001</v>
      </c>
      <c r="G40" s="28" t="s">
        <v>797</v>
      </c>
      <c r="H40" s="29" t="s">
        <v>797</v>
      </c>
      <c r="I40" s="29" t="s">
        <v>797</v>
      </c>
      <c r="J40" s="25">
        <v>0.5</v>
      </c>
      <c r="K40" s="27"/>
    </row>
    <row r="41" spans="1:11" ht="32.25" customHeight="1" x14ac:dyDescent="0.2">
      <c r="A41" s="10" t="s">
        <v>669</v>
      </c>
      <c r="B41" s="332" t="s">
        <v>797</v>
      </c>
      <c r="C41" s="311">
        <v>0</v>
      </c>
      <c r="D41" s="90">
        <v>-8.76</v>
      </c>
      <c r="E41" s="91">
        <v>-1.4350000000000001</v>
      </c>
      <c r="F41" s="92">
        <v>-0.19400000000000001</v>
      </c>
      <c r="G41" s="28" t="s">
        <v>797</v>
      </c>
      <c r="H41" s="29" t="s">
        <v>797</v>
      </c>
      <c r="I41" s="29" t="s">
        <v>797</v>
      </c>
      <c r="J41" s="26" t="s">
        <v>797</v>
      </c>
      <c r="K41" s="27"/>
    </row>
    <row r="42" spans="1:11" ht="32.25" customHeight="1" x14ac:dyDescent="0.2">
      <c r="A42" s="10" t="s">
        <v>670</v>
      </c>
      <c r="B42" s="332" t="s">
        <v>797</v>
      </c>
      <c r="C42" s="311">
        <v>0</v>
      </c>
      <c r="D42" s="90">
        <v>-6.9880000000000004</v>
      </c>
      <c r="E42" s="91">
        <v>-1.1060000000000001</v>
      </c>
      <c r="F42" s="92">
        <v>-0.14299999999999999</v>
      </c>
      <c r="G42" s="28" t="s">
        <v>797</v>
      </c>
      <c r="H42" s="29" t="s">
        <v>797</v>
      </c>
      <c r="I42" s="29" t="s">
        <v>797</v>
      </c>
      <c r="J42" s="25">
        <v>0.35399999999999998</v>
      </c>
      <c r="K42" s="27"/>
    </row>
    <row r="43" spans="1:11" ht="32.25" customHeight="1" x14ac:dyDescent="0.2">
      <c r="A43" s="10" t="s">
        <v>671</v>
      </c>
      <c r="B43" s="332" t="s">
        <v>797</v>
      </c>
      <c r="C43" s="311">
        <v>0</v>
      </c>
      <c r="D43" s="90">
        <v>-6.9880000000000004</v>
      </c>
      <c r="E43" s="91">
        <v>-1.1060000000000001</v>
      </c>
      <c r="F43" s="92">
        <v>-0.14299999999999999</v>
      </c>
      <c r="G43" s="28" t="s">
        <v>797</v>
      </c>
      <c r="H43" s="29" t="s">
        <v>797</v>
      </c>
      <c r="I43" s="29" t="s">
        <v>797</v>
      </c>
      <c r="J43" s="26" t="s">
        <v>797</v>
      </c>
      <c r="K43" s="27"/>
    </row>
    <row r="44" spans="1:11" ht="32.25" customHeight="1" x14ac:dyDescent="0.2">
      <c r="A44" s="10" t="s">
        <v>672</v>
      </c>
      <c r="B44" s="332" t="s">
        <v>842</v>
      </c>
      <c r="C44" s="311">
        <v>0</v>
      </c>
      <c r="D44" s="90">
        <v>-5.1269999999999998</v>
      </c>
      <c r="E44" s="91">
        <v>-0.73499999999999999</v>
      </c>
      <c r="F44" s="92">
        <v>-8.2000000000000003E-2</v>
      </c>
      <c r="G44" s="28">
        <v>15.58</v>
      </c>
      <c r="H44" s="29" t="s">
        <v>797</v>
      </c>
      <c r="I44" s="29" t="s">
        <v>797</v>
      </c>
      <c r="J44" s="25">
        <v>0.29899999999999999</v>
      </c>
      <c r="K44" s="27"/>
    </row>
    <row r="45" spans="1:11" ht="32.25" customHeight="1" x14ac:dyDescent="0.2">
      <c r="A45" s="10" t="s">
        <v>673</v>
      </c>
      <c r="B45" s="332" t="s">
        <v>797</v>
      </c>
      <c r="C45" s="311">
        <v>0</v>
      </c>
      <c r="D45" s="90">
        <v>-5.1269999999999998</v>
      </c>
      <c r="E45" s="91">
        <v>-0.73499999999999999</v>
      </c>
      <c r="F45" s="92">
        <v>-8.2000000000000003E-2</v>
      </c>
      <c r="G45" s="28">
        <v>15.58</v>
      </c>
      <c r="H45" s="29" t="s">
        <v>797</v>
      </c>
      <c r="I45" s="29" t="s">
        <v>797</v>
      </c>
      <c r="J45" s="26" t="s">
        <v>797</v>
      </c>
      <c r="K45" s="27"/>
    </row>
    <row r="46" spans="1:11" ht="32.25" customHeight="1" x14ac:dyDescent="0.2">
      <c r="A46" s="10" t="s">
        <v>735</v>
      </c>
      <c r="B46" s="332" t="s">
        <v>1182</v>
      </c>
      <c r="C46" s="311">
        <v>0</v>
      </c>
      <c r="D46" s="90">
        <v>2.5640000000000001</v>
      </c>
      <c r="E46" s="91">
        <v>0.29699999999999999</v>
      </c>
      <c r="F46" s="92">
        <v>2.3E-2</v>
      </c>
      <c r="G46" s="28">
        <v>70849.8</v>
      </c>
      <c r="H46" s="28">
        <v>2.62</v>
      </c>
      <c r="I46" s="89">
        <v>5.34</v>
      </c>
      <c r="J46" s="25">
        <v>0.107</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charges_A'; based on connection level, credits may therefore be lower than stated above.</v>
      </c>
    </row>
    <row r="48" spans="1:11" ht="27.75" customHeight="1" x14ac:dyDescent="0.2">
      <c r="A48" s="330" t="s">
        <v>417</v>
      </c>
    </row>
  </sheetData>
  <mergeCells count="15">
    <mergeCell ref="C5:D5"/>
    <mergeCell ref="G5:H5"/>
    <mergeCell ref="E1:K1"/>
    <mergeCell ref="A2:K2"/>
    <mergeCell ref="A4:E4"/>
    <mergeCell ref="G4:K4"/>
    <mergeCell ref="B1:D1"/>
    <mergeCell ref="G9:H9"/>
    <mergeCell ref="I9:K9"/>
    <mergeCell ref="C6:D6"/>
    <mergeCell ref="G6:H6"/>
    <mergeCell ref="C7:D7"/>
    <mergeCell ref="G7:H7"/>
    <mergeCell ref="B8:E8"/>
    <mergeCell ref="G8:H8"/>
  </mergeCells>
  <hyperlinks>
    <hyperlink ref="A1" location="Overview!A1" display="Back to Overview" xr:uid="{5F42CA90-15C8-4C56-998E-8E1826D9162D}"/>
    <hyperlink ref="A48" location="'Annex 1 LV and HV charges_A'!A1" display="Annex 4 LDNO charges_A" xr:uid="{4437E904-E8FB-4D32-8435-BB65893DB37F}"/>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1&amp;K10+000 &amp;K000000-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28515625" style="1" bestFit="1" customWidth="1"/>
    <col min="4" max="4" width="20.7109375" style="1" bestFit="1" customWidth="1"/>
    <col min="5" max="7" width="17.7109375" style="2" customWidth="1"/>
    <col min="8" max="8" width="19.7109375" style="6" bestFit="1" customWidth="1"/>
    <col min="9" max="9" width="21.140625" style="6" bestFit="1" customWidth="1"/>
    <col min="10" max="10" width="20"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54" t="str">
        <f>Overview!B4&amp;" - Effective from "&amp;TEXT(Overview!$D$4,"d mmmm yyyy")&amp;" - Final LDNO tariffs in UKPN LPN Area (GSP Group_C)"</f>
        <v>Leep Electricity Networks Limited - Effective from 1 April 2027 - Final LDNO tariffs in UKPN LPN Area (GSP Group_C)</v>
      </c>
      <c r="B2" s="454"/>
      <c r="C2" s="454"/>
      <c r="D2" s="454"/>
      <c r="E2" s="454"/>
      <c r="F2" s="454"/>
      <c r="G2" s="454"/>
      <c r="H2" s="454"/>
      <c r="I2" s="454"/>
      <c r="J2" s="454"/>
    </row>
    <row r="3" spans="1:18" ht="8.25" customHeight="1" x14ac:dyDescent="0.2">
      <c r="A3" s="46"/>
      <c r="B3" s="46"/>
      <c r="C3" s="46"/>
      <c r="D3" s="46"/>
      <c r="E3" s="46"/>
      <c r="F3" s="46"/>
      <c r="G3" s="46"/>
      <c r="H3" s="46"/>
      <c r="I3" s="46"/>
      <c r="J3" s="46"/>
    </row>
    <row r="4" spans="1:18" ht="27" customHeight="1" x14ac:dyDescent="0.2">
      <c r="A4" s="396" t="s">
        <v>290</v>
      </c>
      <c r="B4" s="397"/>
      <c r="C4" s="397"/>
      <c r="D4" s="398"/>
      <c r="E4" s="50"/>
      <c r="F4" s="396" t="s">
        <v>289</v>
      </c>
      <c r="G4" s="397"/>
      <c r="H4" s="397"/>
      <c r="I4" s="397"/>
      <c r="J4" s="398"/>
      <c r="K4" s="3"/>
      <c r="L4" s="399"/>
      <c r="M4" s="400"/>
      <c r="N4" s="400"/>
      <c r="O4" s="400"/>
      <c r="P4" s="400"/>
      <c r="Q4" s="400"/>
      <c r="R4" s="401"/>
    </row>
    <row r="5" spans="1:18" ht="32.25" customHeight="1" x14ac:dyDescent="0.2">
      <c r="A5" s="39" t="s">
        <v>13</v>
      </c>
      <c r="B5" s="256" t="s">
        <v>281</v>
      </c>
      <c r="C5" s="180" t="s">
        <v>282</v>
      </c>
      <c r="D5" s="41" t="s">
        <v>283</v>
      </c>
      <c r="E5" s="45"/>
      <c r="F5" s="381"/>
      <c r="G5" s="382"/>
      <c r="H5" s="43" t="s">
        <v>287</v>
      </c>
      <c r="I5" s="44" t="s">
        <v>288</v>
      </c>
      <c r="J5" s="41" t="s">
        <v>283</v>
      </c>
      <c r="K5" s="3"/>
      <c r="L5" s="400"/>
      <c r="M5" s="400"/>
      <c r="N5" s="400"/>
      <c r="O5" s="400"/>
      <c r="P5" s="400"/>
      <c r="Q5" s="400"/>
      <c r="R5" s="401"/>
    </row>
    <row r="6" spans="1:18" ht="56.25" customHeight="1" x14ac:dyDescent="0.2">
      <c r="A6" s="249" t="str">
        <f>'Annex 1 LV and HV charges_C'!A6</f>
        <v>Monday to Friday 
(Including Bank Holidays)
All Year</v>
      </c>
      <c r="B6" s="13" t="str">
        <f>'Annex 1 LV and HV charges_C'!B6</f>
        <v>11:00 - 14:00
16:00 - 19:00</v>
      </c>
      <c r="C6" s="251" t="str">
        <f>'Annex 1 LV and HV charges_C'!C6</f>
        <v>07:00 - 11:00
14:00 - 16:00
19:00 - 23:00</v>
      </c>
      <c r="D6" s="95" t="str">
        <f>'Annex 1 LV and HV charges_C'!E6</f>
        <v>00:00 - 07:00
23:00 - 24:00</v>
      </c>
      <c r="E6" s="45"/>
      <c r="F6" s="377" t="str">
        <f>'Annex 1 LV and HV charges_C'!G6</f>
        <v>Monday to Friday 
(Including Bank Holidays)
June to August Inclusive</v>
      </c>
      <c r="G6" s="378">
        <f>'Annex 1 LV and HV charges_C'!H6</f>
        <v>0</v>
      </c>
      <c r="H6" s="13" t="str">
        <f>'Annex 1 LV and HV charges_C'!I6</f>
        <v>11:00 - 14:00</v>
      </c>
      <c r="I6" s="248" t="str">
        <f>'Annex 1 LV and HV charges_C'!J6</f>
        <v>07:00 - 11:00
14:00 - 23:00</v>
      </c>
      <c r="J6" s="95" t="str">
        <f>'Annex 1 LV and HV charges_C'!K6</f>
        <v>00:00 - 07:00
23:00 - 24:00</v>
      </c>
      <c r="K6" s="3"/>
      <c r="L6" s="3"/>
    </row>
    <row r="7" spans="1:18" ht="56.25" customHeight="1" x14ac:dyDescent="0.2">
      <c r="A7" s="249" t="str">
        <f>'Annex 1 LV and HV charges_C'!A7</f>
        <v>Saturday and Sunday
All Year</v>
      </c>
      <c r="B7" s="250" t="str">
        <f>'Annex 1 LV and HV charges_C'!B7</f>
        <v/>
      </c>
      <c r="C7" s="181" t="str">
        <f>'Annex 1 LV and HV charges_C'!C7</f>
        <v/>
      </c>
      <c r="D7" s="248" t="str">
        <f>'Annex 1 LV and HV charges_C'!E7</f>
        <v>00:00 - 24:00</v>
      </c>
      <c r="E7" s="45"/>
      <c r="F7" s="377" t="str">
        <f>'Annex 1 LV and HV charges_C'!G7</f>
        <v>Monday to Friday 
(Including Bank Holidays)
November to February Inclusive</v>
      </c>
      <c r="G7" s="378">
        <f>'Annex 1 LV and HV charges_C'!H7</f>
        <v>0</v>
      </c>
      <c r="H7" s="248" t="str">
        <f>'Annex 1 LV and HV charges_C'!I7</f>
        <v>16:00 - 19:00</v>
      </c>
      <c r="I7" s="248" t="str">
        <f>'Annex 1 LV and HV charges_C'!J7</f>
        <v>07:00 - 16:00
19:00 - 23:00</v>
      </c>
      <c r="J7" s="95" t="str">
        <f>'Annex 1 LV and HV charges_C'!K7</f>
        <v>00:00 - 07:00
23:00 - 24:00</v>
      </c>
      <c r="K7" s="3"/>
      <c r="L7" s="3"/>
    </row>
    <row r="8" spans="1:18" ht="55.5" customHeight="1" x14ac:dyDescent="0.2">
      <c r="A8" s="257" t="str">
        <f>'Annex 1 LV and HV charges_C'!A8</f>
        <v>Notes</v>
      </c>
      <c r="B8" s="377" t="str">
        <f>'Annex 1 LV and HV charges_C'!B8</f>
        <v>All the above times are in UK Clock time</v>
      </c>
      <c r="C8" s="404">
        <f>'Annex 1 LV and HV charges_C'!C8</f>
        <v>0</v>
      </c>
      <c r="D8" s="378">
        <f>'Annex 1 LV and HV charges_C'!D8</f>
        <v>0</v>
      </c>
      <c r="E8" s="45"/>
      <c r="F8" s="377" t="str">
        <f>'Annex 1 LV and HV charges_C'!G8</f>
        <v>Monday to Friday 
(Including Bank Holidays)
March, April, May and September, October</v>
      </c>
      <c r="G8" s="378">
        <f>'Annex 1 LV and HV charges_C'!H8</f>
        <v>0</v>
      </c>
      <c r="H8" s="250" t="str">
        <f>'Annex 1 LV and HV charges_C'!I8</f>
        <v/>
      </c>
      <c r="I8" s="248" t="str">
        <f>'Annex 1 LV and HV charges_C'!J8</f>
        <v>07:00 - 23:00</v>
      </c>
      <c r="J8" s="95" t="str">
        <f>'Annex 1 LV and HV charges_C'!K8</f>
        <v>00:00 - 07:00
23:00 - 24:00</v>
      </c>
      <c r="K8" s="3"/>
      <c r="L8" s="3"/>
    </row>
    <row r="9" spans="1:18" s="40" customFormat="1" ht="55.5" customHeight="1" x14ac:dyDescent="0.2">
      <c r="B9" s="45"/>
      <c r="C9" s="45"/>
      <c r="D9" s="45"/>
      <c r="E9" s="47"/>
      <c r="F9" s="377" t="str">
        <f>'Annex 1 LV and HV charges_C'!G9</f>
        <v>Saturday and Sunday
All year</v>
      </c>
      <c r="G9" s="378">
        <f>'Annex 1 LV and HV charges_C'!H9</f>
        <v>0</v>
      </c>
      <c r="H9" s="250" t="str">
        <f>'Annex 1 LV and HV charges_C'!I9</f>
        <v/>
      </c>
      <c r="I9" s="250" t="str">
        <f>'Annex 1 LV and HV charges_C'!J9</f>
        <v/>
      </c>
      <c r="J9" s="248" t="str">
        <f>'Annex 1 LV and HV charges_C'!K9</f>
        <v>00:00 - 24:00</v>
      </c>
      <c r="K9" s="30"/>
    </row>
    <row r="10" spans="1:18" s="40" customFormat="1" ht="36.75" customHeight="1" x14ac:dyDescent="0.2">
      <c r="B10" s="45"/>
      <c r="C10" s="45"/>
      <c r="D10" s="45"/>
      <c r="E10" s="45"/>
      <c r="F10" s="377" t="str">
        <f>'Annex 1 LV and HV charges_C'!G10</f>
        <v>Notes</v>
      </c>
      <c r="G10" s="378">
        <f>'Annex 1 LV and HV charges_C'!H10</f>
        <v>0</v>
      </c>
      <c r="H10" s="377" t="str">
        <f>'Annex 1 LV and HV charges_C'!I10</f>
        <v>All the above times are in UK Clock time</v>
      </c>
      <c r="I10" s="404">
        <f>'Annex 1 LV and HV charges_C'!J10</f>
        <v>0</v>
      </c>
      <c r="J10" s="378">
        <f>'Annex 1 LV and HV charges_C'!K10</f>
        <v>0</v>
      </c>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802</v>
      </c>
      <c r="D14" s="90">
        <v>8.4540000000000006</v>
      </c>
      <c r="E14" s="91">
        <v>0.86099999999999999</v>
      </c>
      <c r="F14" s="92" t="s">
        <v>797</v>
      </c>
      <c r="G14" s="317" t="s">
        <v>797</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8.6039999999999992</v>
      </c>
      <c r="E15" s="91">
        <v>1.012</v>
      </c>
      <c r="F15" s="92">
        <v>7.4999999999999997E-2</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803</v>
      </c>
      <c r="D16" s="90">
        <v>6.6609999999999996</v>
      </c>
      <c r="E16" s="91">
        <v>0.78400000000000003</v>
      </c>
      <c r="F16" s="92">
        <v>5.8000000000000003E-2</v>
      </c>
      <c r="G16" s="317">
        <v>4.0999999999999996</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6.5780000000000003</v>
      </c>
      <c r="E17" s="91">
        <v>0.7</v>
      </c>
      <c r="F17" s="92" t="s">
        <v>797</v>
      </c>
      <c r="G17" s="317" t="s">
        <v>797</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5.9909999999999997</v>
      </c>
      <c r="E18" s="91">
        <v>0.114</v>
      </c>
      <c r="F18" s="92" t="s">
        <v>797</v>
      </c>
      <c r="G18" s="317" t="s">
        <v>797</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5.7759999999999998</v>
      </c>
      <c r="E19" s="91" t="s">
        <v>797</v>
      </c>
      <c r="F19" s="92" t="s">
        <v>797</v>
      </c>
      <c r="G19" s="317" t="s">
        <v>797</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5.4980000000000002</v>
      </c>
      <c r="E20" s="91" t="s">
        <v>797</v>
      </c>
      <c r="F20" s="92" t="s">
        <v>797</v>
      </c>
      <c r="G20" s="317" t="s">
        <v>797</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6.6609999999999996</v>
      </c>
      <c r="E21" s="91">
        <v>0.78400000000000003</v>
      </c>
      <c r="F21" s="92">
        <v>5.8000000000000003E-2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5.2949999999999999</v>
      </c>
      <c r="E22" s="91">
        <v>0.63900000000000001</v>
      </c>
      <c r="F22" s="92">
        <v>4.2999999999999997E-2</v>
      </c>
      <c r="G22" s="317">
        <v>10.050000000000001</v>
      </c>
      <c r="H22" s="317">
        <v>5.73</v>
      </c>
      <c r="I22" s="320">
        <v>5.73</v>
      </c>
      <c r="J22" s="25">
        <v>0.40699999999999997</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3.387</v>
      </c>
      <c r="E23" s="91">
        <v>0.223</v>
      </c>
      <c r="F23" s="92">
        <v>2.1000000000000001E-2</v>
      </c>
      <c r="G23" s="317">
        <v>1.59</v>
      </c>
      <c r="H23" s="317">
        <v>5.73</v>
      </c>
      <c r="I23" s="320">
        <v>5.73</v>
      </c>
      <c r="J23" s="25">
        <v>0.40699999999999997</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3.3420000000000001</v>
      </c>
      <c r="E24" s="91">
        <v>0.223</v>
      </c>
      <c r="F24" s="92">
        <v>2.1000000000000001E-2</v>
      </c>
      <c r="G24" s="317">
        <v>1.59</v>
      </c>
      <c r="H24" s="317">
        <v>5.73</v>
      </c>
      <c r="I24" s="320">
        <v>5.73</v>
      </c>
      <c r="J24" s="25">
        <v>0.40699999999999997</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3.3010000000000002</v>
      </c>
      <c r="E25" s="91">
        <v>0.223</v>
      </c>
      <c r="F25" s="92">
        <v>2.1000000000000001E-2</v>
      </c>
      <c r="G25" s="317">
        <v>1.59</v>
      </c>
      <c r="H25" s="317">
        <v>5.73</v>
      </c>
      <c r="I25" s="320">
        <v>5.73</v>
      </c>
      <c r="J25" s="25">
        <v>0.40699999999999997</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3.2519999999999998</v>
      </c>
      <c r="E26" s="91">
        <v>0.223</v>
      </c>
      <c r="F26" s="92">
        <v>2.1000000000000001E-2</v>
      </c>
      <c r="G26" s="317">
        <v>1.59</v>
      </c>
      <c r="H26" s="317">
        <v>5.73</v>
      </c>
      <c r="I26" s="320">
        <v>5.73</v>
      </c>
      <c r="J26" s="25">
        <v>0.40699999999999997</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28.398</v>
      </c>
      <c r="E27" s="94">
        <v>2.319</v>
      </c>
      <c r="F27" s="92">
        <v>0.32600000000000001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805</v>
      </c>
      <c r="D28" s="90">
        <v>-7.8280000000000003</v>
      </c>
      <c r="E28" s="91">
        <v>-0.92100000000000004</v>
      </c>
      <c r="F28" s="92">
        <v>-6.8000000000000005E-2</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-7.8280000000000003</v>
      </c>
      <c r="E29" s="91">
        <v>-0.92100000000000004</v>
      </c>
      <c r="F29" s="92">
        <v>-6.8000000000000005E-2</v>
      </c>
      <c r="G29" s="317" t="s">
        <v>797</v>
      </c>
      <c r="H29" s="318" t="s">
        <v>797</v>
      </c>
      <c r="I29" s="319" t="s">
        <v>797</v>
      </c>
      <c r="J29" s="25">
        <v>0.55000000000000004</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6.5330000000000004</v>
      </c>
      <c r="E30" s="91">
        <v>0.66600000000000004</v>
      </c>
      <c r="F30" s="92" t="s">
        <v>797</v>
      </c>
      <c r="G30" s="317" t="s">
        <v>797</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6.65</v>
      </c>
      <c r="E31" s="91">
        <v>0.78200000000000003</v>
      </c>
      <c r="F31" s="92">
        <v>5.8000000000000003E-2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5.1479999999999997</v>
      </c>
      <c r="E32" s="91">
        <v>0.60599999999999998</v>
      </c>
      <c r="F32" s="92">
        <v>4.4999999999999998E-2</v>
      </c>
      <c r="G32" s="317">
        <v>3.17</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5.0839999999999996</v>
      </c>
      <c r="E33" s="91">
        <v>0.54100000000000004</v>
      </c>
      <c r="F33" s="92" t="s">
        <v>797</v>
      </c>
      <c r="G33" s="317" t="s">
        <v>797</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4.63</v>
      </c>
      <c r="E34" s="91">
        <v>8.7999999999999995E-2</v>
      </c>
      <c r="F34" s="92" t="s">
        <v>797</v>
      </c>
      <c r="G34" s="317" t="s">
        <v>797</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4.4640000000000004</v>
      </c>
      <c r="E35" s="91" t="s">
        <v>797</v>
      </c>
      <c r="F35" s="92" t="s">
        <v>797</v>
      </c>
      <c r="G35" s="317" t="s">
        <v>797</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4.2489999999999997</v>
      </c>
      <c r="E36" s="91" t="s">
        <v>797</v>
      </c>
      <c r="F36" s="92" t="s">
        <v>797</v>
      </c>
      <c r="G36" s="317" t="s">
        <v>797</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5.1479999999999997</v>
      </c>
      <c r="E37" s="91">
        <v>0.60599999999999998</v>
      </c>
      <c r="F37" s="92">
        <v>4.4999999999999998E-2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4.0919999999999996</v>
      </c>
      <c r="E38" s="91">
        <v>0.49399999999999999</v>
      </c>
      <c r="F38" s="92">
        <v>3.3000000000000002E-2</v>
      </c>
      <c r="G38" s="317">
        <v>7.77</v>
      </c>
      <c r="H38" s="317">
        <v>4.43</v>
      </c>
      <c r="I38" s="320">
        <v>4.43</v>
      </c>
      <c r="J38" s="25">
        <v>0.315</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2.617</v>
      </c>
      <c r="E39" s="91">
        <v>0.17299999999999999</v>
      </c>
      <c r="F39" s="92">
        <v>1.6E-2</v>
      </c>
      <c r="G39" s="317">
        <v>1.23</v>
      </c>
      <c r="H39" s="317">
        <v>4.43</v>
      </c>
      <c r="I39" s="320">
        <v>4.43</v>
      </c>
      <c r="J39" s="25">
        <v>0.315</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2.5830000000000002</v>
      </c>
      <c r="E40" s="91">
        <v>0.17299999999999999</v>
      </c>
      <c r="F40" s="92">
        <v>1.6E-2</v>
      </c>
      <c r="G40" s="317">
        <v>1.23</v>
      </c>
      <c r="H40" s="317">
        <v>4.43</v>
      </c>
      <c r="I40" s="320">
        <v>4.43</v>
      </c>
      <c r="J40" s="25">
        <v>0.315</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2.5510000000000002</v>
      </c>
      <c r="E41" s="91">
        <v>0.17299999999999999</v>
      </c>
      <c r="F41" s="92">
        <v>1.6E-2</v>
      </c>
      <c r="G41" s="317">
        <v>1.23</v>
      </c>
      <c r="H41" s="317">
        <v>4.43</v>
      </c>
      <c r="I41" s="320">
        <v>4.43</v>
      </c>
      <c r="J41" s="25">
        <v>0.315</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2.5129999999999999</v>
      </c>
      <c r="E42" s="91">
        <v>0.17299999999999999</v>
      </c>
      <c r="F42" s="92">
        <v>1.6E-2</v>
      </c>
      <c r="G42" s="317">
        <v>1.23</v>
      </c>
      <c r="H42" s="317">
        <v>4.43</v>
      </c>
      <c r="I42" s="320">
        <v>4.43</v>
      </c>
      <c r="J42" s="25">
        <v>0.315</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3.6680000000000001</v>
      </c>
      <c r="E43" s="91">
        <v>0.46899999999999997</v>
      </c>
      <c r="F43" s="92">
        <v>2.5000000000000001E-2</v>
      </c>
      <c r="G43" s="317">
        <v>9.5500000000000007</v>
      </c>
      <c r="H43" s="317">
        <v>8.1199999999999992</v>
      </c>
      <c r="I43" s="320">
        <v>8.1199999999999992</v>
      </c>
      <c r="J43" s="25">
        <v>0.27200000000000002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1.5149999999999999</v>
      </c>
      <c r="E44" s="91" t="s">
        <v>797</v>
      </c>
      <c r="F44" s="92" t="s">
        <v>797</v>
      </c>
      <c r="G44" s="317" t="s">
        <v>797</v>
      </c>
      <c r="H44" s="317">
        <v>8.1199999999999992</v>
      </c>
      <c r="I44" s="320">
        <v>8.1199999999999992</v>
      </c>
      <c r="J44" s="25">
        <v>0.27200000000000002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1.4650000000000001</v>
      </c>
      <c r="E45" s="91" t="s">
        <v>797</v>
      </c>
      <c r="F45" s="92" t="s">
        <v>797</v>
      </c>
      <c r="G45" s="317" t="s">
        <v>797</v>
      </c>
      <c r="H45" s="317">
        <v>8.1199999999999992</v>
      </c>
      <c r="I45" s="320">
        <v>8.1199999999999992</v>
      </c>
      <c r="J45" s="25">
        <v>0.27200000000000002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1.419</v>
      </c>
      <c r="E46" s="91" t="s">
        <v>797</v>
      </c>
      <c r="F46" s="92" t="s">
        <v>797</v>
      </c>
      <c r="G46" s="317" t="s">
        <v>797</v>
      </c>
      <c r="H46" s="317">
        <v>8.1199999999999992</v>
      </c>
      <c r="I46" s="320">
        <v>8.1199999999999992</v>
      </c>
      <c r="J46" s="25">
        <v>0.27200000000000002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1.363</v>
      </c>
      <c r="E47" s="91" t="s">
        <v>797</v>
      </c>
      <c r="F47" s="92" t="s">
        <v>797</v>
      </c>
      <c r="G47" s="317" t="s">
        <v>797</v>
      </c>
      <c r="H47" s="317">
        <v>8.1199999999999992</v>
      </c>
      <c r="I47" s="320">
        <v>8.1199999999999992</v>
      </c>
      <c r="J47" s="25">
        <v>0.27200000000000002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3.0310000000000001</v>
      </c>
      <c r="E48" s="91">
        <v>0.38700000000000001</v>
      </c>
      <c r="F48" s="92">
        <v>2.1999999999999999E-2</v>
      </c>
      <c r="G48" s="317">
        <v>112.49</v>
      </c>
      <c r="H48" s="317">
        <v>9.25</v>
      </c>
      <c r="I48" s="320">
        <v>9.25</v>
      </c>
      <c r="J48" s="25">
        <v>0.23599999999999999</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0.36499999999999999</v>
      </c>
      <c r="E49" s="91" t="s">
        <v>797</v>
      </c>
      <c r="F49" s="92" t="s">
        <v>797</v>
      </c>
      <c r="G49" s="317" t="s">
        <v>797</v>
      </c>
      <c r="H49" s="317">
        <v>9.25</v>
      </c>
      <c r="I49" s="320">
        <v>9.25</v>
      </c>
      <c r="J49" s="25">
        <v>0.23599999999999999</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0.19400000000000001</v>
      </c>
      <c r="E50" s="91" t="s">
        <v>797</v>
      </c>
      <c r="F50" s="92" t="s">
        <v>797</v>
      </c>
      <c r="G50" s="317" t="s">
        <v>797</v>
      </c>
      <c r="H50" s="317">
        <v>9.25</v>
      </c>
      <c r="I50" s="320">
        <v>9.25</v>
      </c>
      <c r="J50" s="25">
        <v>0.23599999999999999</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0.26500000000000001</v>
      </c>
      <c r="E51" s="91" t="s">
        <v>797</v>
      </c>
      <c r="F51" s="92" t="s">
        <v>797</v>
      </c>
      <c r="G51" s="317" t="s">
        <v>797</v>
      </c>
      <c r="H51" s="317">
        <v>9.25</v>
      </c>
      <c r="I51" s="320">
        <v>9.25</v>
      </c>
      <c r="J51" s="25">
        <v>0.23599999999999999</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0.20899999999999999</v>
      </c>
      <c r="E52" s="91" t="s">
        <v>797</v>
      </c>
      <c r="F52" s="92" t="s">
        <v>797</v>
      </c>
      <c r="G52" s="317" t="s">
        <v>797</v>
      </c>
      <c r="H52" s="317">
        <v>9.25</v>
      </c>
      <c r="I52" s="320">
        <v>9.25</v>
      </c>
      <c r="J52" s="25">
        <v>0.23599999999999999</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21.946000000000002</v>
      </c>
      <c r="E53" s="94">
        <v>1.7929999999999999</v>
      </c>
      <c r="F53" s="92">
        <v>0.252</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805</v>
      </c>
      <c r="D54" s="90">
        <v>-7.8280000000000003</v>
      </c>
      <c r="E54" s="91">
        <v>-0.92100000000000004</v>
      </c>
      <c r="F54" s="92">
        <v>-6.8000000000000005E-2</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-6.4329999999999998</v>
      </c>
      <c r="E55" s="91">
        <v>-0.76900000000000002</v>
      </c>
      <c r="F55" s="92">
        <v>-5.3999999999999999E-2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-7.8280000000000003</v>
      </c>
      <c r="E56" s="91">
        <v>-0.92100000000000004</v>
      </c>
      <c r="F56" s="92">
        <v>-6.8000000000000005E-2</v>
      </c>
      <c r="G56" s="317" t="s">
        <v>797</v>
      </c>
      <c r="H56" s="318" t="s">
        <v>797</v>
      </c>
      <c r="I56" s="319" t="s">
        <v>797</v>
      </c>
      <c r="J56" s="25">
        <v>0.55000000000000004</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-6.4329999999999998</v>
      </c>
      <c r="E57" s="91">
        <v>-0.76900000000000002</v>
      </c>
      <c r="F57" s="92">
        <v>-5.3999999999999999E-2</v>
      </c>
      <c r="G57" s="317" t="s">
        <v>797</v>
      </c>
      <c r="H57" s="318" t="s">
        <v>797</v>
      </c>
      <c r="I57" s="319" t="s">
        <v>797</v>
      </c>
      <c r="J57" s="25">
        <v>0.433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-4.1790000000000003</v>
      </c>
      <c r="E58" s="91">
        <v>-0.53400000000000003</v>
      </c>
      <c r="F58" s="92">
        <v>-2.9000000000000001E-2</v>
      </c>
      <c r="G58" s="317" t="s">
        <v>797</v>
      </c>
      <c r="H58" s="318" t="s">
        <v>797</v>
      </c>
      <c r="I58" s="319" t="s">
        <v>797</v>
      </c>
      <c r="J58" s="25">
        <v>0.38200000000000001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5.8259999999999996</v>
      </c>
      <c r="E59" s="91">
        <v>0.59399999999999997</v>
      </c>
      <c r="F59" s="92" t="s">
        <v>797</v>
      </c>
      <c r="G59" s="317" t="s">
        <v>797</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5.93</v>
      </c>
      <c r="E60" s="91">
        <v>0.69799999999999995</v>
      </c>
      <c r="F60" s="92">
        <v>5.0999999999999997E-2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4.5910000000000002</v>
      </c>
      <c r="E61" s="91">
        <v>0.54</v>
      </c>
      <c r="F61" s="92">
        <v>0.04</v>
      </c>
      <c r="G61" s="317">
        <v>2.82</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4.5330000000000004</v>
      </c>
      <c r="E62" s="91">
        <v>0.48299999999999998</v>
      </c>
      <c r="F62" s="92" t="s">
        <v>797</v>
      </c>
      <c r="G62" s="317" t="s">
        <v>797</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4.1289999999999996</v>
      </c>
      <c r="E63" s="91">
        <v>7.8E-2</v>
      </c>
      <c r="F63" s="92" t="s">
        <v>797</v>
      </c>
      <c r="G63" s="317" t="s">
        <v>797</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3.9809999999999999</v>
      </c>
      <c r="E64" s="91" t="s">
        <v>797</v>
      </c>
      <c r="F64" s="92" t="s">
        <v>797</v>
      </c>
      <c r="G64" s="317" t="s">
        <v>797</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3.7890000000000001</v>
      </c>
      <c r="E65" s="91" t="s">
        <v>797</v>
      </c>
      <c r="F65" s="92" t="s">
        <v>797</v>
      </c>
      <c r="G65" s="317" t="s">
        <v>797</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4.5910000000000002</v>
      </c>
      <c r="E66" s="91">
        <v>0.54</v>
      </c>
      <c r="F66" s="92">
        <v>0.04</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3.649</v>
      </c>
      <c r="E67" s="91">
        <v>0.44</v>
      </c>
      <c r="F67" s="92">
        <v>0.03</v>
      </c>
      <c r="G67" s="317">
        <v>6.93</v>
      </c>
      <c r="H67" s="317">
        <v>3.95</v>
      </c>
      <c r="I67" s="320">
        <v>3.95</v>
      </c>
      <c r="J67" s="25">
        <v>0.28100000000000003</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2.3340000000000001</v>
      </c>
      <c r="E68" s="91">
        <v>0.154</v>
      </c>
      <c r="F68" s="92">
        <v>1.4E-2</v>
      </c>
      <c r="G68" s="317">
        <v>1.1000000000000001</v>
      </c>
      <c r="H68" s="317">
        <v>3.95</v>
      </c>
      <c r="I68" s="320">
        <v>3.95</v>
      </c>
      <c r="J68" s="25">
        <v>0.28100000000000003</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2.3029999999999999</v>
      </c>
      <c r="E69" s="91">
        <v>0.154</v>
      </c>
      <c r="F69" s="92">
        <v>1.4E-2</v>
      </c>
      <c r="G69" s="317">
        <v>1.1000000000000001</v>
      </c>
      <c r="H69" s="317">
        <v>3.95</v>
      </c>
      <c r="I69" s="320">
        <v>3.95</v>
      </c>
      <c r="J69" s="25">
        <v>0.28100000000000003</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2.2749999999999999</v>
      </c>
      <c r="E70" s="91">
        <v>0.154</v>
      </c>
      <c r="F70" s="92">
        <v>1.4E-2</v>
      </c>
      <c r="G70" s="317">
        <v>1.1000000000000001</v>
      </c>
      <c r="H70" s="317">
        <v>3.95</v>
      </c>
      <c r="I70" s="320">
        <v>3.95</v>
      </c>
      <c r="J70" s="25">
        <v>0.28100000000000003</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2.2410000000000001</v>
      </c>
      <c r="E71" s="91">
        <v>0.154</v>
      </c>
      <c r="F71" s="92">
        <v>1.4E-2</v>
      </c>
      <c r="G71" s="317">
        <v>1.1000000000000001</v>
      </c>
      <c r="H71" s="317">
        <v>3.95</v>
      </c>
      <c r="I71" s="320">
        <v>3.95</v>
      </c>
      <c r="J71" s="25">
        <v>0.28100000000000003</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3.2440000000000002</v>
      </c>
      <c r="E72" s="91">
        <v>0.41399999999999998</v>
      </c>
      <c r="F72" s="92">
        <v>2.3E-2</v>
      </c>
      <c r="G72" s="317">
        <v>8.44</v>
      </c>
      <c r="H72" s="317">
        <v>7.18</v>
      </c>
      <c r="I72" s="320">
        <v>7.18</v>
      </c>
      <c r="J72" s="25">
        <v>0.24099999999999999</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1.34</v>
      </c>
      <c r="E73" s="91" t="s">
        <v>797</v>
      </c>
      <c r="F73" s="92" t="s">
        <v>797</v>
      </c>
      <c r="G73" s="317" t="s">
        <v>797</v>
      </c>
      <c r="H73" s="317">
        <v>7.18</v>
      </c>
      <c r="I73" s="320">
        <v>7.18</v>
      </c>
      <c r="J73" s="25">
        <v>0.24099999999999999</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1.2949999999999999</v>
      </c>
      <c r="E74" s="91" t="s">
        <v>797</v>
      </c>
      <c r="F74" s="92" t="s">
        <v>797</v>
      </c>
      <c r="G74" s="317" t="s">
        <v>797</v>
      </c>
      <c r="H74" s="317">
        <v>7.18</v>
      </c>
      <c r="I74" s="320">
        <v>7.18</v>
      </c>
      <c r="J74" s="25">
        <v>0.24099999999999999</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1.2549999999999999</v>
      </c>
      <c r="E75" s="91" t="s">
        <v>797</v>
      </c>
      <c r="F75" s="92" t="s">
        <v>797</v>
      </c>
      <c r="G75" s="317" t="s">
        <v>797</v>
      </c>
      <c r="H75" s="317">
        <v>7.18</v>
      </c>
      <c r="I75" s="320">
        <v>7.18</v>
      </c>
      <c r="J75" s="25">
        <v>0.24099999999999999</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1.2050000000000001</v>
      </c>
      <c r="E76" s="91" t="s">
        <v>797</v>
      </c>
      <c r="F76" s="92" t="s">
        <v>797</v>
      </c>
      <c r="G76" s="317" t="s">
        <v>797</v>
      </c>
      <c r="H76" s="317">
        <v>7.18</v>
      </c>
      <c r="I76" s="320">
        <v>7.18</v>
      </c>
      <c r="J76" s="25">
        <v>0.24099999999999999</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2.6680000000000001</v>
      </c>
      <c r="E77" s="91">
        <v>0.34100000000000003</v>
      </c>
      <c r="F77" s="92">
        <v>0.02</v>
      </c>
      <c r="G77" s="317">
        <v>99</v>
      </c>
      <c r="H77" s="317">
        <v>8.14</v>
      </c>
      <c r="I77" s="320">
        <v>8.14</v>
      </c>
      <c r="J77" s="25">
        <v>0.20799999999999999</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0.32200000000000001</v>
      </c>
      <c r="E78" s="91" t="s">
        <v>797</v>
      </c>
      <c r="F78" s="92" t="s">
        <v>797</v>
      </c>
      <c r="G78" s="317" t="s">
        <v>797</v>
      </c>
      <c r="H78" s="317">
        <v>8.14</v>
      </c>
      <c r="I78" s="320">
        <v>8.14</v>
      </c>
      <c r="J78" s="25">
        <v>0.20799999999999999</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0.17100000000000001</v>
      </c>
      <c r="E79" s="91" t="s">
        <v>797</v>
      </c>
      <c r="F79" s="92" t="s">
        <v>797</v>
      </c>
      <c r="G79" s="317" t="s">
        <v>797</v>
      </c>
      <c r="H79" s="317">
        <v>8.14</v>
      </c>
      <c r="I79" s="320">
        <v>8.14</v>
      </c>
      <c r="J79" s="25">
        <v>0.20799999999999999</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0.23300000000000001</v>
      </c>
      <c r="E80" s="91" t="s">
        <v>797</v>
      </c>
      <c r="F80" s="92" t="s">
        <v>797</v>
      </c>
      <c r="G80" s="317" t="s">
        <v>797</v>
      </c>
      <c r="H80" s="317">
        <v>8.14</v>
      </c>
      <c r="I80" s="320">
        <v>8.14</v>
      </c>
      <c r="J80" s="25">
        <v>0.20799999999999999</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0.184</v>
      </c>
      <c r="E81" s="91" t="s">
        <v>797</v>
      </c>
      <c r="F81" s="92" t="s">
        <v>797</v>
      </c>
      <c r="G81" s="317" t="s">
        <v>797</v>
      </c>
      <c r="H81" s="317">
        <v>8.14</v>
      </c>
      <c r="I81" s="320">
        <v>8.14</v>
      </c>
      <c r="J81" s="25">
        <v>0.20799999999999999</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19.571000000000002</v>
      </c>
      <c r="E82" s="94">
        <v>1.599</v>
      </c>
      <c r="F82" s="92">
        <v>0.22500000000000001</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805</v>
      </c>
      <c r="D83" s="90">
        <v>-5.4139999999999997</v>
      </c>
      <c r="E83" s="91">
        <v>-0.63700000000000001</v>
      </c>
      <c r="F83" s="92">
        <v>-4.7E-2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-4.9210000000000003</v>
      </c>
      <c r="E84" s="91">
        <v>-0.58799999999999997</v>
      </c>
      <c r="F84" s="92">
        <v>-4.1000000000000002E-2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-5.4139999999999997</v>
      </c>
      <c r="E85" s="91">
        <v>-0.63700000000000001</v>
      </c>
      <c r="F85" s="92">
        <v>-4.7E-2</v>
      </c>
      <c r="G85" s="317" t="s">
        <v>797</v>
      </c>
      <c r="H85" s="318" t="s">
        <v>797</v>
      </c>
      <c r="I85" s="319" t="s">
        <v>797</v>
      </c>
      <c r="J85" s="25">
        <v>0.38</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-4.9210000000000003</v>
      </c>
      <c r="E86" s="91">
        <v>-0.58799999999999997</v>
      </c>
      <c r="F86" s="92">
        <v>-4.1000000000000002E-2</v>
      </c>
      <c r="G86" s="317" t="s">
        <v>797</v>
      </c>
      <c r="H86" s="318" t="s">
        <v>797</v>
      </c>
      <c r="I86" s="319" t="s">
        <v>797</v>
      </c>
      <c r="J86" s="25">
        <v>0.33100000000000002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-4.1790000000000003</v>
      </c>
      <c r="E87" s="91">
        <v>-0.53400000000000003</v>
      </c>
      <c r="F87" s="92">
        <v>-2.9000000000000001E-2</v>
      </c>
      <c r="G87" s="317">
        <v>9.08</v>
      </c>
      <c r="H87" s="318" t="s">
        <v>797</v>
      </c>
      <c r="I87" s="319" t="s">
        <v>797</v>
      </c>
      <c r="J87" s="25">
        <v>0.38200000000000001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4.4729999999999999</v>
      </c>
      <c r="E88" s="91">
        <v>0.45600000000000002</v>
      </c>
      <c r="F88" s="92" t="s">
        <v>797</v>
      </c>
      <c r="G88" s="317" t="s">
        <v>797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4.5519999999999996</v>
      </c>
      <c r="E89" s="91">
        <v>0.53500000000000003</v>
      </c>
      <c r="F89" s="92">
        <v>0.04</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3.524</v>
      </c>
      <c r="E90" s="91">
        <v>0.41499999999999998</v>
      </c>
      <c r="F90" s="92">
        <v>3.1E-2</v>
      </c>
      <c r="G90" s="317">
        <v>2.17</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3.48</v>
      </c>
      <c r="E91" s="91">
        <v>0.371</v>
      </c>
      <c r="F91" s="92" t="s">
        <v>797</v>
      </c>
      <c r="G91" s="317" t="s">
        <v>797</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3.17</v>
      </c>
      <c r="E92" s="91">
        <v>0.06</v>
      </c>
      <c r="F92" s="92" t="s">
        <v>797</v>
      </c>
      <c r="G92" s="317" t="s">
        <v>797</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3.056</v>
      </c>
      <c r="E93" s="91" t="s">
        <v>797</v>
      </c>
      <c r="F93" s="92" t="s">
        <v>797</v>
      </c>
      <c r="G93" s="317" t="s">
        <v>797</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2.9089999999999998</v>
      </c>
      <c r="E94" s="91" t="s">
        <v>797</v>
      </c>
      <c r="F94" s="92" t="s">
        <v>797</v>
      </c>
      <c r="G94" s="317" t="s">
        <v>797</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3.524</v>
      </c>
      <c r="E95" s="91">
        <v>0.41499999999999998</v>
      </c>
      <c r="F95" s="92">
        <v>3.1E-2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2.8010000000000002</v>
      </c>
      <c r="E96" s="91">
        <v>0.33800000000000002</v>
      </c>
      <c r="F96" s="92">
        <v>2.3E-2</v>
      </c>
      <c r="G96" s="317">
        <v>5.32</v>
      </c>
      <c r="H96" s="317">
        <v>3.03</v>
      </c>
      <c r="I96" s="320">
        <v>3.03</v>
      </c>
      <c r="J96" s="25">
        <v>0.215</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1.792</v>
      </c>
      <c r="E97" s="91">
        <v>0.11799999999999999</v>
      </c>
      <c r="F97" s="92">
        <v>1.0999999999999999E-2</v>
      </c>
      <c r="G97" s="317">
        <v>0.84</v>
      </c>
      <c r="H97" s="317">
        <v>3.03</v>
      </c>
      <c r="I97" s="320">
        <v>3.03</v>
      </c>
      <c r="J97" s="25">
        <v>0.215</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1.768</v>
      </c>
      <c r="E98" s="91">
        <v>0.11799999999999999</v>
      </c>
      <c r="F98" s="92">
        <v>1.0999999999999999E-2</v>
      </c>
      <c r="G98" s="317">
        <v>0.84</v>
      </c>
      <c r="H98" s="317">
        <v>3.03</v>
      </c>
      <c r="I98" s="320">
        <v>3.03</v>
      </c>
      <c r="J98" s="25">
        <v>0.215</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1.7470000000000001</v>
      </c>
      <c r="E99" s="91">
        <v>0.11799999999999999</v>
      </c>
      <c r="F99" s="92">
        <v>1.0999999999999999E-2</v>
      </c>
      <c r="G99" s="317">
        <v>0.84</v>
      </c>
      <c r="H99" s="317">
        <v>3.03</v>
      </c>
      <c r="I99" s="320">
        <v>3.03</v>
      </c>
      <c r="J99" s="25">
        <v>0.215</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1.72</v>
      </c>
      <c r="E100" s="91">
        <v>0.11799999999999999</v>
      </c>
      <c r="F100" s="92">
        <v>1.0999999999999999E-2</v>
      </c>
      <c r="G100" s="317">
        <v>0.84</v>
      </c>
      <c r="H100" s="317">
        <v>3.03</v>
      </c>
      <c r="I100" s="320">
        <v>3.03</v>
      </c>
      <c r="J100" s="25">
        <v>0.215</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2.4900000000000002</v>
      </c>
      <c r="E101" s="91">
        <v>0.318</v>
      </c>
      <c r="F101" s="92">
        <v>1.7000000000000001E-2</v>
      </c>
      <c r="G101" s="317">
        <v>6.48</v>
      </c>
      <c r="H101" s="317">
        <v>5.51</v>
      </c>
      <c r="I101" s="320">
        <v>5.51</v>
      </c>
      <c r="J101" s="25">
        <v>0.185</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1.0289999999999999</v>
      </c>
      <c r="E102" s="91" t="s">
        <v>797</v>
      </c>
      <c r="F102" s="92" t="s">
        <v>797</v>
      </c>
      <c r="G102" s="317" t="s">
        <v>797</v>
      </c>
      <c r="H102" s="317">
        <v>5.51</v>
      </c>
      <c r="I102" s="320">
        <v>5.51</v>
      </c>
      <c r="J102" s="25">
        <v>0.185</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0.99399999999999999</v>
      </c>
      <c r="E103" s="91" t="s">
        <v>797</v>
      </c>
      <c r="F103" s="92" t="s">
        <v>797</v>
      </c>
      <c r="G103" s="317" t="s">
        <v>797</v>
      </c>
      <c r="H103" s="317">
        <v>5.51</v>
      </c>
      <c r="I103" s="320">
        <v>5.51</v>
      </c>
      <c r="J103" s="25">
        <v>0.185</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0.96399999999999997</v>
      </c>
      <c r="E104" s="91" t="s">
        <v>797</v>
      </c>
      <c r="F104" s="92" t="s">
        <v>797</v>
      </c>
      <c r="G104" s="317" t="s">
        <v>797</v>
      </c>
      <c r="H104" s="317">
        <v>5.51</v>
      </c>
      <c r="I104" s="320">
        <v>5.51</v>
      </c>
      <c r="J104" s="25">
        <v>0.185</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0.92500000000000004</v>
      </c>
      <c r="E105" s="91" t="s">
        <v>797</v>
      </c>
      <c r="F105" s="92" t="s">
        <v>797</v>
      </c>
      <c r="G105" s="317" t="s">
        <v>797</v>
      </c>
      <c r="H105" s="317">
        <v>5.51</v>
      </c>
      <c r="I105" s="320">
        <v>5.51</v>
      </c>
      <c r="J105" s="25">
        <v>0.185</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2.048</v>
      </c>
      <c r="E106" s="91">
        <v>0.26200000000000001</v>
      </c>
      <c r="F106" s="92">
        <v>1.4999999999999999E-2</v>
      </c>
      <c r="G106" s="317">
        <v>76</v>
      </c>
      <c r="H106" s="317">
        <v>6.25</v>
      </c>
      <c r="I106" s="320">
        <v>6.25</v>
      </c>
      <c r="J106" s="25">
        <v>0.159</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0.247</v>
      </c>
      <c r="E107" s="91" t="s">
        <v>797</v>
      </c>
      <c r="F107" s="92" t="s">
        <v>797</v>
      </c>
      <c r="G107" s="317" t="s">
        <v>797</v>
      </c>
      <c r="H107" s="317">
        <v>6.25</v>
      </c>
      <c r="I107" s="320">
        <v>6.25</v>
      </c>
      <c r="J107" s="25">
        <v>0.159</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0.13100000000000001</v>
      </c>
      <c r="E108" s="91" t="s">
        <v>797</v>
      </c>
      <c r="F108" s="92" t="s">
        <v>797</v>
      </c>
      <c r="G108" s="317" t="s">
        <v>797</v>
      </c>
      <c r="H108" s="317">
        <v>6.25</v>
      </c>
      <c r="I108" s="320">
        <v>6.25</v>
      </c>
      <c r="J108" s="25">
        <v>0.159</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0.17899999999999999</v>
      </c>
      <c r="E109" s="91" t="s">
        <v>797</v>
      </c>
      <c r="F109" s="92" t="s">
        <v>797</v>
      </c>
      <c r="G109" s="317" t="s">
        <v>797</v>
      </c>
      <c r="H109" s="317">
        <v>6.25</v>
      </c>
      <c r="I109" s="320">
        <v>6.25</v>
      </c>
      <c r="J109" s="25">
        <v>0.159</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0.14099999999999999</v>
      </c>
      <c r="E110" s="91" t="s">
        <v>797</v>
      </c>
      <c r="F110" s="92" t="s">
        <v>797</v>
      </c>
      <c r="G110" s="317" t="s">
        <v>797</v>
      </c>
      <c r="H110" s="317">
        <v>6.25</v>
      </c>
      <c r="I110" s="320">
        <v>6.25</v>
      </c>
      <c r="J110" s="25">
        <v>0.159</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15.025</v>
      </c>
      <c r="E111" s="94">
        <v>1.2270000000000001</v>
      </c>
      <c r="F111" s="92">
        <v>0.17299999999999999</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805</v>
      </c>
      <c r="D112" s="90">
        <v>-4.1559999999999997</v>
      </c>
      <c r="E112" s="91">
        <v>-0.48899999999999999</v>
      </c>
      <c r="F112" s="92">
        <v>-3.5999999999999997E-2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-3.778</v>
      </c>
      <c r="E113" s="91">
        <v>-0.45100000000000001</v>
      </c>
      <c r="F113" s="92">
        <v>-3.2000000000000001E-2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-4.1559999999999997</v>
      </c>
      <c r="E114" s="91">
        <v>-0.48899999999999999</v>
      </c>
      <c r="F114" s="92">
        <v>-3.5999999999999997E-2</v>
      </c>
      <c r="G114" s="317" t="s">
        <v>797</v>
      </c>
      <c r="H114" s="318" t="s">
        <v>797</v>
      </c>
      <c r="I114" s="319" t="s">
        <v>797</v>
      </c>
      <c r="J114" s="25">
        <v>0.29199999999999998</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-3.778</v>
      </c>
      <c r="E115" s="91">
        <v>-0.45100000000000001</v>
      </c>
      <c r="F115" s="92">
        <v>-3.2000000000000001E-2</v>
      </c>
      <c r="G115" s="317" t="s">
        <v>797</v>
      </c>
      <c r="H115" s="318" t="s">
        <v>797</v>
      </c>
      <c r="I115" s="319" t="s">
        <v>797</v>
      </c>
      <c r="J115" s="25">
        <v>0.254</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-3.2080000000000002</v>
      </c>
      <c r="E116" s="91">
        <v>-0.41</v>
      </c>
      <c r="F116" s="92">
        <v>-2.1999999999999999E-2</v>
      </c>
      <c r="G116" s="317">
        <v>6.97</v>
      </c>
      <c r="H116" s="318" t="s">
        <v>797</v>
      </c>
      <c r="I116" s="319" t="s">
        <v>797</v>
      </c>
      <c r="J116" s="25">
        <v>0.29299999999999998</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2.7749999999999999</v>
      </c>
      <c r="E117" s="91">
        <v>0.28299999999999997</v>
      </c>
      <c r="F117" s="92" t="s">
        <v>797</v>
      </c>
      <c r="G117" s="317" t="s">
        <v>797</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2.8250000000000002</v>
      </c>
      <c r="E118" s="91">
        <v>0.33200000000000002</v>
      </c>
      <c r="F118" s="92">
        <v>2.5000000000000001E-2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2.1869999999999998</v>
      </c>
      <c r="E119" s="91">
        <v>0.25700000000000001</v>
      </c>
      <c r="F119" s="92">
        <v>1.9E-2</v>
      </c>
      <c r="G119" s="317">
        <v>1.34</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2.1589999999999998</v>
      </c>
      <c r="E120" s="91">
        <v>0.23</v>
      </c>
      <c r="F120" s="92" t="s">
        <v>797</v>
      </c>
      <c r="G120" s="317" t="s">
        <v>797</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1.9670000000000001</v>
      </c>
      <c r="E121" s="91">
        <v>3.6999999999999998E-2</v>
      </c>
      <c r="F121" s="92" t="s">
        <v>797</v>
      </c>
      <c r="G121" s="317" t="s">
        <v>797</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1.8959999999999999</v>
      </c>
      <c r="E122" s="91" t="s">
        <v>797</v>
      </c>
      <c r="F122" s="92" t="s">
        <v>797</v>
      </c>
      <c r="G122" s="317" t="s">
        <v>797</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1.8049999999999999</v>
      </c>
      <c r="E123" s="91" t="s">
        <v>797</v>
      </c>
      <c r="F123" s="92" t="s">
        <v>797</v>
      </c>
      <c r="G123" s="317" t="s">
        <v>797</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2.1869999999999998</v>
      </c>
      <c r="E124" s="91">
        <v>0.25700000000000001</v>
      </c>
      <c r="F124" s="92">
        <v>1.9E-2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1.738</v>
      </c>
      <c r="E125" s="91">
        <v>0.21</v>
      </c>
      <c r="F125" s="92">
        <v>1.4E-2</v>
      </c>
      <c r="G125" s="317">
        <v>3.3</v>
      </c>
      <c r="H125" s="317">
        <v>1.88</v>
      </c>
      <c r="I125" s="320">
        <v>1.88</v>
      </c>
      <c r="J125" s="25">
        <v>0.13400000000000001</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1.1120000000000001</v>
      </c>
      <c r="E126" s="91">
        <v>7.2999999999999995E-2</v>
      </c>
      <c r="F126" s="92">
        <v>7.0000000000000001E-3</v>
      </c>
      <c r="G126" s="317">
        <v>0.52</v>
      </c>
      <c r="H126" s="317">
        <v>1.88</v>
      </c>
      <c r="I126" s="320">
        <v>1.88</v>
      </c>
      <c r="J126" s="25">
        <v>0.13400000000000001</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1.097</v>
      </c>
      <c r="E127" s="91">
        <v>7.2999999999999995E-2</v>
      </c>
      <c r="F127" s="92">
        <v>7.0000000000000001E-3</v>
      </c>
      <c r="G127" s="317">
        <v>0.52</v>
      </c>
      <c r="H127" s="317">
        <v>1.88</v>
      </c>
      <c r="I127" s="320">
        <v>1.88</v>
      </c>
      <c r="J127" s="25">
        <v>0.13400000000000001</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1.0840000000000001</v>
      </c>
      <c r="E128" s="91">
        <v>7.2999999999999995E-2</v>
      </c>
      <c r="F128" s="92">
        <v>7.0000000000000001E-3</v>
      </c>
      <c r="G128" s="317">
        <v>0.52</v>
      </c>
      <c r="H128" s="317">
        <v>1.88</v>
      </c>
      <c r="I128" s="320">
        <v>1.88</v>
      </c>
      <c r="J128" s="25">
        <v>0.13400000000000001</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1.0680000000000001</v>
      </c>
      <c r="E129" s="91">
        <v>7.2999999999999995E-2</v>
      </c>
      <c r="F129" s="92">
        <v>7.0000000000000001E-3</v>
      </c>
      <c r="G129" s="317">
        <v>0.52</v>
      </c>
      <c r="H129" s="317">
        <v>1.88</v>
      </c>
      <c r="I129" s="320">
        <v>1.88</v>
      </c>
      <c r="J129" s="25">
        <v>0.13400000000000001</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1.5449999999999999</v>
      </c>
      <c r="E130" s="91">
        <v>0.19700000000000001</v>
      </c>
      <c r="F130" s="92">
        <v>1.0999999999999999E-2</v>
      </c>
      <c r="G130" s="317">
        <v>4.0199999999999996</v>
      </c>
      <c r="H130" s="317">
        <v>3.42</v>
      </c>
      <c r="I130" s="320">
        <v>3.42</v>
      </c>
      <c r="J130" s="25">
        <v>0.115</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0.63800000000000001</v>
      </c>
      <c r="E131" s="91" t="s">
        <v>797</v>
      </c>
      <c r="F131" s="92" t="s">
        <v>797</v>
      </c>
      <c r="G131" s="317" t="s">
        <v>797</v>
      </c>
      <c r="H131" s="317">
        <v>3.42</v>
      </c>
      <c r="I131" s="320">
        <v>3.42</v>
      </c>
      <c r="J131" s="25">
        <v>0.115</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0.61699999999999999</v>
      </c>
      <c r="E132" s="91" t="s">
        <v>797</v>
      </c>
      <c r="F132" s="92" t="s">
        <v>797</v>
      </c>
      <c r="G132" s="317" t="s">
        <v>797</v>
      </c>
      <c r="H132" s="317">
        <v>3.42</v>
      </c>
      <c r="I132" s="320">
        <v>3.42</v>
      </c>
      <c r="J132" s="25">
        <v>0.115</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0.59799999999999998</v>
      </c>
      <c r="E133" s="91" t="s">
        <v>797</v>
      </c>
      <c r="F133" s="92" t="s">
        <v>797</v>
      </c>
      <c r="G133" s="317" t="s">
        <v>797</v>
      </c>
      <c r="H133" s="317">
        <v>3.42</v>
      </c>
      <c r="I133" s="320">
        <v>3.42</v>
      </c>
      <c r="J133" s="25">
        <v>0.115</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0.57399999999999995</v>
      </c>
      <c r="E134" s="91" t="s">
        <v>797</v>
      </c>
      <c r="F134" s="92" t="s">
        <v>797</v>
      </c>
      <c r="G134" s="317" t="s">
        <v>797</v>
      </c>
      <c r="H134" s="317">
        <v>3.42</v>
      </c>
      <c r="I134" s="320">
        <v>3.42</v>
      </c>
      <c r="J134" s="25">
        <v>0.115</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1.2709999999999999</v>
      </c>
      <c r="E135" s="91">
        <v>0.16200000000000001</v>
      </c>
      <c r="F135" s="92">
        <v>8.9999999999999993E-3</v>
      </c>
      <c r="G135" s="317">
        <v>47.16</v>
      </c>
      <c r="H135" s="317">
        <v>3.88</v>
      </c>
      <c r="I135" s="320">
        <v>3.88</v>
      </c>
      <c r="J135" s="25">
        <v>9.9000000000000005E-2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0.153</v>
      </c>
      <c r="E136" s="91" t="s">
        <v>797</v>
      </c>
      <c r="F136" s="92" t="s">
        <v>797</v>
      </c>
      <c r="G136" s="317" t="s">
        <v>797</v>
      </c>
      <c r="H136" s="317">
        <v>3.88</v>
      </c>
      <c r="I136" s="320">
        <v>3.88</v>
      </c>
      <c r="J136" s="25">
        <v>9.9000000000000005E-2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8.1000000000000003E-2</v>
      </c>
      <c r="E137" s="91" t="s">
        <v>797</v>
      </c>
      <c r="F137" s="92" t="s">
        <v>797</v>
      </c>
      <c r="G137" s="317" t="s">
        <v>797</v>
      </c>
      <c r="H137" s="317">
        <v>3.88</v>
      </c>
      <c r="I137" s="320">
        <v>3.88</v>
      </c>
      <c r="J137" s="25">
        <v>9.9000000000000005E-2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0.111</v>
      </c>
      <c r="E138" s="91" t="s">
        <v>797</v>
      </c>
      <c r="F138" s="92" t="s">
        <v>797</v>
      </c>
      <c r="G138" s="317" t="s">
        <v>797</v>
      </c>
      <c r="H138" s="317">
        <v>3.88</v>
      </c>
      <c r="I138" s="320">
        <v>3.88</v>
      </c>
      <c r="J138" s="25">
        <v>9.9000000000000005E-2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8.6999999999999994E-2</v>
      </c>
      <c r="E139" s="91" t="s">
        <v>797</v>
      </c>
      <c r="F139" s="92" t="s">
        <v>797</v>
      </c>
      <c r="G139" s="317" t="s">
        <v>797</v>
      </c>
      <c r="H139" s="317">
        <v>3.88</v>
      </c>
      <c r="I139" s="320">
        <v>3.88</v>
      </c>
      <c r="J139" s="25">
        <v>9.9000000000000005E-2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804</v>
      </c>
      <c r="D140" s="93">
        <v>9.3230000000000004</v>
      </c>
      <c r="E140" s="94">
        <v>0.76100000000000001</v>
      </c>
      <c r="F140" s="92">
        <v>0.107</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805</v>
      </c>
      <c r="D141" s="90">
        <v>-2.5790000000000002</v>
      </c>
      <c r="E141" s="91">
        <v>-0.30299999999999999</v>
      </c>
      <c r="F141" s="92">
        <v>-2.1999999999999999E-2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-2.3439999999999999</v>
      </c>
      <c r="E142" s="91">
        <v>-0.28000000000000003</v>
      </c>
      <c r="F142" s="92">
        <v>-0.02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-2.5790000000000002</v>
      </c>
      <c r="E143" s="91">
        <v>-0.30299999999999999</v>
      </c>
      <c r="F143" s="92">
        <v>-2.1999999999999999E-2</v>
      </c>
      <c r="G143" s="317" t="s">
        <v>797</v>
      </c>
      <c r="H143" s="318" t="s">
        <v>797</v>
      </c>
      <c r="I143" s="319" t="s">
        <v>797</v>
      </c>
      <c r="J143" s="25">
        <v>0.18099999999999999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-2.3439999999999999</v>
      </c>
      <c r="E144" s="91">
        <v>-0.28000000000000003</v>
      </c>
      <c r="F144" s="92">
        <v>-0.02</v>
      </c>
      <c r="G144" s="317" t="s">
        <v>797</v>
      </c>
      <c r="H144" s="318" t="s">
        <v>797</v>
      </c>
      <c r="I144" s="319" t="s">
        <v>797</v>
      </c>
      <c r="J144" s="25">
        <v>0.158</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-1.9910000000000001</v>
      </c>
      <c r="E145" s="91">
        <v>-0.254</v>
      </c>
      <c r="F145" s="92">
        <v>-1.4E-2</v>
      </c>
      <c r="G145" s="317">
        <v>4.33</v>
      </c>
      <c r="H145" s="318" t="s">
        <v>797</v>
      </c>
      <c r="I145" s="319" t="s">
        <v>797</v>
      </c>
      <c r="J145" s="25">
        <v>0.182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1.9550000000000001</v>
      </c>
      <c r="E146" s="91">
        <v>0.19900000000000001</v>
      </c>
      <c r="F146" s="92" t="s">
        <v>797</v>
      </c>
      <c r="G146" s="317" t="s">
        <v>797</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1.99</v>
      </c>
      <c r="E147" s="91">
        <v>0.23400000000000001</v>
      </c>
      <c r="F147" s="92">
        <v>1.7000000000000001E-2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1.54</v>
      </c>
      <c r="E148" s="91">
        <v>0.18099999999999999</v>
      </c>
      <c r="F148" s="92">
        <v>1.2999999999999999E-2</v>
      </c>
      <c r="G148" s="317">
        <v>0.95</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1.5209999999999999</v>
      </c>
      <c r="E149" s="91">
        <v>0.16200000000000001</v>
      </c>
      <c r="F149" s="92" t="s">
        <v>797</v>
      </c>
      <c r="G149" s="317" t="s">
        <v>797</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1.3859999999999999</v>
      </c>
      <c r="E150" s="91">
        <v>2.5999999999999999E-2</v>
      </c>
      <c r="F150" s="92" t="s">
        <v>797</v>
      </c>
      <c r="G150" s="317" t="s">
        <v>797</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1.3360000000000001</v>
      </c>
      <c r="E151" s="91" t="s">
        <v>797</v>
      </c>
      <c r="F151" s="92" t="s">
        <v>797</v>
      </c>
      <c r="G151" s="317" t="s">
        <v>797</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1.2709999999999999</v>
      </c>
      <c r="E152" s="91" t="s">
        <v>797</v>
      </c>
      <c r="F152" s="92" t="s">
        <v>797</v>
      </c>
      <c r="G152" s="317" t="s">
        <v>797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1.54</v>
      </c>
      <c r="E153" s="91">
        <v>0.18099999999999999</v>
      </c>
      <c r="F153" s="92">
        <v>1.2999999999999999E-2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1.224</v>
      </c>
      <c r="E154" s="91">
        <v>0.14799999999999999</v>
      </c>
      <c r="F154" s="92">
        <v>0.01</v>
      </c>
      <c r="G154" s="317">
        <v>2.33</v>
      </c>
      <c r="H154" s="317">
        <v>1.32</v>
      </c>
      <c r="I154" s="320">
        <v>1.32</v>
      </c>
      <c r="J154" s="25">
        <v>9.4E-2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0.78300000000000003</v>
      </c>
      <c r="E155" s="91">
        <v>5.1999999999999998E-2</v>
      </c>
      <c r="F155" s="92">
        <v>5.0000000000000001E-3</v>
      </c>
      <c r="G155" s="317">
        <v>0.37</v>
      </c>
      <c r="H155" s="317">
        <v>1.32</v>
      </c>
      <c r="I155" s="320">
        <v>1.32</v>
      </c>
      <c r="J155" s="25">
        <v>9.4E-2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0.77300000000000002</v>
      </c>
      <c r="E156" s="91">
        <v>5.1999999999999998E-2</v>
      </c>
      <c r="F156" s="92">
        <v>5.0000000000000001E-3</v>
      </c>
      <c r="G156" s="317">
        <v>0.37</v>
      </c>
      <c r="H156" s="317">
        <v>1.32</v>
      </c>
      <c r="I156" s="320">
        <v>1.32</v>
      </c>
      <c r="J156" s="25">
        <v>9.4E-2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0.76300000000000001</v>
      </c>
      <c r="E157" s="91">
        <v>5.1999999999999998E-2</v>
      </c>
      <c r="F157" s="92">
        <v>5.0000000000000001E-3</v>
      </c>
      <c r="G157" s="317">
        <v>0.37</v>
      </c>
      <c r="H157" s="317">
        <v>1.32</v>
      </c>
      <c r="I157" s="320">
        <v>1.32</v>
      </c>
      <c r="J157" s="25">
        <v>9.4E-2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0.752</v>
      </c>
      <c r="E158" s="91">
        <v>5.1999999999999998E-2</v>
      </c>
      <c r="F158" s="92">
        <v>5.0000000000000001E-3</v>
      </c>
      <c r="G158" s="317">
        <v>0.37</v>
      </c>
      <c r="H158" s="317">
        <v>1.32</v>
      </c>
      <c r="I158" s="320">
        <v>1.32</v>
      </c>
      <c r="J158" s="25">
        <v>9.4E-2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1.0880000000000001</v>
      </c>
      <c r="E159" s="91">
        <v>0.13900000000000001</v>
      </c>
      <c r="F159" s="92">
        <v>8.0000000000000002E-3</v>
      </c>
      <c r="G159" s="317">
        <v>2.83</v>
      </c>
      <c r="H159" s="317">
        <v>2.41</v>
      </c>
      <c r="I159" s="320">
        <v>2.41</v>
      </c>
      <c r="J159" s="25">
        <v>8.1000000000000003E-2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0.45</v>
      </c>
      <c r="E160" s="91" t="s">
        <v>797</v>
      </c>
      <c r="F160" s="92" t="s">
        <v>797</v>
      </c>
      <c r="G160" s="317" t="s">
        <v>797</v>
      </c>
      <c r="H160" s="317">
        <v>2.41</v>
      </c>
      <c r="I160" s="320">
        <v>2.41</v>
      </c>
      <c r="J160" s="25">
        <v>8.1000000000000003E-2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0.435</v>
      </c>
      <c r="E161" s="91" t="s">
        <v>797</v>
      </c>
      <c r="F161" s="92" t="s">
        <v>797</v>
      </c>
      <c r="G161" s="317" t="s">
        <v>797</v>
      </c>
      <c r="H161" s="317">
        <v>2.41</v>
      </c>
      <c r="I161" s="320">
        <v>2.41</v>
      </c>
      <c r="J161" s="25">
        <v>8.1000000000000003E-2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0.42099999999999999</v>
      </c>
      <c r="E162" s="91" t="s">
        <v>797</v>
      </c>
      <c r="F162" s="92" t="s">
        <v>797</v>
      </c>
      <c r="G162" s="317" t="s">
        <v>797</v>
      </c>
      <c r="H162" s="317">
        <v>2.41</v>
      </c>
      <c r="I162" s="320">
        <v>2.41</v>
      </c>
      <c r="J162" s="25">
        <v>8.1000000000000003E-2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0.40400000000000003</v>
      </c>
      <c r="E163" s="91" t="s">
        <v>797</v>
      </c>
      <c r="F163" s="92" t="s">
        <v>797</v>
      </c>
      <c r="G163" s="317" t="s">
        <v>797</v>
      </c>
      <c r="H163" s="317">
        <v>2.41</v>
      </c>
      <c r="I163" s="320">
        <v>2.41</v>
      </c>
      <c r="J163" s="25">
        <v>8.1000000000000003E-2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0.89500000000000002</v>
      </c>
      <c r="E164" s="91">
        <v>0.114</v>
      </c>
      <c r="F164" s="92">
        <v>7.0000000000000001E-3</v>
      </c>
      <c r="G164" s="317">
        <v>33.22</v>
      </c>
      <c r="H164" s="317">
        <v>2.73</v>
      </c>
      <c r="I164" s="320">
        <v>2.73</v>
      </c>
      <c r="J164" s="25">
        <v>7.0000000000000007E-2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0.108</v>
      </c>
      <c r="E165" s="91" t="s">
        <v>797</v>
      </c>
      <c r="F165" s="92" t="s">
        <v>797</v>
      </c>
      <c r="G165" s="317" t="s">
        <v>797</v>
      </c>
      <c r="H165" s="317">
        <v>2.73</v>
      </c>
      <c r="I165" s="320">
        <v>2.73</v>
      </c>
      <c r="J165" s="25">
        <v>7.0000000000000007E-2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5.7000000000000002E-2</v>
      </c>
      <c r="E166" s="91" t="s">
        <v>797</v>
      </c>
      <c r="F166" s="92" t="s">
        <v>797</v>
      </c>
      <c r="G166" s="317" t="s">
        <v>797</v>
      </c>
      <c r="H166" s="317">
        <v>2.73</v>
      </c>
      <c r="I166" s="320">
        <v>2.73</v>
      </c>
      <c r="J166" s="25">
        <v>7.0000000000000007E-2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7.8E-2</v>
      </c>
      <c r="E167" s="91" t="s">
        <v>797</v>
      </c>
      <c r="F167" s="92" t="s">
        <v>797</v>
      </c>
      <c r="G167" s="317" t="s">
        <v>797</v>
      </c>
      <c r="H167" s="317">
        <v>2.73</v>
      </c>
      <c r="I167" s="320">
        <v>2.73</v>
      </c>
      <c r="J167" s="25">
        <v>7.0000000000000007E-2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6.2E-2</v>
      </c>
      <c r="E168" s="91" t="s">
        <v>797</v>
      </c>
      <c r="F168" s="92" t="s">
        <v>797</v>
      </c>
      <c r="G168" s="317" t="s">
        <v>797</v>
      </c>
      <c r="H168" s="317">
        <v>2.73</v>
      </c>
      <c r="I168" s="320">
        <v>2.73</v>
      </c>
      <c r="J168" s="25">
        <v>7.0000000000000007E-2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6.5670000000000002</v>
      </c>
      <c r="E169" s="94">
        <v>0.53600000000000003</v>
      </c>
      <c r="F169" s="92">
        <v>7.4999999999999997E-2</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805</v>
      </c>
      <c r="D170" s="90">
        <v>-1.8160000000000001</v>
      </c>
      <c r="E170" s="91">
        <v>-0.214</v>
      </c>
      <c r="F170" s="92">
        <v>-1.6E-2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-1.651</v>
      </c>
      <c r="E171" s="91">
        <v>-0.19700000000000001</v>
      </c>
      <c r="F171" s="92">
        <v>-1.4E-2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-1.8160000000000001</v>
      </c>
      <c r="E172" s="91">
        <v>-0.214</v>
      </c>
      <c r="F172" s="92">
        <v>-1.6E-2</v>
      </c>
      <c r="G172" s="317" t="s">
        <v>797</v>
      </c>
      <c r="H172" s="318" t="s">
        <v>797</v>
      </c>
      <c r="I172" s="319" t="s">
        <v>797</v>
      </c>
      <c r="J172" s="25">
        <v>0.128</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-1.651</v>
      </c>
      <c r="E173" s="91">
        <v>-0.19700000000000001</v>
      </c>
      <c r="F173" s="92">
        <v>-1.4E-2</v>
      </c>
      <c r="G173" s="317" t="s">
        <v>797</v>
      </c>
      <c r="H173" s="318" t="s">
        <v>797</v>
      </c>
      <c r="I173" s="319" t="s">
        <v>797</v>
      </c>
      <c r="J173" s="25">
        <v>0.111</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-1.4019999999999999</v>
      </c>
      <c r="E174" s="91">
        <v>-0.17899999999999999</v>
      </c>
      <c r="F174" s="92">
        <v>-0.01</v>
      </c>
      <c r="G174" s="317">
        <v>3.05</v>
      </c>
      <c r="H174" s="318" t="s">
        <v>797</v>
      </c>
      <c r="I174" s="319" t="s">
        <v>797</v>
      </c>
      <c r="J174" s="25">
        <v>0.128</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0.80900000000000005</v>
      </c>
      <c r="E175" s="91">
        <v>8.2000000000000003E-2</v>
      </c>
      <c r="F175" s="92" t="s">
        <v>797</v>
      </c>
      <c r="G175" s="317" t="s">
        <v>797</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0.82399999999999995</v>
      </c>
      <c r="E176" s="91">
        <v>9.7000000000000003E-2</v>
      </c>
      <c r="F176" s="92">
        <v>7.0000000000000001E-3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0.63800000000000001</v>
      </c>
      <c r="E177" s="91">
        <v>7.4999999999999997E-2</v>
      </c>
      <c r="F177" s="92">
        <v>6.0000000000000001E-3</v>
      </c>
      <c r="G177" s="317">
        <v>0.39</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0.63</v>
      </c>
      <c r="E178" s="91">
        <v>6.7000000000000004E-2</v>
      </c>
      <c r="F178" s="92" t="s">
        <v>797</v>
      </c>
      <c r="G178" s="317" t="s">
        <v>797</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0.57399999999999995</v>
      </c>
      <c r="E179" s="91">
        <v>1.0999999999999999E-2</v>
      </c>
      <c r="F179" s="92" t="s">
        <v>797</v>
      </c>
      <c r="G179" s="317" t="s">
        <v>797</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0.55300000000000005</v>
      </c>
      <c r="E180" s="91" t="s">
        <v>797</v>
      </c>
      <c r="F180" s="92" t="s">
        <v>797</v>
      </c>
      <c r="G180" s="317" t="s">
        <v>797</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0.52600000000000002</v>
      </c>
      <c r="E181" s="91" t="s">
        <v>797</v>
      </c>
      <c r="F181" s="92" t="s">
        <v>797</v>
      </c>
      <c r="G181" s="317" t="s">
        <v>797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0.63800000000000001</v>
      </c>
      <c r="E182" s="91">
        <v>7.4999999999999997E-2</v>
      </c>
      <c r="F182" s="92">
        <v>6.0000000000000001E-3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0.50700000000000001</v>
      </c>
      <c r="E183" s="91">
        <v>6.0999999999999999E-2</v>
      </c>
      <c r="F183" s="92">
        <v>4.0000000000000001E-3</v>
      </c>
      <c r="G183" s="317">
        <v>0.96</v>
      </c>
      <c r="H183" s="317">
        <v>0.55000000000000004</v>
      </c>
      <c r="I183" s="320">
        <v>0.55000000000000004</v>
      </c>
      <c r="J183" s="25">
        <v>3.9E-2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0.32400000000000001</v>
      </c>
      <c r="E184" s="91">
        <v>2.1000000000000001E-2</v>
      </c>
      <c r="F184" s="92">
        <v>2E-3</v>
      </c>
      <c r="G184" s="317">
        <v>0.15</v>
      </c>
      <c r="H184" s="317">
        <v>0.55000000000000004</v>
      </c>
      <c r="I184" s="320">
        <v>0.55000000000000004</v>
      </c>
      <c r="J184" s="25">
        <v>3.9E-2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0.32</v>
      </c>
      <c r="E185" s="91">
        <v>2.1000000000000001E-2</v>
      </c>
      <c r="F185" s="92">
        <v>2E-3</v>
      </c>
      <c r="G185" s="317">
        <v>0.15</v>
      </c>
      <c r="H185" s="317">
        <v>0.55000000000000004</v>
      </c>
      <c r="I185" s="320">
        <v>0.55000000000000004</v>
      </c>
      <c r="J185" s="25">
        <v>3.9E-2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0.316</v>
      </c>
      <c r="E186" s="91">
        <v>2.1000000000000001E-2</v>
      </c>
      <c r="F186" s="92">
        <v>2E-3</v>
      </c>
      <c r="G186" s="317">
        <v>0.15</v>
      </c>
      <c r="H186" s="317">
        <v>0.55000000000000004</v>
      </c>
      <c r="I186" s="320">
        <v>0.55000000000000004</v>
      </c>
      <c r="J186" s="25">
        <v>3.9E-2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0.311</v>
      </c>
      <c r="E187" s="91">
        <v>2.1000000000000001E-2</v>
      </c>
      <c r="F187" s="92">
        <v>2E-3</v>
      </c>
      <c r="G187" s="317">
        <v>0.15</v>
      </c>
      <c r="H187" s="317">
        <v>0.55000000000000004</v>
      </c>
      <c r="I187" s="320">
        <v>0.55000000000000004</v>
      </c>
      <c r="J187" s="25">
        <v>3.9E-2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0.45100000000000001</v>
      </c>
      <c r="E188" s="91">
        <v>5.8000000000000003E-2</v>
      </c>
      <c r="F188" s="92">
        <v>3.0000000000000001E-3</v>
      </c>
      <c r="G188" s="317">
        <v>1.17</v>
      </c>
      <c r="H188" s="317">
        <v>1</v>
      </c>
      <c r="I188" s="320">
        <v>1</v>
      </c>
      <c r="J188" s="25">
        <v>3.3000000000000002E-2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0.186</v>
      </c>
      <c r="E189" s="91" t="s">
        <v>797</v>
      </c>
      <c r="F189" s="92" t="s">
        <v>797</v>
      </c>
      <c r="G189" s="317" t="s">
        <v>797</v>
      </c>
      <c r="H189" s="317">
        <v>1</v>
      </c>
      <c r="I189" s="320">
        <v>1</v>
      </c>
      <c r="J189" s="25">
        <v>3.3000000000000002E-2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0.18</v>
      </c>
      <c r="E190" s="91" t="s">
        <v>797</v>
      </c>
      <c r="F190" s="92" t="s">
        <v>797</v>
      </c>
      <c r="G190" s="317" t="s">
        <v>797</v>
      </c>
      <c r="H190" s="317">
        <v>1</v>
      </c>
      <c r="I190" s="320">
        <v>1</v>
      </c>
      <c r="J190" s="25">
        <v>3.3000000000000002E-2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0.17399999999999999</v>
      </c>
      <c r="E191" s="91" t="s">
        <v>797</v>
      </c>
      <c r="F191" s="92" t="s">
        <v>797</v>
      </c>
      <c r="G191" s="317" t="s">
        <v>797</v>
      </c>
      <c r="H191" s="317">
        <v>1</v>
      </c>
      <c r="I191" s="320">
        <v>1</v>
      </c>
      <c r="J191" s="25">
        <v>3.3000000000000002E-2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0.16700000000000001</v>
      </c>
      <c r="E192" s="91" t="s">
        <v>797</v>
      </c>
      <c r="F192" s="92" t="s">
        <v>797</v>
      </c>
      <c r="G192" s="317" t="s">
        <v>797</v>
      </c>
      <c r="H192" s="317">
        <v>1</v>
      </c>
      <c r="I192" s="320">
        <v>1</v>
      </c>
      <c r="J192" s="25">
        <v>3.3000000000000002E-2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0.371</v>
      </c>
      <c r="E193" s="91">
        <v>4.7E-2</v>
      </c>
      <c r="F193" s="92">
        <v>3.0000000000000001E-3</v>
      </c>
      <c r="G193" s="317">
        <v>13.75</v>
      </c>
      <c r="H193" s="317">
        <v>1.1299999999999999</v>
      </c>
      <c r="I193" s="320">
        <v>1.1299999999999999</v>
      </c>
      <c r="J193" s="25">
        <v>2.9000000000000001E-2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4.4999999999999998E-2</v>
      </c>
      <c r="E194" s="91" t="s">
        <v>797</v>
      </c>
      <c r="F194" s="92" t="s">
        <v>797</v>
      </c>
      <c r="G194" s="317" t="s">
        <v>797</v>
      </c>
      <c r="H194" s="317">
        <v>1.1299999999999999</v>
      </c>
      <c r="I194" s="320">
        <v>1.1299999999999999</v>
      </c>
      <c r="J194" s="25">
        <v>2.9000000000000001E-2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2.4E-2</v>
      </c>
      <c r="E195" s="91" t="s">
        <v>797</v>
      </c>
      <c r="F195" s="92" t="s">
        <v>797</v>
      </c>
      <c r="G195" s="317" t="s">
        <v>797</v>
      </c>
      <c r="H195" s="317">
        <v>1.1299999999999999</v>
      </c>
      <c r="I195" s="320">
        <v>1.1299999999999999</v>
      </c>
      <c r="J195" s="25">
        <v>2.9000000000000001E-2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3.2000000000000001E-2</v>
      </c>
      <c r="E196" s="91" t="s">
        <v>797</v>
      </c>
      <c r="F196" s="92" t="s">
        <v>797</v>
      </c>
      <c r="G196" s="317" t="s">
        <v>797</v>
      </c>
      <c r="H196" s="317">
        <v>1.1299999999999999</v>
      </c>
      <c r="I196" s="320">
        <v>1.1299999999999999</v>
      </c>
      <c r="J196" s="25">
        <v>2.9000000000000001E-2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2.5000000000000001E-2</v>
      </c>
      <c r="E197" s="91" t="s">
        <v>797</v>
      </c>
      <c r="F197" s="92" t="s">
        <v>797</v>
      </c>
      <c r="G197" s="317" t="s">
        <v>797</v>
      </c>
      <c r="H197" s="317">
        <v>1.1299999999999999</v>
      </c>
      <c r="I197" s="320">
        <v>1.1299999999999999</v>
      </c>
      <c r="J197" s="25">
        <v>2.9000000000000001E-2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2.7189999999999999</v>
      </c>
      <c r="E198" s="94">
        <v>0.222</v>
      </c>
      <c r="F198" s="92">
        <v>3.1E-2</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805</v>
      </c>
      <c r="D199" s="90">
        <v>-0.752</v>
      </c>
      <c r="E199" s="91">
        <v>-8.7999999999999995E-2</v>
      </c>
      <c r="F199" s="92">
        <v>-7.0000000000000001E-3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-0.68400000000000005</v>
      </c>
      <c r="E200" s="91">
        <v>-8.2000000000000003E-2</v>
      </c>
      <c r="F200" s="92">
        <v>-6.0000000000000001E-3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-0.752</v>
      </c>
      <c r="E201" s="91">
        <v>-8.7999999999999995E-2</v>
      </c>
      <c r="F201" s="92">
        <v>-7.0000000000000001E-3</v>
      </c>
      <c r="G201" s="317" t="s">
        <v>797</v>
      </c>
      <c r="H201" s="318" t="s">
        <v>797</v>
      </c>
      <c r="I201" s="319" t="s">
        <v>797</v>
      </c>
      <c r="J201" s="25">
        <v>5.2999999999999999E-2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-0.68400000000000005</v>
      </c>
      <c r="E202" s="91">
        <v>-8.2000000000000003E-2</v>
      </c>
      <c r="F202" s="92">
        <v>-6.0000000000000001E-3</v>
      </c>
      <c r="G202" s="317" t="s">
        <v>797</v>
      </c>
      <c r="H202" s="318" t="s">
        <v>797</v>
      </c>
      <c r="I202" s="319" t="s">
        <v>797</v>
      </c>
      <c r="J202" s="25">
        <v>4.5999999999999999E-2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-0.58099999999999996</v>
      </c>
      <c r="E203" s="91">
        <v>-7.3999999999999996E-2</v>
      </c>
      <c r="F203" s="92">
        <v>-4.0000000000000001E-3</v>
      </c>
      <c r="G203" s="317">
        <v>1.26</v>
      </c>
      <c r="H203" s="318" t="s">
        <v>797</v>
      </c>
      <c r="I203" s="319" t="s">
        <v>797</v>
      </c>
      <c r="J203" s="25">
        <v>5.2999999999999999E-2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H10:J10"/>
    <mergeCell ref="F6:G6"/>
    <mergeCell ref="F7:G7"/>
    <mergeCell ref="B8:D8"/>
    <mergeCell ref="F8:G8"/>
    <mergeCell ref="F9:G9"/>
    <mergeCell ref="F10:G10"/>
    <mergeCell ref="L4:R5"/>
    <mergeCell ref="F5:G5"/>
    <mergeCell ref="A2:J2"/>
    <mergeCell ref="A4:D4"/>
    <mergeCell ref="F4:J4"/>
  </mergeCells>
  <conditionalFormatting sqref="K14:Q203">
    <cfRule type="cellIs" dxfId="70" priority="2" operator="equal">
      <formula>0</formula>
    </cfRule>
    <cfRule type="cellIs" dxfId="69" priority="3" operator="lessThan">
      <formula>0</formula>
    </cfRule>
    <cfRule type="cellIs" dxfId="68" priority="4" operator="greaterThan">
      <formula>0</formula>
    </cfRule>
  </conditionalFormatting>
  <conditionalFormatting sqref="K14:R203">
    <cfRule type="expression" dxfId="67" priority="1">
      <formula>$K14&lt;&gt;""</formula>
    </cfRule>
  </conditionalFormatting>
  <hyperlinks>
    <hyperlink ref="A1" location="Overview!A1" display="Back to Overview" xr:uid="{0850C097-A900-4CFD-BFC2-ADED5F53A4C3}"/>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21.7109375" style="1" customWidth="1"/>
    <col min="4" max="4" width="17.7109375" style="1" customWidth="1"/>
    <col min="5" max="7" width="17.7109375" style="2" customWidth="1"/>
    <col min="8" max="8" width="21.28515625" style="6" bestFit="1" customWidth="1"/>
    <col min="9" max="9" width="23.7109375" style="6" bestFit="1" customWidth="1"/>
    <col min="10" max="10" width="21"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31.5" customHeight="1" x14ac:dyDescent="0.2">
      <c r="A2" s="454" t="str">
        <f>Overview!B4&amp;" - Effective from "&amp;TEXT(Overview!$D$4,"d mmmm yyyy")&amp;" - Final LDNO tariffs in SP Manweb Area (GSP Group_D)"</f>
        <v>Leep Electricity Networks Limited - Effective from 1 April 2027 - Final LDNO tariffs in SP Manweb Area (GSP Group_D)</v>
      </c>
      <c r="B2" s="454"/>
      <c r="C2" s="454"/>
      <c r="D2" s="454"/>
      <c r="E2" s="454"/>
      <c r="F2" s="454"/>
      <c r="G2" s="454"/>
      <c r="H2" s="454"/>
      <c r="I2" s="454"/>
      <c r="J2" s="454"/>
    </row>
    <row r="3" spans="1:17" ht="8.25" customHeight="1" x14ac:dyDescent="0.2">
      <c r="A3" s="46"/>
      <c r="B3" s="46"/>
      <c r="C3" s="46"/>
      <c r="D3" s="46"/>
      <c r="E3" s="46"/>
      <c r="F3" s="46"/>
      <c r="G3" s="46"/>
      <c r="H3" s="46"/>
      <c r="I3" s="46"/>
      <c r="J3" s="46"/>
    </row>
    <row r="4" spans="1:17" ht="27" customHeight="1" x14ac:dyDescent="0.2">
      <c r="A4" s="396" t="s">
        <v>290</v>
      </c>
      <c r="B4" s="397"/>
      <c r="C4" s="397"/>
      <c r="D4" s="398"/>
      <c r="E4" s="50"/>
      <c r="F4" s="396" t="s">
        <v>289</v>
      </c>
      <c r="G4" s="397"/>
      <c r="H4" s="397"/>
      <c r="I4" s="397"/>
      <c r="J4" s="398"/>
      <c r="K4" s="3"/>
    </row>
    <row r="5" spans="1:17" ht="32.25" customHeight="1" x14ac:dyDescent="0.2">
      <c r="A5" s="39" t="s">
        <v>13</v>
      </c>
      <c r="B5" s="256" t="s">
        <v>281</v>
      </c>
      <c r="C5" s="269" t="s">
        <v>282</v>
      </c>
      <c r="D5" s="41" t="s">
        <v>283</v>
      </c>
      <c r="E5" s="45"/>
      <c r="F5" s="381"/>
      <c r="G5" s="382"/>
      <c r="H5" s="43" t="s">
        <v>287</v>
      </c>
      <c r="I5" s="44" t="s">
        <v>288</v>
      </c>
      <c r="J5" s="41" t="s">
        <v>283</v>
      </c>
      <c r="K5" s="3"/>
      <c r="L5" s="3"/>
    </row>
    <row r="6" spans="1:17" ht="56.25" customHeight="1" x14ac:dyDescent="0.2">
      <c r="A6" s="42" t="str">
        <f>'Annex 1 LV and HV charges_D'!A6</f>
        <v>Monday to Friday 
(Including Bank Holidays)
All Year</v>
      </c>
      <c r="B6" s="13" t="str">
        <f>'Annex 1 LV and HV charges_D'!B6</f>
        <v>16.30 - 19.30</v>
      </c>
      <c r="C6" s="251" t="str">
        <f>'Annex 1 LV and HV charges_D'!C6</f>
        <v>08.00 - 16.30
19.30 - 22.30</v>
      </c>
      <c r="D6" s="95" t="str">
        <f>'Annex 1 LV and HV charges_D'!E6</f>
        <v>00.00 - 08.00
22.30 - 00.00</v>
      </c>
      <c r="E6" s="45"/>
      <c r="F6" s="484" t="str">
        <f>'Annex 1 LV and HV charges_D'!G6</f>
        <v>Monday to Friday 
(Including Bank Holidays)
June to August Inclusive</v>
      </c>
      <c r="G6" s="485">
        <f>'Annex 1 LV and HV charges_D'!H6</f>
        <v>0</v>
      </c>
      <c r="H6" s="250" t="str">
        <f>'Annex 1 LV and HV charges_D'!I6</f>
        <v/>
      </c>
      <c r="I6" s="248" t="str">
        <f>'Annex 1 LV and HV charges_D'!J6</f>
        <v>08.00 - 22.30</v>
      </c>
      <c r="J6" s="95" t="str">
        <f>'Annex 1 LV and HV charges_D'!K6</f>
        <v>00.00 - 08.00
22.30 - 00.00</v>
      </c>
      <c r="K6" s="3"/>
      <c r="L6" s="3"/>
    </row>
    <row r="7" spans="1:17" ht="56.25" customHeight="1" x14ac:dyDescent="0.2">
      <c r="A7" s="42" t="str">
        <f>'Annex 1 LV and HV charges_D'!A7</f>
        <v>Saturday and Sunday
All Year</v>
      </c>
      <c r="B7" s="250" t="str">
        <f>'Annex 1 LV and HV charges_D'!B7</f>
        <v/>
      </c>
      <c r="C7" s="182" t="str">
        <f>'Annex 1 LV and HV charges_D'!C7</f>
        <v>16.00 - 20.00</v>
      </c>
      <c r="D7" s="248" t="str">
        <f>'Annex 1 LV and HV charges_D'!E7</f>
        <v>00.00 - 16.00
20.00 - 00.00</v>
      </c>
      <c r="E7" s="45"/>
      <c r="F7" s="484" t="str">
        <f>'Annex 1 LV and HV charges_D'!G7</f>
        <v>Monday to Friday 
(Including Bank Holidays)
November to February Inclusive</v>
      </c>
      <c r="G7" s="485">
        <f>'Annex 1 LV and HV charges_D'!H7</f>
        <v>0</v>
      </c>
      <c r="H7" s="13" t="str">
        <f>'Annex 1 LV and HV charges_D'!I7</f>
        <v>16.30 - 19.30</v>
      </c>
      <c r="I7" s="248" t="str">
        <f>'Annex 1 LV and HV charges_D'!J7</f>
        <v>08.00 - 16.30
19.30 - 22.30</v>
      </c>
      <c r="J7" s="95" t="str">
        <f>'Annex 1 LV and HV charges_D'!K7</f>
        <v>00.00 - 08.00
22.30 - 00.00</v>
      </c>
      <c r="K7" s="3"/>
      <c r="L7" s="3"/>
    </row>
    <row r="8" spans="1:17" ht="55.5" customHeight="1" x14ac:dyDescent="0.2">
      <c r="A8" s="257" t="str">
        <f>'Annex 1 LV and HV charges_D'!A8</f>
        <v>Notes</v>
      </c>
      <c r="B8" s="391" t="str">
        <f>'Annex 1 LV and HV charges_D'!B8</f>
        <v>All the above times are in UK Clock time</v>
      </c>
      <c r="C8" s="392">
        <f>'Annex 1 LV and HV charges_D'!C8</f>
        <v>0</v>
      </c>
      <c r="D8" s="393">
        <f>'Annex 1 LV and HV charges_D'!D8</f>
        <v>0</v>
      </c>
      <c r="E8" s="45"/>
      <c r="F8" s="484" t="str">
        <f>'Annex 1 LV and HV charges_D'!G8</f>
        <v>Monday to Friday 
(Including Bank Holidays)
March, April, May and September, October</v>
      </c>
      <c r="G8" s="485">
        <f>'Annex 1 LV and HV charges_D'!H8</f>
        <v>0</v>
      </c>
      <c r="H8" s="250" t="str">
        <f>'Annex 1 LV and HV charges_D'!I8</f>
        <v>`</v>
      </c>
      <c r="I8" s="248" t="str">
        <f>'Annex 1 LV and HV charges_D'!J8</f>
        <v>08.00 - 22.30</v>
      </c>
      <c r="J8" s="95" t="str">
        <f>'Annex 1 LV and HV charges_D'!K8</f>
        <v>00.00 - 08.00
22.30 - 00.00</v>
      </c>
      <c r="K8" s="3"/>
      <c r="L8" s="3"/>
    </row>
    <row r="9" spans="1:17" s="40" customFormat="1" ht="55.5" customHeight="1" x14ac:dyDescent="0.2">
      <c r="E9" s="47"/>
      <c r="F9" s="377" t="str">
        <f>'Annex 1 LV and HV charges_D'!G9</f>
        <v>Saturday and Sunday
All year</v>
      </c>
      <c r="G9" s="378">
        <f>'Annex 1 LV and HV charges_D'!H9</f>
        <v>0</v>
      </c>
      <c r="H9" s="250" t="str">
        <f>'Annex 1 LV and HV charges_D'!I9</f>
        <v/>
      </c>
      <c r="I9" s="95" t="str">
        <f>'Annex 1 LV and HV charges_D'!J9</f>
        <v>16.00 - 20.00</v>
      </c>
      <c r="J9" s="95" t="str">
        <f>'Annex 1 LV and HV charges_D'!K9</f>
        <v>00:00-16:00
20:00-00:00</v>
      </c>
      <c r="K9" s="30"/>
      <c r="L9" s="30"/>
    </row>
    <row r="10" spans="1:17" s="40" customFormat="1" ht="21" customHeight="1" x14ac:dyDescent="0.2">
      <c r="B10" s="45"/>
      <c r="C10" s="45"/>
      <c r="D10" s="45"/>
      <c r="E10" s="47"/>
      <c r="F10" s="405" t="str">
        <f>'Annex 1 LV and HV charges_D'!G10</f>
        <v>Notes</v>
      </c>
      <c r="G10" s="406">
        <f>'Annex 1 LV and HV charges_D'!H10</f>
        <v>0</v>
      </c>
      <c r="H10" s="407" t="str">
        <f>'Annex 1 LV and HV charges_D'!I10</f>
        <v>All the above times are in UK Clock time</v>
      </c>
      <c r="I10" s="408">
        <f>'Annex 1 LV and HV charges_D'!J10</f>
        <v>0</v>
      </c>
      <c r="J10" s="409">
        <f>'Annex 1 LV and HV charges_D'!K10</f>
        <v>0</v>
      </c>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v>0</v>
      </c>
      <c r="D14" s="90">
        <v>9.8770000000000007</v>
      </c>
      <c r="E14" s="91">
        <v>2.1360000000000001</v>
      </c>
      <c r="F14" s="92">
        <v>0.28699999999999998</v>
      </c>
      <c r="G14" s="317">
        <v>15.47</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0</v>
      </c>
      <c r="D15" s="90">
        <v>9.8770000000000007</v>
      </c>
      <c r="E15" s="91">
        <v>2.1360000000000001</v>
      </c>
      <c r="F15" s="92">
        <v>0.28699999999999998</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v>0</v>
      </c>
      <c r="D16" s="90">
        <v>10.286</v>
      </c>
      <c r="E16" s="91">
        <v>2.2250000000000001</v>
      </c>
      <c r="F16" s="92">
        <v>0.29899999999999999</v>
      </c>
      <c r="G16" s="317">
        <v>4.38</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v>0</v>
      </c>
      <c r="D17" s="90">
        <v>10.286</v>
      </c>
      <c r="E17" s="91">
        <v>2.2250000000000001</v>
      </c>
      <c r="F17" s="92">
        <v>0.29899999999999999</v>
      </c>
      <c r="G17" s="317">
        <v>19.239999999999998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v>0</v>
      </c>
      <c r="D18" s="90">
        <v>10.286</v>
      </c>
      <c r="E18" s="91">
        <v>2.2250000000000001</v>
      </c>
      <c r="F18" s="92">
        <v>0.29899999999999999</v>
      </c>
      <c r="G18" s="317">
        <v>33.78</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v>0</v>
      </c>
      <c r="D19" s="90">
        <v>10.286</v>
      </c>
      <c r="E19" s="91">
        <v>2.2250000000000001</v>
      </c>
      <c r="F19" s="92">
        <v>0.29899999999999999</v>
      </c>
      <c r="G19" s="317">
        <v>66.38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v>0</v>
      </c>
      <c r="D20" s="90">
        <v>10.286</v>
      </c>
      <c r="E20" s="91">
        <v>2.2250000000000001</v>
      </c>
      <c r="F20" s="92">
        <v>0.29899999999999999</v>
      </c>
      <c r="G20" s="317">
        <v>183.92</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0</v>
      </c>
      <c r="D21" s="90">
        <v>10.286</v>
      </c>
      <c r="E21" s="91">
        <v>2.2250000000000001</v>
      </c>
      <c r="F21" s="92">
        <v>0.29899999999999999</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7.4550000000000001</v>
      </c>
      <c r="E22" s="91">
        <v>1.468</v>
      </c>
      <c r="F22" s="92">
        <v>0.19</v>
      </c>
      <c r="G22" s="317">
        <v>14.24</v>
      </c>
      <c r="H22" s="317">
        <v>4.28</v>
      </c>
      <c r="I22" s="320">
        <v>4.28</v>
      </c>
      <c r="J22" s="25">
        <v>0.4</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7.4550000000000001</v>
      </c>
      <c r="E23" s="91">
        <v>1.468</v>
      </c>
      <c r="F23" s="92">
        <v>0.19</v>
      </c>
      <c r="G23" s="317">
        <v>360.97</v>
      </c>
      <c r="H23" s="317">
        <v>4.28</v>
      </c>
      <c r="I23" s="320">
        <v>4.28</v>
      </c>
      <c r="J23" s="25">
        <v>0.4</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7.4550000000000001</v>
      </c>
      <c r="E24" s="91">
        <v>1.468</v>
      </c>
      <c r="F24" s="92">
        <v>0.19</v>
      </c>
      <c r="G24" s="317">
        <v>668.9</v>
      </c>
      <c r="H24" s="317">
        <v>4.28</v>
      </c>
      <c r="I24" s="320">
        <v>4.28</v>
      </c>
      <c r="J24" s="25">
        <v>0.4</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7.4550000000000001</v>
      </c>
      <c r="E25" s="91">
        <v>1.468</v>
      </c>
      <c r="F25" s="92">
        <v>0.19</v>
      </c>
      <c r="G25" s="317">
        <v>1051.92</v>
      </c>
      <c r="H25" s="317">
        <v>4.28</v>
      </c>
      <c r="I25" s="320">
        <v>4.28</v>
      </c>
      <c r="J25" s="25">
        <v>0.4</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7.4550000000000001</v>
      </c>
      <c r="E26" s="91">
        <v>1.468</v>
      </c>
      <c r="F26" s="92">
        <v>0.19</v>
      </c>
      <c r="G26" s="317">
        <v>2402.9499999999998</v>
      </c>
      <c r="H26" s="317">
        <v>4.28</v>
      </c>
      <c r="I26" s="320">
        <v>4.28</v>
      </c>
      <c r="J26" s="25">
        <v>0.4</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v>0</v>
      </c>
      <c r="D27" s="93">
        <v>22.103999999999999</v>
      </c>
      <c r="E27" s="94">
        <v>3.4449999999999998</v>
      </c>
      <c r="F27" s="92">
        <v>1.8660000000000001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v>0</v>
      </c>
      <c r="D28" s="90">
        <v>-11.134</v>
      </c>
      <c r="E28" s="91">
        <v>-2.4079999999999999</v>
      </c>
      <c r="F28" s="92">
        <v>-0.32400000000000001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-11.134</v>
      </c>
      <c r="E29" s="91">
        <v>-2.4079999999999999</v>
      </c>
      <c r="F29" s="92">
        <v>-0.32400000000000001</v>
      </c>
      <c r="G29" s="317" t="s">
        <v>797</v>
      </c>
      <c r="H29" s="318" t="s">
        <v>797</v>
      </c>
      <c r="I29" s="319" t="s">
        <v>797</v>
      </c>
      <c r="J29" s="25">
        <v>0.61</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v>0</v>
      </c>
      <c r="D30" s="90">
        <v>7.1130000000000004</v>
      </c>
      <c r="E30" s="91">
        <v>1.538</v>
      </c>
      <c r="F30" s="92">
        <v>0.20699999999999999</v>
      </c>
      <c r="G30" s="317">
        <v>11.14</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0</v>
      </c>
      <c r="D31" s="90">
        <v>7.1130000000000004</v>
      </c>
      <c r="E31" s="91">
        <v>1.538</v>
      </c>
      <c r="F31" s="92">
        <v>0.20699999999999999</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v>0</v>
      </c>
      <c r="D32" s="90">
        <v>7.407</v>
      </c>
      <c r="E32" s="91">
        <v>1.6020000000000001</v>
      </c>
      <c r="F32" s="92">
        <v>0.215</v>
      </c>
      <c r="G32" s="317">
        <v>3.15</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v>0</v>
      </c>
      <c r="D33" s="90">
        <v>7.407</v>
      </c>
      <c r="E33" s="91">
        <v>1.6020000000000001</v>
      </c>
      <c r="F33" s="92">
        <v>0.215</v>
      </c>
      <c r="G33" s="317">
        <v>13.85</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v>0</v>
      </c>
      <c r="D34" s="90">
        <v>7.407</v>
      </c>
      <c r="E34" s="91">
        <v>1.6020000000000001</v>
      </c>
      <c r="F34" s="92">
        <v>0.215</v>
      </c>
      <c r="G34" s="317">
        <v>24.33</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v>0</v>
      </c>
      <c r="D35" s="90">
        <v>7.407</v>
      </c>
      <c r="E35" s="91">
        <v>1.6020000000000001</v>
      </c>
      <c r="F35" s="92">
        <v>0.215</v>
      </c>
      <c r="G35" s="317">
        <v>47.8</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v>0</v>
      </c>
      <c r="D36" s="90">
        <v>7.407</v>
      </c>
      <c r="E36" s="91">
        <v>1.6020000000000001</v>
      </c>
      <c r="F36" s="92">
        <v>0.215</v>
      </c>
      <c r="G36" s="317">
        <v>132.44</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0</v>
      </c>
      <c r="D37" s="90">
        <v>7.407</v>
      </c>
      <c r="E37" s="91">
        <v>1.6020000000000001</v>
      </c>
      <c r="F37" s="92">
        <v>0.215</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5.3689999999999998</v>
      </c>
      <c r="E38" s="91">
        <v>1.0569999999999999</v>
      </c>
      <c r="F38" s="92">
        <v>0.13700000000000001</v>
      </c>
      <c r="G38" s="317">
        <v>10.25</v>
      </c>
      <c r="H38" s="317">
        <v>3.08</v>
      </c>
      <c r="I38" s="320">
        <v>3.08</v>
      </c>
      <c r="J38" s="25">
        <v>0.28799999999999998</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5.3689999999999998</v>
      </c>
      <c r="E39" s="91">
        <v>1.0569999999999999</v>
      </c>
      <c r="F39" s="92">
        <v>0.13700000000000001</v>
      </c>
      <c r="G39" s="317">
        <v>259.95</v>
      </c>
      <c r="H39" s="317">
        <v>3.08</v>
      </c>
      <c r="I39" s="320">
        <v>3.08</v>
      </c>
      <c r="J39" s="25">
        <v>0.28799999999999998</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5.3689999999999998</v>
      </c>
      <c r="E40" s="91">
        <v>1.0569999999999999</v>
      </c>
      <c r="F40" s="92">
        <v>0.13700000000000001</v>
      </c>
      <c r="G40" s="317">
        <v>481.69</v>
      </c>
      <c r="H40" s="317">
        <v>3.08</v>
      </c>
      <c r="I40" s="320">
        <v>3.08</v>
      </c>
      <c r="J40" s="25">
        <v>0.28799999999999998</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5.3689999999999998</v>
      </c>
      <c r="E41" s="91">
        <v>1.0569999999999999</v>
      </c>
      <c r="F41" s="92">
        <v>0.13700000000000001</v>
      </c>
      <c r="G41" s="317">
        <v>757.52</v>
      </c>
      <c r="H41" s="317">
        <v>3.08</v>
      </c>
      <c r="I41" s="320">
        <v>3.08</v>
      </c>
      <c r="J41" s="25">
        <v>0.28799999999999998</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5.3689999999999998</v>
      </c>
      <c r="E42" s="91">
        <v>1.0569999999999999</v>
      </c>
      <c r="F42" s="92">
        <v>0.13700000000000001</v>
      </c>
      <c r="G42" s="317">
        <v>1730.43</v>
      </c>
      <c r="H42" s="317">
        <v>3.08</v>
      </c>
      <c r="I42" s="320">
        <v>3.08</v>
      </c>
      <c r="J42" s="25">
        <v>0.28799999999999998</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6.3079999999999998</v>
      </c>
      <c r="E43" s="91">
        <v>1.004</v>
      </c>
      <c r="F43" s="92">
        <v>0.11600000000000001</v>
      </c>
      <c r="G43" s="317">
        <v>5.86</v>
      </c>
      <c r="H43" s="317">
        <v>7.75</v>
      </c>
      <c r="I43" s="320">
        <v>7.75</v>
      </c>
      <c r="J43" s="25">
        <v>0.26300000000000001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6.3079999999999998</v>
      </c>
      <c r="E44" s="91">
        <v>1.004</v>
      </c>
      <c r="F44" s="92">
        <v>0.11600000000000001</v>
      </c>
      <c r="G44" s="317">
        <v>410.57</v>
      </c>
      <c r="H44" s="317">
        <v>7.75</v>
      </c>
      <c r="I44" s="320">
        <v>7.75</v>
      </c>
      <c r="J44" s="25">
        <v>0.26300000000000001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6.3079999999999998</v>
      </c>
      <c r="E45" s="91">
        <v>1.004</v>
      </c>
      <c r="F45" s="92">
        <v>0.11600000000000001</v>
      </c>
      <c r="G45" s="317">
        <v>769.98</v>
      </c>
      <c r="H45" s="317">
        <v>7.75</v>
      </c>
      <c r="I45" s="320">
        <v>7.75</v>
      </c>
      <c r="J45" s="25">
        <v>0.26300000000000001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6.3079999999999998</v>
      </c>
      <c r="E46" s="91">
        <v>1.004</v>
      </c>
      <c r="F46" s="92">
        <v>0.11600000000000001</v>
      </c>
      <c r="G46" s="317">
        <v>1217.04</v>
      </c>
      <c r="H46" s="317">
        <v>7.75</v>
      </c>
      <c r="I46" s="320">
        <v>7.75</v>
      </c>
      <c r="J46" s="25">
        <v>0.26300000000000001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6.3079999999999998</v>
      </c>
      <c r="E47" s="91">
        <v>1.004</v>
      </c>
      <c r="F47" s="92">
        <v>0.11600000000000001</v>
      </c>
      <c r="G47" s="317">
        <v>2793.94</v>
      </c>
      <c r="H47" s="317">
        <v>7.75</v>
      </c>
      <c r="I47" s="320">
        <v>7.75</v>
      </c>
      <c r="J47" s="25">
        <v>0.26300000000000001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5.6130000000000004</v>
      </c>
      <c r="E48" s="91">
        <v>0.82</v>
      </c>
      <c r="F48" s="92">
        <v>8.5000000000000006E-2</v>
      </c>
      <c r="G48" s="317">
        <v>100.41</v>
      </c>
      <c r="H48" s="317">
        <v>8.15</v>
      </c>
      <c r="I48" s="320">
        <v>8.15</v>
      </c>
      <c r="J48" s="25">
        <v>0.21299999999999999</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5.6130000000000004</v>
      </c>
      <c r="E49" s="91">
        <v>0.82</v>
      </c>
      <c r="F49" s="92">
        <v>8.5000000000000006E-2</v>
      </c>
      <c r="G49" s="317">
        <v>2583.25</v>
      </c>
      <c r="H49" s="317">
        <v>8.15</v>
      </c>
      <c r="I49" s="320">
        <v>8.15</v>
      </c>
      <c r="J49" s="25">
        <v>0.21299999999999999</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5.6130000000000004</v>
      </c>
      <c r="E50" s="91">
        <v>0.82</v>
      </c>
      <c r="F50" s="92">
        <v>8.5000000000000006E-2</v>
      </c>
      <c r="G50" s="317">
        <v>7649.59</v>
      </c>
      <c r="H50" s="317">
        <v>8.15</v>
      </c>
      <c r="I50" s="320">
        <v>8.15</v>
      </c>
      <c r="J50" s="25">
        <v>0.21299999999999999</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5.6130000000000004</v>
      </c>
      <c r="E51" s="91">
        <v>0.82</v>
      </c>
      <c r="F51" s="92">
        <v>8.5000000000000006E-2</v>
      </c>
      <c r="G51" s="317">
        <v>16764.650000000001</v>
      </c>
      <c r="H51" s="317">
        <v>8.15</v>
      </c>
      <c r="I51" s="320">
        <v>8.15</v>
      </c>
      <c r="J51" s="25">
        <v>0.21299999999999999</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5.6130000000000004</v>
      </c>
      <c r="E52" s="91">
        <v>0.82</v>
      </c>
      <c r="F52" s="92">
        <v>8.5000000000000006E-2</v>
      </c>
      <c r="G52" s="317">
        <v>32110.85</v>
      </c>
      <c r="H52" s="317">
        <v>8.15</v>
      </c>
      <c r="I52" s="320">
        <v>8.15</v>
      </c>
      <c r="J52" s="25">
        <v>0.21299999999999999</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v>0</v>
      </c>
      <c r="D53" s="93">
        <v>15.917999999999999</v>
      </c>
      <c r="E53" s="94">
        <v>2.4809999999999999</v>
      </c>
      <c r="F53" s="92">
        <v>1.3440000000000001</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v>0</v>
      </c>
      <c r="D54" s="90">
        <v>-11.134</v>
      </c>
      <c r="E54" s="91">
        <v>-2.4079999999999999</v>
      </c>
      <c r="F54" s="92">
        <v>-0.32400000000000001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-9.5030000000000001</v>
      </c>
      <c r="E55" s="91">
        <v>-1.9390000000000001</v>
      </c>
      <c r="F55" s="92">
        <v>-0.255</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-11.134</v>
      </c>
      <c r="E56" s="91">
        <v>-2.4079999999999999</v>
      </c>
      <c r="F56" s="92">
        <v>-0.32400000000000001</v>
      </c>
      <c r="G56" s="317" t="s">
        <v>797</v>
      </c>
      <c r="H56" s="318" t="s">
        <v>797</v>
      </c>
      <c r="I56" s="319" t="s">
        <v>797</v>
      </c>
      <c r="J56" s="25">
        <v>0.61</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-9.5030000000000001</v>
      </c>
      <c r="E57" s="91">
        <v>-1.9390000000000001</v>
      </c>
      <c r="F57" s="92">
        <v>-0.255</v>
      </c>
      <c r="G57" s="317" t="s">
        <v>797</v>
      </c>
      <c r="H57" s="318" t="s">
        <v>797</v>
      </c>
      <c r="I57" s="319" t="s">
        <v>797</v>
      </c>
      <c r="J57" s="25">
        <v>0.52600000000000002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-7.0570000000000004</v>
      </c>
      <c r="E58" s="91">
        <v>-1.123</v>
      </c>
      <c r="F58" s="92">
        <v>-0.13</v>
      </c>
      <c r="G58" s="317" t="s">
        <v>797</v>
      </c>
      <c r="H58" s="318" t="s">
        <v>797</v>
      </c>
      <c r="I58" s="319" t="s">
        <v>797</v>
      </c>
      <c r="J58" s="25">
        <v>0.44600000000000001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v>0</v>
      </c>
      <c r="D59" s="90">
        <v>4.9550000000000001</v>
      </c>
      <c r="E59" s="91">
        <v>1.0720000000000001</v>
      </c>
      <c r="F59" s="92">
        <v>0.14399999999999999</v>
      </c>
      <c r="G59" s="317">
        <v>7.76</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0</v>
      </c>
      <c r="D60" s="90">
        <v>4.9550000000000001</v>
      </c>
      <c r="E60" s="91">
        <v>1.0720000000000001</v>
      </c>
      <c r="F60" s="92">
        <v>0.14399999999999999</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v>0</v>
      </c>
      <c r="D61" s="90">
        <v>5.16</v>
      </c>
      <c r="E61" s="91">
        <v>1.1160000000000001</v>
      </c>
      <c r="F61" s="92">
        <v>0.15</v>
      </c>
      <c r="G61" s="317">
        <v>2.2000000000000002</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v>0</v>
      </c>
      <c r="D62" s="90">
        <v>5.16</v>
      </c>
      <c r="E62" s="91">
        <v>1.1160000000000001</v>
      </c>
      <c r="F62" s="92">
        <v>0.15</v>
      </c>
      <c r="G62" s="317">
        <v>9.65</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v>0</v>
      </c>
      <c r="D63" s="90">
        <v>5.16</v>
      </c>
      <c r="E63" s="91">
        <v>1.1160000000000001</v>
      </c>
      <c r="F63" s="92">
        <v>0.15</v>
      </c>
      <c r="G63" s="317">
        <v>16.95</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v>0</v>
      </c>
      <c r="D64" s="90">
        <v>5.16</v>
      </c>
      <c r="E64" s="91">
        <v>1.1160000000000001</v>
      </c>
      <c r="F64" s="92">
        <v>0.15</v>
      </c>
      <c r="G64" s="317">
        <v>33.299999999999997</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v>0</v>
      </c>
      <c r="D65" s="90">
        <v>5.16</v>
      </c>
      <c r="E65" s="91">
        <v>1.1160000000000001</v>
      </c>
      <c r="F65" s="92">
        <v>0.15</v>
      </c>
      <c r="G65" s="317">
        <v>92.27</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0</v>
      </c>
      <c r="D66" s="90">
        <v>5.16</v>
      </c>
      <c r="E66" s="91">
        <v>1.1160000000000001</v>
      </c>
      <c r="F66" s="92">
        <v>0.15</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3.74</v>
      </c>
      <c r="E67" s="91">
        <v>0.73699999999999999</v>
      </c>
      <c r="F67" s="92">
        <v>9.5000000000000001E-2</v>
      </c>
      <c r="G67" s="317">
        <v>7.14</v>
      </c>
      <c r="H67" s="317">
        <v>2.15</v>
      </c>
      <c r="I67" s="320">
        <v>2.15</v>
      </c>
      <c r="J67" s="25">
        <v>0.20100000000000001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3.74</v>
      </c>
      <c r="E68" s="91">
        <v>0.73699999999999999</v>
      </c>
      <c r="F68" s="92">
        <v>9.5000000000000001E-2</v>
      </c>
      <c r="G68" s="317">
        <v>181.1</v>
      </c>
      <c r="H68" s="317">
        <v>2.15</v>
      </c>
      <c r="I68" s="320">
        <v>2.15</v>
      </c>
      <c r="J68" s="25">
        <v>0.20100000000000001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3.74</v>
      </c>
      <c r="E69" s="91">
        <v>0.73699999999999999</v>
      </c>
      <c r="F69" s="92">
        <v>9.5000000000000001E-2</v>
      </c>
      <c r="G69" s="317">
        <v>335.58</v>
      </c>
      <c r="H69" s="317">
        <v>2.15</v>
      </c>
      <c r="I69" s="320">
        <v>2.15</v>
      </c>
      <c r="J69" s="25">
        <v>0.20100000000000001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3.74</v>
      </c>
      <c r="E70" s="91">
        <v>0.73699999999999999</v>
      </c>
      <c r="F70" s="92">
        <v>9.5000000000000001E-2</v>
      </c>
      <c r="G70" s="317">
        <v>527.75</v>
      </c>
      <c r="H70" s="317">
        <v>2.15</v>
      </c>
      <c r="I70" s="320">
        <v>2.15</v>
      </c>
      <c r="J70" s="25">
        <v>0.20100000000000001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3.74</v>
      </c>
      <c r="E71" s="91">
        <v>0.73699999999999999</v>
      </c>
      <c r="F71" s="92">
        <v>9.5000000000000001E-2</v>
      </c>
      <c r="G71" s="317">
        <v>1205.56</v>
      </c>
      <c r="H71" s="317">
        <v>2.15</v>
      </c>
      <c r="I71" s="320">
        <v>2.15</v>
      </c>
      <c r="J71" s="25">
        <v>0.20100000000000001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4.2460000000000004</v>
      </c>
      <c r="E72" s="91">
        <v>0.67600000000000005</v>
      </c>
      <c r="F72" s="92">
        <v>7.8E-2</v>
      </c>
      <c r="G72" s="317">
        <v>3.95</v>
      </c>
      <c r="H72" s="317">
        <v>5.22</v>
      </c>
      <c r="I72" s="320">
        <v>5.22</v>
      </c>
      <c r="J72" s="25">
        <v>0.17699999999999999</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4.2460000000000004</v>
      </c>
      <c r="E73" s="91">
        <v>0.67600000000000005</v>
      </c>
      <c r="F73" s="92">
        <v>7.8E-2</v>
      </c>
      <c r="G73" s="317">
        <v>276.36</v>
      </c>
      <c r="H73" s="317">
        <v>5.22</v>
      </c>
      <c r="I73" s="320">
        <v>5.22</v>
      </c>
      <c r="J73" s="25">
        <v>0.17699999999999999</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4.2460000000000004</v>
      </c>
      <c r="E74" s="91">
        <v>0.67600000000000005</v>
      </c>
      <c r="F74" s="92">
        <v>7.8E-2</v>
      </c>
      <c r="G74" s="317">
        <v>518.29</v>
      </c>
      <c r="H74" s="317">
        <v>5.22</v>
      </c>
      <c r="I74" s="320">
        <v>5.22</v>
      </c>
      <c r="J74" s="25">
        <v>0.17699999999999999</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4.2460000000000004</v>
      </c>
      <c r="E75" s="91">
        <v>0.67600000000000005</v>
      </c>
      <c r="F75" s="92">
        <v>7.8E-2</v>
      </c>
      <c r="G75" s="317">
        <v>819.22</v>
      </c>
      <c r="H75" s="317">
        <v>5.22</v>
      </c>
      <c r="I75" s="320">
        <v>5.22</v>
      </c>
      <c r="J75" s="25">
        <v>0.17699999999999999</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4.2460000000000004</v>
      </c>
      <c r="E76" s="91">
        <v>0.67600000000000005</v>
      </c>
      <c r="F76" s="92">
        <v>7.8E-2</v>
      </c>
      <c r="G76" s="317">
        <v>1880.66</v>
      </c>
      <c r="H76" s="317">
        <v>5.22</v>
      </c>
      <c r="I76" s="320">
        <v>5.22</v>
      </c>
      <c r="J76" s="25">
        <v>0.17699999999999999</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3.7370000000000001</v>
      </c>
      <c r="E77" s="91">
        <v>0.54600000000000004</v>
      </c>
      <c r="F77" s="92">
        <v>5.6000000000000001E-2</v>
      </c>
      <c r="G77" s="317">
        <v>66.86</v>
      </c>
      <c r="H77" s="317">
        <v>5.43</v>
      </c>
      <c r="I77" s="320">
        <v>5.43</v>
      </c>
      <c r="J77" s="25">
        <v>0.14199999999999999</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3.7370000000000001</v>
      </c>
      <c r="E78" s="91">
        <v>0.54600000000000004</v>
      </c>
      <c r="F78" s="92">
        <v>5.6000000000000001E-2</v>
      </c>
      <c r="G78" s="317">
        <v>1719.97</v>
      </c>
      <c r="H78" s="317">
        <v>5.43</v>
      </c>
      <c r="I78" s="320">
        <v>5.43</v>
      </c>
      <c r="J78" s="25">
        <v>0.14199999999999999</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3.7370000000000001</v>
      </c>
      <c r="E79" s="91">
        <v>0.54600000000000004</v>
      </c>
      <c r="F79" s="92">
        <v>5.6000000000000001E-2</v>
      </c>
      <c r="G79" s="317">
        <v>5093.21</v>
      </c>
      <c r="H79" s="317">
        <v>5.43</v>
      </c>
      <c r="I79" s="320">
        <v>5.43</v>
      </c>
      <c r="J79" s="25">
        <v>0.14199999999999999</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3.7370000000000001</v>
      </c>
      <c r="E80" s="91">
        <v>0.54600000000000004</v>
      </c>
      <c r="F80" s="92">
        <v>5.6000000000000001E-2</v>
      </c>
      <c r="G80" s="317">
        <v>11162.15</v>
      </c>
      <c r="H80" s="317">
        <v>5.43</v>
      </c>
      <c r="I80" s="320">
        <v>5.43</v>
      </c>
      <c r="J80" s="25">
        <v>0.14199999999999999</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3.7370000000000001</v>
      </c>
      <c r="E81" s="91">
        <v>0.54600000000000004</v>
      </c>
      <c r="F81" s="92">
        <v>5.6000000000000001E-2</v>
      </c>
      <c r="G81" s="317">
        <v>21379.88</v>
      </c>
      <c r="H81" s="317">
        <v>5.43</v>
      </c>
      <c r="I81" s="320">
        <v>5.43</v>
      </c>
      <c r="J81" s="25">
        <v>0.14199999999999999</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v>0</v>
      </c>
      <c r="D82" s="93">
        <v>11.09</v>
      </c>
      <c r="E82" s="94">
        <v>1.728</v>
      </c>
      <c r="F82" s="92">
        <v>0.93600000000000005</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v>0</v>
      </c>
      <c r="D83" s="90">
        <v>-5.4109999999999996</v>
      </c>
      <c r="E83" s="91">
        <v>-1.17</v>
      </c>
      <c r="F83" s="92">
        <v>-0.157</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-5.1660000000000004</v>
      </c>
      <c r="E84" s="91">
        <v>-1.054</v>
      </c>
      <c r="F84" s="92">
        <v>-0.13800000000000001</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-5.4109999999999996</v>
      </c>
      <c r="E85" s="91">
        <v>-1.17</v>
      </c>
      <c r="F85" s="92">
        <v>-0.157</v>
      </c>
      <c r="G85" s="317" t="s">
        <v>797</v>
      </c>
      <c r="H85" s="318" t="s">
        <v>797</v>
      </c>
      <c r="I85" s="319" t="s">
        <v>797</v>
      </c>
      <c r="J85" s="25">
        <v>0.29599999999999999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-5.1660000000000004</v>
      </c>
      <c r="E86" s="91">
        <v>-1.054</v>
      </c>
      <c r="F86" s="92">
        <v>-0.13800000000000001</v>
      </c>
      <c r="G86" s="317" t="s">
        <v>797</v>
      </c>
      <c r="H86" s="318" t="s">
        <v>797</v>
      </c>
      <c r="I86" s="319" t="s">
        <v>797</v>
      </c>
      <c r="J86" s="25">
        <v>0.28599999999999998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-7.0570000000000004</v>
      </c>
      <c r="E87" s="91">
        <v>-1.123</v>
      </c>
      <c r="F87" s="92">
        <v>-0.13</v>
      </c>
      <c r="G87" s="317">
        <v>89.81</v>
      </c>
      <c r="H87" s="318" t="s">
        <v>797</v>
      </c>
      <c r="I87" s="319" t="s">
        <v>797</v>
      </c>
      <c r="J87" s="25">
        <v>0.44600000000000001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v>0</v>
      </c>
      <c r="D88" s="90">
        <v>3.5369999999999999</v>
      </c>
      <c r="E88" s="91">
        <v>0.76500000000000001</v>
      </c>
      <c r="F88" s="92">
        <v>0.10299999999999999</v>
      </c>
      <c r="G88" s="317">
        <v>5.54</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0</v>
      </c>
      <c r="D89" s="90">
        <v>3.5369999999999999</v>
      </c>
      <c r="E89" s="91">
        <v>0.76500000000000001</v>
      </c>
      <c r="F89" s="92">
        <v>0.10299999999999999</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v>0</v>
      </c>
      <c r="D90" s="90">
        <v>3.6829999999999998</v>
      </c>
      <c r="E90" s="91">
        <v>0.79700000000000004</v>
      </c>
      <c r="F90" s="92">
        <v>0.107</v>
      </c>
      <c r="G90" s="317">
        <v>1.57</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v>0</v>
      </c>
      <c r="D91" s="90">
        <v>3.6829999999999998</v>
      </c>
      <c r="E91" s="91">
        <v>0.79700000000000004</v>
      </c>
      <c r="F91" s="92">
        <v>0.107</v>
      </c>
      <c r="G91" s="317">
        <v>6.89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v>0</v>
      </c>
      <c r="D92" s="90">
        <v>3.6829999999999998</v>
      </c>
      <c r="E92" s="91">
        <v>0.79700000000000004</v>
      </c>
      <c r="F92" s="92">
        <v>0.107</v>
      </c>
      <c r="G92" s="317">
        <v>12.1</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v>0</v>
      </c>
      <c r="D93" s="90">
        <v>3.6829999999999998</v>
      </c>
      <c r="E93" s="91">
        <v>0.79700000000000004</v>
      </c>
      <c r="F93" s="92">
        <v>0.107</v>
      </c>
      <c r="G93" s="317">
        <v>23.77</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v>0</v>
      </c>
      <c r="D94" s="90">
        <v>3.6829999999999998</v>
      </c>
      <c r="E94" s="91">
        <v>0.79700000000000004</v>
      </c>
      <c r="F94" s="92">
        <v>0.107</v>
      </c>
      <c r="G94" s="317">
        <v>65.849999999999994</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0</v>
      </c>
      <c r="D95" s="90">
        <v>3.6829999999999998</v>
      </c>
      <c r="E95" s="91">
        <v>0.79700000000000004</v>
      </c>
      <c r="F95" s="92">
        <v>0.107</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2.669</v>
      </c>
      <c r="E96" s="91">
        <v>0.52600000000000002</v>
      </c>
      <c r="F96" s="92">
        <v>6.8000000000000005E-2</v>
      </c>
      <c r="G96" s="317">
        <v>5.0999999999999996</v>
      </c>
      <c r="H96" s="317">
        <v>1.53</v>
      </c>
      <c r="I96" s="320">
        <v>1.53</v>
      </c>
      <c r="J96" s="25">
        <v>0.14299999999999999</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2.669</v>
      </c>
      <c r="E97" s="91">
        <v>0.52600000000000002</v>
      </c>
      <c r="F97" s="92">
        <v>6.8000000000000005E-2</v>
      </c>
      <c r="G97" s="317">
        <v>129.25</v>
      </c>
      <c r="H97" s="317">
        <v>1.53</v>
      </c>
      <c r="I97" s="320">
        <v>1.53</v>
      </c>
      <c r="J97" s="25">
        <v>0.14299999999999999</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2.669</v>
      </c>
      <c r="E98" s="91">
        <v>0.52600000000000002</v>
      </c>
      <c r="F98" s="92">
        <v>6.8000000000000005E-2</v>
      </c>
      <c r="G98" s="317">
        <v>239.5</v>
      </c>
      <c r="H98" s="317">
        <v>1.53</v>
      </c>
      <c r="I98" s="320">
        <v>1.53</v>
      </c>
      <c r="J98" s="25">
        <v>0.14299999999999999</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2.669</v>
      </c>
      <c r="E99" s="91">
        <v>0.52600000000000002</v>
      </c>
      <c r="F99" s="92">
        <v>6.8000000000000005E-2</v>
      </c>
      <c r="G99" s="317">
        <v>376.65</v>
      </c>
      <c r="H99" s="317">
        <v>1.53</v>
      </c>
      <c r="I99" s="320">
        <v>1.53</v>
      </c>
      <c r="J99" s="25">
        <v>0.14299999999999999</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2.669</v>
      </c>
      <c r="E100" s="91">
        <v>0.52600000000000002</v>
      </c>
      <c r="F100" s="92">
        <v>6.8000000000000005E-2</v>
      </c>
      <c r="G100" s="317">
        <v>860.39</v>
      </c>
      <c r="H100" s="317">
        <v>1.53</v>
      </c>
      <c r="I100" s="320">
        <v>1.53</v>
      </c>
      <c r="J100" s="25">
        <v>0.14299999999999999</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3.03</v>
      </c>
      <c r="E101" s="91">
        <v>0.48199999999999998</v>
      </c>
      <c r="F101" s="92">
        <v>5.6000000000000001E-2</v>
      </c>
      <c r="G101" s="317">
        <v>2.82</v>
      </c>
      <c r="H101" s="317">
        <v>3.72</v>
      </c>
      <c r="I101" s="320">
        <v>3.72</v>
      </c>
      <c r="J101" s="25">
        <v>0.126</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3.03</v>
      </c>
      <c r="E102" s="91">
        <v>0.48199999999999998</v>
      </c>
      <c r="F102" s="92">
        <v>5.6000000000000001E-2</v>
      </c>
      <c r="G102" s="317">
        <v>197.24</v>
      </c>
      <c r="H102" s="317">
        <v>3.72</v>
      </c>
      <c r="I102" s="320">
        <v>3.72</v>
      </c>
      <c r="J102" s="25">
        <v>0.126</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3.03</v>
      </c>
      <c r="E103" s="91">
        <v>0.48199999999999998</v>
      </c>
      <c r="F103" s="92">
        <v>5.6000000000000001E-2</v>
      </c>
      <c r="G103" s="317">
        <v>369.9</v>
      </c>
      <c r="H103" s="317">
        <v>3.72</v>
      </c>
      <c r="I103" s="320">
        <v>3.72</v>
      </c>
      <c r="J103" s="25">
        <v>0.126</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3.03</v>
      </c>
      <c r="E104" s="91">
        <v>0.48199999999999998</v>
      </c>
      <c r="F104" s="92">
        <v>5.6000000000000001E-2</v>
      </c>
      <c r="G104" s="317">
        <v>584.66999999999996</v>
      </c>
      <c r="H104" s="317">
        <v>3.72</v>
      </c>
      <c r="I104" s="320">
        <v>3.72</v>
      </c>
      <c r="J104" s="25">
        <v>0.126</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3.03</v>
      </c>
      <c r="E105" s="91">
        <v>0.48199999999999998</v>
      </c>
      <c r="F105" s="92">
        <v>5.6000000000000001E-2</v>
      </c>
      <c r="G105" s="317">
        <v>1342.21</v>
      </c>
      <c r="H105" s="317">
        <v>3.72</v>
      </c>
      <c r="I105" s="320">
        <v>3.72</v>
      </c>
      <c r="J105" s="25">
        <v>0.126</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2.6669999999999998</v>
      </c>
      <c r="E106" s="91">
        <v>0.39</v>
      </c>
      <c r="F106" s="92">
        <v>0.04</v>
      </c>
      <c r="G106" s="317">
        <v>47.71</v>
      </c>
      <c r="H106" s="317">
        <v>3.87</v>
      </c>
      <c r="I106" s="320">
        <v>3.87</v>
      </c>
      <c r="J106" s="25">
        <v>0.10100000000000001</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2.6669999999999998</v>
      </c>
      <c r="E107" s="91">
        <v>0.39</v>
      </c>
      <c r="F107" s="92">
        <v>0.04</v>
      </c>
      <c r="G107" s="317">
        <v>1227.52</v>
      </c>
      <c r="H107" s="317">
        <v>3.87</v>
      </c>
      <c r="I107" s="320">
        <v>3.87</v>
      </c>
      <c r="J107" s="25">
        <v>0.10100000000000001</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2.6669999999999998</v>
      </c>
      <c r="E108" s="91">
        <v>0.39</v>
      </c>
      <c r="F108" s="92">
        <v>0.04</v>
      </c>
      <c r="G108" s="317">
        <v>3634.97</v>
      </c>
      <c r="H108" s="317">
        <v>3.87</v>
      </c>
      <c r="I108" s="320">
        <v>3.87</v>
      </c>
      <c r="J108" s="25">
        <v>0.10100000000000001</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2.6669999999999998</v>
      </c>
      <c r="E109" s="91">
        <v>0.39</v>
      </c>
      <c r="F109" s="92">
        <v>0.04</v>
      </c>
      <c r="G109" s="317">
        <v>7966.31</v>
      </c>
      <c r="H109" s="317">
        <v>3.87</v>
      </c>
      <c r="I109" s="320">
        <v>3.87</v>
      </c>
      <c r="J109" s="25">
        <v>0.10100000000000001</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2.6669999999999998</v>
      </c>
      <c r="E110" s="91">
        <v>0.39</v>
      </c>
      <c r="F110" s="92">
        <v>0.04</v>
      </c>
      <c r="G110" s="317">
        <v>15258.59</v>
      </c>
      <c r="H110" s="317">
        <v>3.87</v>
      </c>
      <c r="I110" s="320">
        <v>3.87</v>
      </c>
      <c r="J110" s="25">
        <v>0.10100000000000001</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v>0</v>
      </c>
      <c r="D111" s="93">
        <v>7.915</v>
      </c>
      <c r="E111" s="94">
        <v>1.234</v>
      </c>
      <c r="F111" s="92">
        <v>0.66800000000000004</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v>0</v>
      </c>
      <c r="D112" s="90">
        <v>-3.8620000000000001</v>
      </c>
      <c r="E112" s="91">
        <v>-0.83499999999999996</v>
      </c>
      <c r="F112" s="92">
        <v>-0.112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-3.6869999999999998</v>
      </c>
      <c r="E113" s="91">
        <v>-0.752</v>
      </c>
      <c r="F113" s="92">
        <v>-9.9000000000000005E-2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-3.8620000000000001</v>
      </c>
      <c r="E114" s="91">
        <v>-0.83499999999999996</v>
      </c>
      <c r="F114" s="92">
        <v>-0.112</v>
      </c>
      <c r="G114" s="317" t="s">
        <v>797</v>
      </c>
      <c r="H114" s="318" t="s">
        <v>797</v>
      </c>
      <c r="I114" s="319" t="s">
        <v>797</v>
      </c>
      <c r="J114" s="25">
        <v>0.21099999999999999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-3.6869999999999998</v>
      </c>
      <c r="E115" s="91">
        <v>-0.752</v>
      </c>
      <c r="F115" s="92">
        <v>-9.9000000000000005E-2</v>
      </c>
      <c r="G115" s="317" t="s">
        <v>797</v>
      </c>
      <c r="H115" s="318" t="s">
        <v>797</v>
      </c>
      <c r="I115" s="319" t="s">
        <v>797</v>
      </c>
      <c r="J115" s="25">
        <v>0.20399999999999999</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-5.0359999999999996</v>
      </c>
      <c r="E116" s="91">
        <v>-0.80200000000000005</v>
      </c>
      <c r="F116" s="92">
        <v>-9.2999999999999999E-2</v>
      </c>
      <c r="G116" s="317">
        <v>64.09</v>
      </c>
      <c r="H116" s="318" t="s">
        <v>797</v>
      </c>
      <c r="I116" s="319" t="s">
        <v>797</v>
      </c>
      <c r="J116" s="25">
        <v>0.318</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v>0</v>
      </c>
      <c r="D117" s="90">
        <v>2.6360000000000001</v>
      </c>
      <c r="E117" s="91">
        <v>0.56999999999999995</v>
      </c>
      <c r="F117" s="92">
        <v>7.6999999999999999E-2</v>
      </c>
      <c r="G117" s="317">
        <v>4.13</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0</v>
      </c>
      <c r="D118" s="90">
        <v>2.6360000000000001</v>
      </c>
      <c r="E118" s="91">
        <v>0.56999999999999995</v>
      </c>
      <c r="F118" s="92">
        <v>7.6999999999999999E-2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v>0</v>
      </c>
      <c r="D119" s="90">
        <v>2.7450000000000001</v>
      </c>
      <c r="E119" s="91">
        <v>0.59399999999999997</v>
      </c>
      <c r="F119" s="92">
        <v>0.08</v>
      </c>
      <c r="G119" s="317">
        <v>1.17</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v>0</v>
      </c>
      <c r="D120" s="90">
        <v>2.7450000000000001</v>
      </c>
      <c r="E120" s="91">
        <v>0.59399999999999997</v>
      </c>
      <c r="F120" s="92">
        <v>0.08</v>
      </c>
      <c r="G120" s="317">
        <v>5.13</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v>0</v>
      </c>
      <c r="D121" s="90">
        <v>2.7450000000000001</v>
      </c>
      <c r="E121" s="91">
        <v>0.59399999999999997</v>
      </c>
      <c r="F121" s="92">
        <v>0.08</v>
      </c>
      <c r="G121" s="317">
        <v>9.02</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v>0</v>
      </c>
      <c r="D122" s="90">
        <v>2.7450000000000001</v>
      </c>
      <c r="E122" s="91">
        <v>0.59399999999999997</v>
      </c>
      <c r="F122" s="92">
        <v>0.08</v>
      </c>
      <c r="G122" s="317">
        <v>17.72</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v>0</v>
      </c>
      <c r="D123" s="90">
        <v>2.7450000000000001</v>
      </c>
      <c r="E123" s="91">
        <v>0.59399999999999997</v>
      </c>
      <c r="F123" s="92">
        <v>0.08</v>
      </c>
      <c r="G123" s="317">
        <v>49.08</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0</v>
      </c>
      <c r="D124" s="90">
        <v>2.7450000000000001</v>
      </c>
      <c r="E124" s="91">
        <v>0.59399999999999997</v>
      </c>
      <c r="F124" s="92">
        <v>0.08</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1.99</v>
      </c>
      <c r="E125" s="91">
        <v>0.39200000000000002</v>
      </c>
      <c r="F125" s="92">
        <v>5.0999999999999997E-2</v>
      </c>
      <c r="G125" s="317">
        <v>3.8</v>
      </c>
      <c r="H125" s="317">
        <v>1.1399999999999999</v>
      </c>
      <c r="I125" s="320">
        <v>1.1399999999999999</v>
      </c>
      <c r="J125" s="25">
        <v>0.107</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1.99</v>
      </c>
      <c r="E126" s="91">
        <v>0.39200000000000002</v>
      </c>
      <c r="F126" s="92">
        <v>5.0999999999999997E-2</v>
      </c>
      <c r="G126" s="317">
        <v>96.33</v>
      </c>
      <c r="H126" s="317">
        <v>1.1399999999999999</v>
      </c>
      <c r="I126" s="320">
        <v>1.1399999999999999</v>
      </c>
      <c r="J126" s="25">
        <v>0.107</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1.99</v>
      </c>
      <c r="E127" s="91">
        <v>0.39200000000000002</v>
      </c>
      <c r="F127" s="92">
        <v>5.0999999999999997E-2</v>
      </c>
      <c r="G127" s="317">
        <v>178.51</v>
      </c>
      <c r="H127" s="317">
        <v>1.1399999999999999</v>
      </c>
      <c r="I127" s="320">
        <v>1.1399999999999999</v>
      </c>
      <c r="J127" s="25">
        <v>0.107</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1.99</v>
      </c>
      <c r="E128" s="91">
        <v>0.39200000000000002</v>
      </c>
      <c r="F128" s="92">
        <v>5.0999999999999997E-2</v>
      </c>
      <c r="G128" s="317">
        <v>280.73</v>
      </c>
      <c r="H128" s="317">
        <v>1.1399999999999999</v>
      </c>
      <c r="I128" s="320">
        <v>1.1399999999999999</v>
      </c>
      <c r="J128" s="25">
        <v>0.107</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1.99</v>
      </c>
      <c r="E129" s="91">
        <v>0.39200000000000002</v>
      </c>
      <c r="F129" s="92">
        <v>5.0999999999999997E-2</v>
      </c>
      <c r="G129" s="317">
        <v>641.28</v>
      </c>
      <c r="H129" s="317">
        <v>1.1399999999999999</v>
      </c>
      <c r="I129" s="320">
        <v>1.1399999999999999</v>
      </c>
      <c r="J129" s="25">
        <v>0.107</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2.2589999999999999</v>
      </c>
      <c r="E130" s="91">
        <v>0.36</v>
      </c>
      <c r="F130" s="92">
        <v>4.2000000000000003E-2</v>
      </c>
      <c r="G130" s="317">
        <v>2.1</v>
      </c>
      <c r="H130" s="317">
        <v>2.78</v>
      </c>
      <c r="I130" s="320">
        <v>2.78</v>
      </c>
      <c r="J130" s="25">
        <v>9.4E-2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2.2589999999999999</v>
      </c>
      <c r="E131" s="91">
        <v>0.36</v>
      </c>
      <c r="F131" s="92">
        <v>4.2000000000000003E-2</v>
      </c>
      <c r="G131" s="317">
        <v>147.01</v>
      </c>
      <c r="H131" s="317">
        <v>2.78</v>
      </c>
      <c r="I131" s="320">
        <v>2.78</v>
      </c>
      <c r="J131" s="25">
        <v>9.4E-2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2.2589999999999999</v>
      </c>
      <c r="E132" s="91">
        <v>0.36</v>
      </c>
      <c r="F132" s="92">
        <v>4.2000000000000003E-2</v>
      </c>
      <c r="G132" s="317">
        <v>275.7</v>
      </c>
      <c r="H132" s="317">
        <v>2.78</v>
      </c>
      <c r="I132" s="320">
        <v>2.78</v>
      </c>
      <c r="J132" s="25">
        <v>9.4E-2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2.2589999999999999</v>
      </c>
      <c r="E133" s="91">
        <v>0.36</v>
      </c>
      <c r="F133" s="92">
        <v>4.2000000000000003E-2</v>
      </c>
      <c r="G133" s="317">
        <v>435.77</v>
      </c>
      <c r="H133" s="317">
        <v>2.78</v>
      </c>
      <c r="I133" s="320">
        <v>2.78</v>
      </c>
      <c r="J133" s="25">
        <v>9.4E-2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2.2589999999999999</v>
      </c>
      <c r="E134" s="91">
        <v>0.36</v>
      </c>
      <c r="F134" s="92">
        <v>4.2000000000000003E-2</v>
      </c>
      <c r="G134" s="317">
        <v>1000.4</v>
      </c>
      <c r="H134" s="317">
        <v>2.78</v>
      </c>
      <c r="I134" s="320">
        <v>2.78</v>
      </c>
      <c r="J134" s="25">
        <v>9.4E-2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1.988</v>
      </c>
      <c r="E135" s="91">
        <v>0.28999999999999998</v>
      </c>
      <c r="F135" s="92">
        <v>0.03</v>
      </c>
      <c r="G135" s="317">
        <v>35.56</v>
      </c>
      <c r="H135" s="317">
        <v>2.89</v>
      </c>
      <c r="I135" s="320">
        <v>2.89</v>
      </c>
      <c r="J135" s="25">
        <v>7.4999999999999997E-2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1.988</v>
      </c>
      <c r="E136" s="91">
        <v>0.28999999999999998</v>
      </c>
      <c r="F136" s="92">
        <v>0.03</v>
      </c>
      <c r="G136" s="317">
        <v>914.92</v>
      </c>
      <c r="H136" s="317">
        <v>2.89</v>
      </c>
      <c r="I136" s="320">
        <v>2.89</v>
      </c>
      <c r="J136" s="25">
        <v>7.4999999999999997E-2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1.988</v>
      </c>
      <c r="E137" s="91">
        <v>0.28999999999999998</v>
      </c>
      <c r="F137" s="92">
        <v>0.03</v>
      </c>
      <c r="G137" s="317">
        <v>2709.27</v>
      </c>
      <c r="H137" s="317">
        <v>2.89</v>
      </c>
      <c r="I137" s="320">
        <v>2.89</v>
      </c>
      <c r="J137" s="25">
        <v>7.4999999999999997E-2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1.988</v>
      </c>
      <c r="E138" s="91">
        <v>0.28999999999999998</v>
      </c>
      <c r="F138" s="92">
        <v>0.03</v>
      </c>
      <c r="G138" s="317">
        <v>5937.57</v>
      </c>
      <c r="H138" s="317">
        <v>2.89</v>
      </c>
      <c r="I138" s="320">
        <v>2.89</v>
      </c>
      <c r="J138" s="25">
        <v>7.4999999999999997E-2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1.988</v>
      </c>
      <c r="E139" s="91">
        <v>0.28999999999999998</v>
      </c>
      <c r="F139" s="92">
        <v>0.03</v>
      </c>
      <c r="G139" s="317">
        <v>11372.77</v>
      </c>
      <c r="H139" s="317">
        <v>2.89</v>
      </c>
      <c r="I139" s="320">
        <v>2.89</v>
      </c>
      <c r="J139" s="25">
        <v>7.4999999999999997E-2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v>0</v>
      </c>
      <c r="D140" s="93">
        <v>5.899</v>
      </c>
      <c r="E140" s="94">
        <v>0.91900000000000004</v>
      </c>
      <c r="F140" s="92">
        <v>0.498</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-2.8780000000000001</v>
      </c>
      <c r="E141" s="91">
        <v>-0.623</v>
      </c>
      <c r="F141" s="92">
        <v>-8.4000000000000005E-2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-2.7480000000000002</v>
      </c>
      <c r="E142" s="91">
        <v>-0.56100000000000005</v>
      </c>
      <c r="F142" s="92">
        <v>-7.3999999999999996E-2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-2.8780000000000001</v>
      </c>
      <c r="E143" s="91">
        <v>-0.623</v>
      </c>
      <c r="F143" s="92">
        <v>-8.4000000000000005E-2</v>
      </c>
      <c r="G143" s="317" t="s">
        <v>797</v>
      </c>
      <c r="H143" s="318" t="s">
        <v>797</v>
      </c>
      <c r="I143" s="319" t="s">
        <v>797</v>
      </c>
      <c r="J143" s="25">
        <v>0.158</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-2.7480000000000002</v>
      </c>
      <c r="E144" s="91">
        <v>-0.56100000000000005</v>
      </c>
      <c r="F144" s="92">
        <v>-7.3999999999999996E-2</v>
      </c>
      <c r="G144" s="317" t="s">
        <v>797</v>
      </c>
      <c r="H144" s="318" t="s">
        <v>797</v>
      </c>
      <c r="I144" s="319" t="s">
        <v>797</v>
      </c>
      <c r="J144" s="25">
        <v>0.152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-3.754</v>
      </c>
      <c r="E145" s="91">
        <v>-0.59699999999999998</v>
      </c>
      <c r="F145" s="92">
        <v>-6.9000000000000006E-2</v>
      </c>
      <c r="G145" s="317">
        <v>47.77</v>
      </c>
      <c r="H145" s="318" t="s">
        <v>797</v>
      </c>
      <c r="I145" s="319" t="s">
        <v>797</v>
      </c>
      <c r="J145" s="25">
        <v>0.23699999999999999</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v>1.147</v>
      </c>
      <c r="E146" s="91">
        <v>0.248</v>
      </c>
      <c r="F146" s="92">
        <v>3.3000000000000002E-2</v>
      </c>
      <c r="G146" s="317">
        <v>1.8</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v>1.147</v>
      </c>
      <c r="E147" s="91">
        <v>0.248</v>
      </c>
      <c r="F147" s="92">
        <v>3.3000000000000002E-2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v>1.1950000000000001</v>
      </c>
      <c r="E148" s="91">
        <v>0.25800000000000001</v>
      </c>
      <c r="F148" s="92">
        <v>3.5000000000000003E-2</v>
      </c>
      <c r="G148" s="317">
        <v>0.51</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v>1.1950000000000001</v>
      </c>
      <c r="E149" s="91">
        <v>0.25800000000000001</v>
      </c>
      <c r="F149" s="92">
        <v>3.5000000000000003E-2</v>
      </c>
      <c r="G149" s="317">
        <v>2.23</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v>1.1950000000000001</v>
      </c>
      <c r="E150" s="91">
        <v>0.25800000000000001</v>
      </c>
      <c r="F150" s="92">
        <v>3.5000000000000003E-2</v>
      </c>
      <c r="G150" s="317">
        <v>3.92</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v>1.1950000000000001</v>
      </c>
      <c r="E151" s="91">
        <v>0.25800000000000001</v>
      </c>
      <c r="F151" s="92">
        <v>3.5000000000000003E-2</v>
      </c>
      <c r="G151" s="317">
        <v>7.71</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v>1.1950000000000001</v>
      </c>
      <c r="E152" s="91">
        <v>0.25800000000000001</v>
      </c>
      <c r="F152" s="92">
        <v>3.5000000000000003E-2</v>
      </c>
      <c r="G152" s="317">
        <v>21.36</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v>1.1950000000000001</v>
      </c>
      <c r="E153" s="91">
        <v>0.25800000000000001</v>
      </c>
      <c r="F153" s="92">
        <v>3.5000000000000003E-2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0.86599999999999999</v>
      </c>
      <c r="E154" s="91">
        <v>0.17100000000000001</v>
      </c>
      <c r="F154" s="92">
        <v>2.1999999999999999E-2</v>
      </c>
      <c r="G154" s="317">
        <v>1.65</v>
      </c>
      <c r="H154" s="317">
        <v>0.5</v>
      </c>
      <c r="I154" s="320">
        <v>0.5</v>
      </c>
      <c r="J154" s="25">
        <v>4.5999999999999999E-2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0.86599999999999999</v>
      </c>
      <c r="E155" s="91">
        <v>0.17100000000000001</v>
      </c>
      <c r="F155" s="92">
        <v>2.1999999999999999E-2</v>
      </c>
      <c r="G155" s="317">
        <v>41.92</v>
      </c>
      <c r="H155" s="317">
        <v>0.5</v>
      </c>
      <c r="I155" s="320">
        <v>0.5</v>
      </c>
      <c r="J155" s="25">
        <v>4.5999999999999999E-2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0.86599999999999999</v>
      </c>
      <c r="E156" s="91">
        <v>0.17100000000000001</v>
      </c>
      <c r="F156" s="92">
        <v>2.1999999999999999E-2</v>
      </c>
      <c r="G156" s="317">
        <v>77.69</v>
      </c>
      <c r="H156" s="317">
        <v>0.5</v>
      </c>
      <c r="I156" s="320">
        <v>0.5</v>
      </c>
      <c r="J156" s="25">
        <v>4.5999999999999999E-2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0.86599999999999999</v>
      </c>
      <c r="E157" s="91">
        <v>0.17100000000000001</v>
      </c>
      <c r="F157" s="92">
        <v>2.1999999999999999E-2</v>
      </c>
      <c r="G157" s="317">
        <v>122.17</v>
      </c>
      <c r="H157" s="317">
        <v>0.5</v>
      </c>
      <c r="I157" s="320">
        <v>0.5</v>
      </c>
      <c r="J157" s="25">
        <v>4.5999999999999999E-2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0.86599999999999999</v>
      </c>
      <c r="E158" s="91">
        <v>0.17100000000000001</v>
      </c>
      <c r="F158" s="92">
        <v>2.1999999999999999E-2</v>
      </c>
      <c r="G158" s="317">
        <v>279.08</v>
      </c>
      <c r="H158" s="317">
        <v>0.5</v>
      </c>
      <c r="I158" s="320">
        <v>0.5</v>
      </c>
      <c r="J158" s="25">
        <v>4.5999999999999999E-2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0.98299999999999998</v>
      </c>
      <c r="E159" s="91">
        <v>0.156</v>
      </c>
      <c r="F159" s="92">
        <v>1.7999999999999999E-2</v>
      </c>
      <c r="G159" s="317">
        <v>0.91</v>
      </c>
      <c r="H159" s="317">
        <v>1.21</v>
      </c>
      <c r="I159" s="320">
        <v>1.21</v>
      </c>
      <c r="J159" s="25">
        <v>4.1000000000000002E-2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0.98299999999999998</v>
      </c>
      <c r="E160" s="91">
        <v>0.156</v>
      </c>
      <c r="F160" s="92">
        <v>1.7999999999999999E-2</v>
      </c>
      <c r="G160" s="317">
        <v>63.98</v>
      </c>
      <c r="H160" s="317">
        <v>1.21</v>
      </c>
      <c r="I160" s="320">
        <v>1.21</v>
      </c>
      <c r="J160" s="25">
        <v>4.1000000000000002E-2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0.98299999999999998</v>
      </c>
      <c r="E161" s="91">
        <v>0.156</v>
      </c>
      <c r="F161" s="92">
        <v>1.7999999999999999E-2</v>
      </c>
      <c r="G161" s="317">
        <v>119.98</v>
      </c>
      <c r="H161" s="317">
        <v>1.21</v>
      </c>
      <c r="I161" s="320">
        <v>1.21</v>
      </c>
      <c r="J161" s="25">
        <v>4.1000000000000002E-2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0.98299999999999998</v>
      </c>
      <c r="E162" s="91">
        <v>0.156</v>
      </c>
      <c r="F162" s="92">
        <v>1.7999999999999999E-2</v>
      </c>
      <c r="G162" s="317">
        <v>189.64</v>
      </c>
      <c r="H162" s="317">
        <v>1.21</v>
      </c>
      <c r="I162" s="320">
        <v>1.21</v>
      </c>
      <c r="J162" s="25">
        <v>4.1000000000000002E-2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0.98299999999999998</v>
      </c>
      <c r="E163" s="91">
        <v>0.156</v>
      </c>
      <c r="F163" s="92">
        <v>1.7999999999999999E-2</v>
      </c>
      <c r="G163" s="317">
        <v>435.36</v>
      </c>
      <c r="H163" s="317">
        <v>1.21</v>
      </c>
      <c r="I163" s="320">
        <v>1.21</v>
      </c>
      <c r="J163" s="25">
        <v>4.1000000000000002E-2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0.86499999999999999</v>
      </c>
      <c r="E164" s="91">
        <v>0.126</v>
      </c>
      <c r="F164" s="92">
        <v>1.2999999999999999E-2</v>
      </c>
      <c r="G164" s="317">
        <v>15.48</v>
      </c>
      <c r="H164" s="317">
        <v>1.26</v>
      </c>
      <c r="I164" s="320">
        <v>1.26</v>
      </c>
      <c r="J164" s="25">
        <v>3.3000000000000002E-2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0.86499999999999999</v>
      </c>
      <c r="E165" s="91">
        <v>0.126</v>
      </c>
      <c r="F165" s="92">
        <v>1.2999999999999999E-2</v>
      </c>
      <c r="G165" s="317">
        <v>398.16</v>
      </c>
      <c r="H165" s="317">
        <v>1.26</v>
      </c>
      <c r="I165" s="320">
        <v>1.26</v>
      </c>
      <c r="J165" s="25">
        <v>3.3000000000000002E-2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0.86499999999999999</v>
      </c>
      <c r="E166" s="91">
        <v>0.126</v>
      </c>
      <c r="F166" s="92">
        <v>1.2999999999999999E-2</v>
      </c>
      <c r="G166" s="317">
        <v>1179.05</v>
      </c>
      <c r="H166" s="317">
        <v>1.26</v>
      </c>
      <c r="I166" s="320">
        <v>1.26</v>
      </c>
      <c r="J166" s="25">
        <v>3.3000000000000002E-2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0.86499999999999999</v>
      </c>
      <c r="E167" s="91">
        <v>0.126</v>
      </c>
      <c r="F167" s="92">
        <v>1.2999999999999999E-2</v>
      </c>
      <c r="G167" s="317">
        <v>2583.98</v>
      </c>
      <c r="H167" s="317">
        <v>1.26</v>
      </c>
      <c r="I167" s="320">
        <v>1.26</v>
      </c>
      <c r="J167" s="25">
        <v>3.3000000000000002E-2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0.86499999999999999</v>
      </c>
      <c r="E168" s="91">
        <v>0.126</v>
      </c>
      <c r="F168" s="92">
        <v>1.2999999999999999E-2</v>
      </c>
      <c r="G168" s="317">
        <v>4949.32</v>
      </c>
      <c r="H168" s="317">
        <v>1.26</v>
      </c>
      <c r="I168" s="320">
        <v>1.26</v>
      </c>
      <c r="J168" s="25">
        <v>3.3000000000000002E-2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v>2.5670000000000002</v>
      </c>
      <c r="E169" s="94">
        <v>0.4</v>
      </c>
      <c r="F169" s="92">
        <v>0.217</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-1.2529999999999999</v>
      </c>
      <c r="E170" s="91">
        <v>-0.27100000000000002</v>
      </c>
      <c r="F170" s="92">
        <v>-3.5999999999999997E-2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-1.196</v>
      </c>
      <c r="E171" s="91">
        <v>-0.24399999999999999</v>
      </c>
      <c r="F171" s="92">
        <v>-3.2000000000000001E-2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-1.2529999999999999</v>
      </c>
      <c r="E172" s="91">
        <v>-0.27100000000000002</v>
      </c>
      <c r="F172" s="92">
        <v>-3.5999999999999997E-2</v>
      </c>
      <c r="G172" s="317" t="s">
        <v>797</v>
      </c>
      <c r="H172" s="318" t="s">
        <v>797</v>
      </c>
      <c r="I172" s="319" t="s">
        <v>797</v>
      </c>
      <c r="J172" s="25">
        <v>6.9000000000000006E-2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-1.196</v>
      </c>
      <c r="E173" s="91">
        <v>-0.24399999999999999</v>
      </c>
      <c r="F173" s="92">
        <v>-3.2000000000000001E-2</v>
      </c>
      <c r="G173" s="317" t="s">
        <v>797</v>
      </c>
      <c r="H173" s="318" t="s">
        <v>797</v>
      </c>
      <c r="I173" s="319" t="s">
        <v>797</v>
      </c>
      <c r="J173" s="25">
        <v>6.6000000000000003E-2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-1.6339999999999999</v>
      </c>
      <c r="E174" s="91">
        <v>-0.26</v>
      </c>
      <c r="F174" s="92">
        <v>-0.03</v>
      </c>
      <c r="G174" s="317">
        <v>20.79</v>
      </c>
      <c r="H174" s="318" t="s">
        <v>797</v>
      </c>
      <c r="I174" s="319" t="s">
        <v>797</v>
      </c>
      <c r="J174" s="25">
        <v>0.10299999999999999</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797</v>
      </c>
      <c r="E175" s="91" t="s">
        <v>797</v>
      </c>
      <c r="F175" s="92" t="s">
        <v>797</v>
      </c>
      <c r="G175" s="317" t="s">
        <v>797</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797</v>
      </c>
      <c r="E176" s="91" t="s">
        <v>797</v>
      </c>
      <c r="F176" s="92" t="s">
        <v>797</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797</v>
      </c>
      <c r="E177" s="91" t="s">
        <v>797</v>
      </c>
      <c r="F177" s="92" t="s">
        <v>797</v>
      </c>
      <c r="G177" s="317" t="s">
        <v>797</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797</v>
      </c>
      <c r="E178" s="91" t="s">
        <v>797</v>
      </c>
      <c r="F178" s="92" t="s">
        <v>797</v>
      </c>
      <c r="G178" s="317" t="s">
        <v>797</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797</v>
      </c>
      <c r="E179" s="91" t="s">
        <v>797</v>
      </c>
      <c r="F179" s="92" t="s">
        <v>797</v>
      </c>
      <c r="G179" s="317" t="s">
        <v>797</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797</v>
      </c>
      <c r="E180" s="91" t="s">
        <v>797</v>
      </c>
      <c r="F180" s="92" t="s">
        <v>797</v>
      </c>
      <c r="G180" s="317" t="s">
        <v>797</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797</v>
      </c>
      <c r="E181" s="91" t="s">
        <v>797</v>
      </c>
      <c r="F181" s="92" t="s">
        <v>797</v>
      </c>
      <c r="G181" s="317" t="s">
        <v>797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797</v>
      </c>
      <c r="E182" s="91" t="s">
        <v>797</v>
      </c>
      <c r="F182" s="92" t="s">
        <v>797</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797</v>
      </c>
      <c r="E183" s="91" t="s">
        <v>797</v>
      </c>
      <c r="F183" s="92" t="s">
        <v>797</v>
      </c>
      <c r="G183" s="317" t="s">
        <v>797</v>
      </c>
      <c r="H183" s="317" t="s">
        <v>797</v>
      </c>
      <c r="I183" s="320" t="s">
        <v>797</v>
      </c>
      <c r="J183" s="25" t="s">
        <v>797</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797</v>
      </c>
      <c r="E184" s="91" t="s">
        <v>797</v>
      </c>
      <c r="F184" s="92" t="s">
        <v>797</v>
      </c>
      <c r="G184" s="317" t="s">
        <v>797</v>
      </c>
      <c r="H184" s="317" t="s">
        <v>797</v>
      </c>
      <c r="I184" s="320" t="s">
        <v>797</v>
      </c>
      <c r="J184" s="25" t="s">
        <v>797</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797</v>
      </c>
      <c r="E185" s="91" t="s">
        <v>797</v>
      </c>
      <c r="F185" s="92" t="s">
        <v>797</v>
      </c>
      <c r="G185" s="317" t="s">
        <v>797</v>
      </c>
      <c r="H185" s="317" t="s">
        <v>797</v>
      </c>
      <c r="I185" s="320" t="s">
        <v>797</v>
      </c>
      <c r="J185" s="25" t="s">
        <v>797</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797</v>
      </c>
      <c r="E186" s="91" t="s">
        <v>797</v>
      </c>
      <c r="F186" s="92" t="s">
        <v>797</v>
      </c>
      <c r="G186" s="317" t="s">
        <v>797</v>
      </c>
      <c r="H186" s="317" t="s">
        <v>797</v>
      </c>
      <c r="I186" s="320" t="s">
        <v>797</v>
      </c>
      <c r="J186" s="25" t="s">
        <v>797</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797</v>
      </c>
      <c r="E187" s="91" t="s">
        <v>797</v>
      </c>
      <c r="F187" s="92" t="s">
        <v>797</v>
      </c>
      <c r="G187" s="317" t="s">
        <v>797</v>
      </c>
      <c r="H187" s="317" t="s">
        <v>797</v>
      </c>
      <c r="I187" s="320" t="s">
        <v>797</v>
      </c>
      <c r="J187" s="25" t="s">
        <v>797</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797</v>
      </c>
      <c r="E188" s="91" t="s">
        <v>797</v>
      </c>
      <c r="F188" s="92" t="s">
        <v>797</v>
      </c>
      <c r="G188" s="317" t="s">
        <v>797</v>
      </c>
      <c r="H188" s="317" t="s">
        <v>797</v>
      </c>
      <c r="I188" s="320" t="s">
        <v>797</v>
      </c>
      <c r="J188" s="25" t="s">
        <v>797</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797</v>
      </c>
      <c r="E189" s="91" t="s">
        <v>797</v>
      </c>
      <c r="F189" s="92" t="s">
        <v>797</v>
      </c>
      <c r="G189" s="317" t="s">
        <v>797</v>
      </c>
      <c r="H189" s="317" t="s">
        <v>797</v>
      </c>
      <c r="I189" s="320" t="s">
        <v>797</v>
      </c>
      <c r="J189" s="25" t="s">
        <v>797</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797</v>
      </c>
      <c r="E190" s="91" t="s">
        <v>797</v>
      </c>
      <c r="F190" s="92" t="s">
        <v>797</v>
      </c>
      <c r="G190" s="317" t="s">
        <v>797</v>
      </c>
      <c r="H190" s="317" t="s">
        <v>797</v>
      </c>
      <c r="I190" s="320" t="s">
        <v>797</v>
      </c>
      <c r="J190" s="25" t="s">
        <v>797</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797</v>
      </c>
      <c r="E191" s="91" t="s">
        <v>797</v>
      </c>
      <c r="F191" s="92" t="s">
        <v>797</v>
      </c>
      <c r="G191" s="317" t="s">
        <v>797</v>
      </c>
      <c r="H191" s="317" t="s">
        <v>797</v>
      </c>
      <c r="I191" s="320" t="s">
        <v>797</v>
      </c>
      <c r="J191" s="25" t="s">
        <v>797</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797</v>
      </c>
      <c r="E192" s="91" t="s">
        <v>797</v>
      </c>
      <c r="F192" s="92" t="s">
        <v>797</v>
      </c>
      <c r="G192" s="317" t="s">
        <v>797</v>
      </c>
      <c r="H192" s="317" t="s">
        <v>797</v>
      </c>
      <c r="I192" s="320" t="s">
        <v>797</v>
      </c>
      <c r="J192" s="25" t="s">
        <v>797</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797</v>
      </c>
      <c r="E193" s="91" t="s">
        <v>797</v>
      </c>
      <c r="F193" s="92" t="s">
        <v>797</v>
      </c>
      <c r="G193" s="317" t="s">
        <v>797</v>
      </c>
      <c r="H193" s="317" t="s">
        <v>797</v>
      </c>
      <c r="I193" s="320" t="s">
        <v>797</v>
      </c>
      <c r="J193" s="25" t="s">
        <v>797</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797</v>
      </c>
      <c r="E194" s="91" t="s">
        <v>797</v>
      </c>
      <c r="F194" s="92" t="s">
        <v>797</v>
      </c>
      <c r="G194" s="317" t="s">
        <v>797</v>
      </c>
      <c r="H194" s="317" t="s">
        <v>797</v>
      </c>
      <c r="I194" s="320" t="s">
        <v>797</v>
      </c>
      <c r="J194" s="25" t="s">
        <v>797</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797</v>
      </c>
      <c r="E195" s="91" t="s">
        <v>797</v>
      </c>
      <c r="F195" s="92" t="s">
        <v>797</v>
      </c>
      <c r="G195" s="317" t="s">
        <v>797</v>
      </c>
      <c r="H195" s="317" t="s">
        <v>797</v>
      </c>
      <c r="I195" s="320" t="s">
        <v>797</v>
      </c>
      <c r="J195" s="25" t="s">
        <v>797</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797</v>
      </c>
      <c r="E196" s="91" t="s">
        <v>797</v>
      </c>
      <c r="F196" s="92" t="s">
        <v>797</v>
      </c>
      <c r="G196" s="317" t="s">
        <v>797</v>
      </c>
      <c r="H196" s="317" t="s">
        <v>797</v>
      </c>
      <c r="I196" s="320" t="s">
        <v>797</v>
      </c>
      <c r="J196" s="25" t="s">
        <v>797</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797</v>
      </c>
      <c r="E197" s="91" t="s">
        <v>797</v>
      </c>
      <c r="F197" s="92" t="s">
        <v>797</v>
      </c>
      <c r="G197" s="317" t="s">
        <v>797</v>
      </c>
      <c r="H197" s="317" t="s">
        <v>797</v>
      </c>
      <c r="I197" s="320" t="s">
        <v>797</v>
      </c>
      <c r="J197" s="25" t="s">
        <v>797</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797</v>
      </c>
      <c r="E198" s="94" t="s">
        <v>797</v>
      </c>
      <c r="F198" s="92" t="s">
        <v>797</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797</v>
      </c>
      <c r="E199" s="91" t="s">
        <v>797</v>
      </c>
      <c r="F199" s="92" t="s">
        <v>797</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797</v>
      </c>
      <c r="E200" s="91" t="s">
        <v>797</v>
      </c>
      <c r="F200" s="92" t="s">
        <v>797</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797</v>
      </c>
      <c r="E201" s="91" t="s">
        <v>797</v>
      </c>
      <c r="F201" s="92" t="s">
        <v>797</v>
      </c>
      <c r="G201" s="317" t="s">
        <v>797</v>
      </c>
      <c r="H201" s="318" t="s">
        <v>797</v>
      </c>
      <c r="I201" s="319" t="s">
        <v>797</v>
      </c>
      <c r="J201" s="25" t="s">
        <v>797</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797</v>
      </c>
      <c r="E202" s="91" t="s">
        <v>797</v>
      </c>
      <c r="F202" s="92" t="s">
        <v>797</v>
      </c>
      <c r="G202" s="317" t="s">
        <v>797</v>
      </c>
      <c r="H202" s="318" t="s">
        <v>797</v>
      </c>
      <c r="I202" s="319" t="s">
        <v>797</v>
      </c>
      <c r="J202" s="25" t="s">
        <v>797</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797</v>
      </c>
      <c r="E203" s="91" t="s">
        <v>797</v>
      </c>
      <c r="F203" s="92" t="s">
        <v>797</v>
      </c>
      <c r="G203" s="317" t="s">
        <v>797</v>
      </c>
      <c r="H203" s="318" t="s">
        <v>797</v>
      </c>
      <c r="I203" s="319" t="s">
        <v>797</v>
      </c>
      <c r="J203" s="25" t="s">
        <v>797</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F10:G10"/>
    <mergeCell ref="H10:J10"/>
    <mergeCell ref="B8:D8"/>
    <mergeCell ref="F8:G8"/>
    <mergeCell ref="F9:G9"/>
    <mergeCell ref="F7:G7"/>
    <mergeCell ref="F5:G5"/>
    <mergeCell ref="A2:J2"/>
    <mergeCell ref="A4:D4"/>
    <mergeCell ref="F4:J4"/>
    <mergeCell ref="F6:G6"/>
  </mergeCells>
  <conditionalFormatting sqref="K14:Q203">
    <cfRule type="cellIs" dxfId="66" priority="2" operator="equal">
      <formula>0</formula>
    </cfRule>
    <cfRule type="cellIs" dxfId="65" priority="3" operator="lessThan">
      <formula>0</formula>
    </cfRule>
    <cfRule type="cellIs" dxfId="64" priority="4" operator="greaterThan">
      <formula>0</formula>
    </cfRule>
  </conditionalFormatting>
  <conditionalFormatting sqref="K14:R203">
    <cfRule type="expression" dxfId="63" priority="1">
      <formula>$K14&lt;&gt;""</formula>
    </cfRule>
  </conditionalFormatting>
  <hyperlinks>
    <hyperlink ref="A1" location="Overview!A1" display="Back to Overview" xr:uid="{572B62F4-FFA6-4CF1-B3DC-BBE0D2700B8C}"/>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54" t="str">
        <f>Overview!B4&amp;" - Effective from "&amp;TEXT(Overview!$D$4,"d mmmm yyyy")&amp;" - Final LDNO tariffs in WPD West Midlands Area (GSP Group_E)"</f>
        <v>Leep Electricity Networks Limited - Effective from 1 April 2027 - Final LDNO tariffs in WPD West Midlands Area (GSP Group_E)</v>
      </c>
      <c r="B2" s="454"/>
      <c r="C2" s="454"/>
      <c r="D2" s="454"/>
      <c r="E2" s="454"/>
      <c r="F2" s="454"/>
      <c r="G2" s="454"/>
      <c r="H2" s="454"/>
      <c r="I2" s="454"/>
      <c r="J2" s="454"/>
    </row>
    <row r="3" spans="1:17" s="40" customFormat="1" ht="15" customHeight="1" x14ac:dyDescent="0.2">
      <c r="A3" s="45"/>
      <c r="B3" s="45"/>
      <c r="C3" s="45"/>
      <c r="D3" s="45"/>
      <c r="E3" s="45"/>
      <c r="F3" s="45"/>
      <c r="G3" s="45"/>
      <c r="H3" s="45"/>
      <c r="I3" s="45"/>
      <c r="J3" s="45"/>
      <c r="K3" s="30"/>
      <c r="L3" s="30"/>
    </row>
    <row r="4" spans="1:17" ht="36.75" customHeight="1" x14ac:dyDescent="0.2">
      <c r="A4" s="396" t="s">
        <v>290</v>
      </c>
      <c r="B4" s="397"/>
      <c r="C4" s="397"/>
      <c r="D4" s="398"/>
      <c r="F4" s="396" t="s">
        <v>289</v>
      </c>
      <c r="G4" s="397"/>
      <c r="H4" s="397"/>
      <c r="I4" s="397"/>
      <c r="J4" s="398"/>
      <c r="K4" s="3"/>
      <c r="L4" s="3"/>
    </row>
    <row r="5" spans="1:17" ht="33.75" customHeight="1" x14ac:dyDescent="0.2">
      <c r="A5" s="39" t="s">
        <v>13</v>
      </c>
      <c r="B5" s="183" t="s">
        <v>281</v>
      </c>
      <c r="C5" s="269" t="s">
        <v>282</v>
      </c>
      <c r="D5" s="41" t="s">
        <v>283</v>
      </c>
      <c r="F5" s="246"/>
      <c r="G5" s="247"/>
      <c r="H5" s="43" t="s">
        <v>287</v>
      </c>
      <c r="I5" s="44" t="s">
        <v>288</v>
      </c>
      <c r="J5" s="41" t="s">
        <v>283</v>
      </c>
      <c r="K5" s="45"/>
      <c r="L5" s="3"/>
      <c r="M5" s="3"/>
    </row>
    <row r="6" spans="1:17" ht="42.75" customHeight="1" x14ac:dyDescent="0.2">
      <c r="A6" s="267" t="str">
        <f>'Annex 1 LV and HV charges_E'!A6</f>
        <v>Monday to Friday 
(Including Bank Holidays)
All Year</v>
      </c>
      <c r="B6" s="13" t="str">
        <f>'Annex 1 LV and HV charges_E'!B6</f>
        <v>16:00 - 19:00</v>
      </c>
      <c r="C6" s="248" t="str">
        <f>'Annex 1 LV and HV charges_E'!C6</f>
        <v>07:30 to 16:00
19:00 to 21:00</v>
      </c>
      <c r="D6" s="95" t="str">
        <f>'Annex 1 LV and HV charges_E'!E6</f>
        <v>00:00 to 07:30
21:00 to 24:00</v>
      </c>
      <c r="F6" s="253" t="str">
        <f>'Annex 1 LV and HV charges_E'!G6</f>
        <v>Monday to Friday 
(Including Bank Holidays)
Nov to Feb Inclusive</v>
      </c>
      <c r="G6" s="253">
        <f>'Annex 1 LV and HV charges_E'!H6</f>
        <v>0</v>
      </c>
      <c r="H6" s="13" t="str">
        <f>'Annex 1 LV and HV charges_E'!I6</f>
        <v>16:00 to 19:00</v>
      </c>
      <c r="I6" s="248" t="str">
        <f>'Annex 1 LV and HV charges_E'!J6</f>
        <v>07:30 to 16:00
19:00 to 21:00</v>
      </c>
      <c r="J6" s="248" t="str">
        <f>'Annex 1 LV and HV charges_E'!K6</f>
        <v>00:00 to 07:30
21:00 to 24:00</v>
      </c>
      <c r="K6" s="45"/>
      <c r="L6" s="3"/>
      <c r="M6" s="3"/>
    </row>
    <row r="7" spans="1:17" ht="51" customHeight="1" x14ac:dyDescent="0.2">
      <c r="A7" s="267" t="str">
        <f>'Annex 1 LV and HV charges_E'!A7</f>
        <v>Saturday and Sunday
All Year</v>
      </c>
      <c r="B7" s="250" t="str">
        <f>'Annex 1 LV and HV charges_E'!B7</f>
        <v/>
      </c>
      <c r="C7" s="252" t="str">
        <f>'Annex 1 LV and HV charges_E'!C7</f>
        <v/>
      </c>
      <c r="D7" s="248" t="str">
        <f>'Annex 1 LV and HV charges_E'!E7</f>
        <v>00:00 to 24:00</v>
      </c>
      <c r="F7" s="253" t="str">
        <f>'Annex 1 LV and HV charges_E'!G7</f>
        <v>Monday to Friday 
(Including Bank Holidays)
Mar to Oct Inclusive</v>
      </c>
      <c r="G7" s="253">
        <f>'Annex 1 LV and HV charges_E'!H7</f>
        <v>0</v>
      </c>
      <c r="H7" s="250" t="str">
        <f>'Annex 1 LV and HV charges_E'!I7</f>
        <v/>
      </c>
      <c r="I7" s="248" t="str">
        <f>'Annex 1 LV and HV charges_E'!J7</f>
        <v>07:30 to 21:00</v>
      </c>
      <c r="J7" s="248" t="str">
        <f>'Annex 1 LV and HV charges_E'!K7</f>
        <v>00:00 to 07:30
21:00 to 24:00</v>
      </c>
      <c r="K7" s="45"/>
      <c r="L7" s="3"/>
      <c r="M7" s="3"/>
    </row>
    <row r="8" spans="1:17" ht="28.5" customHeight="1" x14ac:dyDescent="0.2">
      <c r="A8" s="253" t="str">
        <f>'Annex 1 LV and HV charges_E'!A8</f>
        <v>Notes</v>
      </c>
      <c r="B8" s="391" t="str">
        <f>'Annex 1 LV and HV charges_E'!B8</f>
        <v>All the above times are in UK Clock time</v>
      </c>
      <c r="C8" s="392">
        <f>'Annex 1 LV and HV charges_E'!C8</f>
        <v>0</v>
      </c>
      <c r="D8" s="393">
        <f>'Annex 1 LV and HV charges_E'!D8</f>
        <v>0</v>
      </c>
      <c r="F8" s="253" t="str">
        <f>'Annex 1 LV and HV charges_E'!G8</f>
        <v>Saturday and Sunday
All year</v>
      </c>
      <c r="G8" s="253">
        <f>'Annex 1 LV and HV charges_E'!H8</f>
        <v>0</v>
      </c>
      <c r="H8" s="250" t="str">
        <f>'Annex 1 LV and HV charges_E'!I8</f>
        <v/>
      </c>
      <c r="I8" s="250" t="str">
        <f>'Annex 1 LV and HV charges_E'!J8</f>
        <v/>
      </c>
      <c r="J8" s="248" t="str">
        <f>'Annex 1 LV and HV charges_E'!K8</f>
        <v>00:00 to 24:00</v>
      </c>
      <c r="K8" s="45"/>
      <c r="L8" s="3"/>
      <c r="M8" s="3"/>
    </row>
    <row r="9" spans="1:17" s="40" customFormat="1" ht="36" customHeight="1" x14ac:dyDescent="0.2">
      <c r="A9" s="254"/>
      <c r="B9" s="254"/>
      <c r="C9" s="387"/>
      <c r="D9" s="388"/>
      <c r="E9" s="45"/>
      <c r="F9" s="253" t="str">
        <f>'Annex 1 LV and HV charges_E'!G9</f>
        <v>Notes</v>
      </c>
      <c r="G9" s="253">
        <f>'Annex 1 LV and HV charges_E'!H9</f>
        <v>0</v>
      </c>
      <c r="H9" s="391" t="str">
        <f>'Annex 1 LV and HV charges_E'!I9</f>
        <v>All the above times are in UK Clock time</v>
      </c>
      <c r="I9" s="392">
        <f>'Annex 1 LV and HV charges_E'!J9</f>
        <v>0</v>
      </c>
      <c r="J9" s="393">
        <f>'Annex 1 LV and HV charges_E'!K9</f>
        <v>0</v>
      </c>
      <c r="K9" s="45"/>
      <c r="L9" s="30"/>
      <c r="M9" s="30"/>
    </row>
    <row r="10" spans="1:17" s="40" customFormat="1" ht="18" x14ac:dyDescent="0.2">
      <c r="A10" s="118"/>
      <c r="B10" s="481"/>
      <c r="C10" s="482"/>
      <c r="D10" s="482"/>
      <c r="E10" s="483"/>
      <c r="F10" s="45"/>
      <c r="G10" s="416"/>
      <c r="H10" s="416"/>
      <c r="I10" s="255"/>
      <c r="J10" s="255"/>
      <c r="K10" s="45"/>
      <c r="L10" s="30"/>
      <c r="M10" s="30"/>
    </row>
    <row r="11" spans="1:17" s="40" customFormat="1" ht="18" x14ac:dyDescent="0.2">
      <c r="A11" s="45"/>
      <c r="B11" s="45"/>
      <c r="C11" s="45"/>
      <c r="D11" s="45"/>
      <c r="E11" s="45"/>
      <c r="F11" s="45"/>
      <c r="G11" s="411"/>
      <c r="H11" s="411"/>
      <c r="I11" s="263"/>
      <c r="J11" s="264"/>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45" customHeight="1" x14ac:dyDescent="0.2">
      <c r="A14" s="322" t="s">
        <v>680</v>
      </c>
      <c r="B14" s="24"/>
      <c r="C14" s="324" t="s">
        <v>802</v>
      </c>
      <c r="D14" s="90">
        <v>7.6749999999999998</v>
      </c>
      <c r="E14" s="91">
        <v>0.96499999999999997</v>
      </c>
      <c r="F14" s="92">
        <v>0.11899999999999999</v>
      </c>
      <c r="G14" s="317">
        <v>10.66</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45" customHeight="1" x14ac:dyDescent="0.2">
      <c r="A15" s="322" t="s">
        <v>543</v>
      </c>
      <c r="B15" s="24"/>
      <c r="C15" s="324" t="s">
        <v>2031</v>
      </c>
      <c r="D15" s="90">
        <v>7.6749999999999998</v>
      </c>
      <c r="E15" s="91">
        <v>0.96499999999999997</v>
      </c>
      <c r="F15" s="92">
        <v>0.11899999999999999</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45" customHeight="1" x14ac:dyDescent="0.2">
      <c r="A16" s="322" t="s">
        <v>687</v>
      </c>
      <c r="B16" s="24"/>
      <c r="C16" s="324" t="s">
        <v>803</v>
      </c>
      <c r="D16" s="90">
        <v>6.9340000000000002</v>
      </c>
      <c r="E16" s="91">
        <v>0.872</v>
      </c>
      <c r="F16" s="92">
        <v>0.108</v>
      </c>
      <c r="G16" s="317">
        <v>9.82</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45" customHeight="1" x14ac:dyDescent="0.2">
      <c r="A17" s="322" t="s">
        <v>694</v>
      </c>
      <c r="B17" s="24"/>
      <c r="C17" s="324" t="s">
        <v>803</v>
      </c>
      <c r="D17" s="90">
        <v>6.9340000000000002</v>
      </c>
      <c r="E17" s="91">
        <v>0.872</v>
      </c>
      <c r="F17" s="92">
        <v>0.108</v>
      </c>
      <c r="G17" s="317">
        <v>12.58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45" customHeight="1" x14ac:dyDescent="0.2">
      <c r="A18" s="322" t="s">
        <v>701</v>
      </c>
      <c r="B18" s="24"/>
      <c r="C18" s="324" t="s">
        <v>803</v>
      </c>
      <c r="D18" s="90">
        <v>6.9340000000000002</v>
      </c>
      <c r="E18" s="91">
        <v>0.872</v>
      </c>
      <c r="F18" s="92">
        <v>0.108</v>
      </c>
      <c r="G18" s="317">
        <v>20.49</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45" customHeight="1" x14ac:dyDescent="0.2">
      <c r="A19" s="322" t="s">
        <v>708</v>
      </c>
      <c r="B19" s="24"/>
      <c r="C19" s="324" t="s">
        <v>803</v>
      </c>
      <c r="D19" s="90">
        <v>6.9340000000000002</v>
      </c>
      <c r="E19" s="91">
        <v>0.872</v>
      </c>
      <c r="F19" s="92">
        <v>0.108</v>
      </c>
      <c r="G19" s="317">
        <v>32.78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45" customHeight="1" x14ac:dyDescent="0.2">
      <c r="A20" s="322" t="s">
        <v>715</v>
      </c>
      <c r="B20" s="24"/>
      <c r="C20" s="324" t="s">
        <v>803</v>
      </c>
      <c r="D20" s="90">
        <v>6.9340000000000002</v>
      </c>
      <c r="E20" s="91">
        <v>0.872</v>
      </c>
      <c r="F20" s="92">
        <v>0.108</v>
      </c>
      <c r="G20" s="317">
        <v>69.22</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45" customHeight="1" x14ac:dyDescent="0.2">
      <c r="A21" s="322" t="s">
        <v>481</v>
      </c>
      <c r="B21" s="24"/>
      <c r="C21" s="324" t="s">
        <v>2032</v>
      </c>
      <c r="D21" s="90">
        <v>6.9340000000000002</v>
      </c>
      <c r="E21" s="91">
        <v>0.872</v>
      </c>
      <c r="F21" s="92">
        <v>0.108</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45" customHeight="1" x14ac:dyDescent="0.2">
      <c r="A22" s="322" t="s">
        <v>544</v>
      </c>
      <c r="B22" s="18"/>
      <c r="C22" s="324">
        <v>0</v>
      </c>
      <c r="D22" s="90">
        <v>4.4290000000000003</v>
      </c>
      <c r="E22" s="91">
        <v>0.55000000000000004</v>
      </c>
      <c r="F22" s="92">
        <v>6.0999999999999999E-2</v>
      </c>
      <c r="G22" s="317">
        <v>9.82</v>
      </c>
      <c r="H22" s="317">
        <v>7.12</v>
      </c>
      <c r="I22" s="320">
        <v>7.12</v>
      </c>
      <c r="J22" s="25">
        <v>9.6000000000000002E-2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45" customHeight="1" x14ac:dyDescent="0.2">
      <c r="A23" s="322" t="s">
        <v>545</v>
      </c>
      <c r="B23" s="24"/>
      <c r="C23" s="324">
        <v>0</v>
      </c>
      <c r="D23" s="90">
        <v>4.4290000000000003</v>
      </c>
      <c r="E23" s="91">
        <v>0.55000000000000004</v>
      </c>
      <c r="F23" s="92">
        <v>6.0999999999999999E-2</v>
      </c>
      <c r="G23" s="317">
        <v>109.65</v>
      </c>
      <c r="H23" s="317">
        <v>7.12</v>
      </c>
      <c r="I23" s="320">
        <v>7.12</v>
      </c>
      <c r="J23" s="25">
        <v>9.6000000000000002E-2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45" customHeight="1" x14ac:dyDescent="0.2">
      <c r="A24" s="322" t="s">
        <v>546</v>
      </c>
      <c r="B24" s="18"/>
      <c r="C24" s="324">
        <v>0</v>
      </c>
      <c r="D24" s="90">
        <v>4.4290000000000003</v>
      </c>
      <c r="E24" s="91">
        <v>0.55000000000000004</v>
      </c>
      <c r="F24" s="92">
        <v>6.0999999999999999E-2</v>
      </c>
      <c r="G24" s="317">
        <v>187.15</v>
      </c>
      <c r="H24" s="317">
        <v>7.12</v>
      </c>
      <c r="I24" s="320">
        <v>7.12</v>
      </c>
      <c r="J24" s="25">
        <v>9.6000000000000002E-2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45" customHeight="1" x14ac:dyDescent="0.2">
      <c r="A25" s="322" t="s">
        <v>547</v>
      </c>
      <c r="B25" s="18"/>
      <c r="C25" s="324">
        <v>0</v>
      </c>
      <c r="D25" s="90">
        <v>4.4290000000000003</v>
      </c>
      <c r="E25" s="91">
        <v>0.55000000000000004</v>
      </c>
      <c r="F25" s="92">
        <v>6.0999999999999999E-2</v>
      </c>
      <c r="G25" s="317">
        <v>288.47000000000003</v>
      </c>
      <c r="H25" s="317">
        <v>7.12</v>
      </c>
      <c r="I25" s="320">
        <v>7.12</v>
      </c>
      <c r="J25" s="25">
        <v>9.6000000000000002E-2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45" customHeight="1" x14ac:dyDescent="0.2">
      <c r="A26" s="322" t="s">
        <v>548</v>
      </c>
      <c r="B26" s="18"/>
      <c r="C26" s="324">
        <v>0</v>
      </c>
      <c r="D26" s="90">
        <v>4.4290000000000003</v>
      </c>
      <c r="E26" s="91">
        <v>0.55000000000000004</v>
      </c>
      <c r="F26" s="92">
        <v>6.0999999999999999E-2</v>
      </c>
      <c r="G26" s="317">
        <v>514.35</v>
      </c>
      <c r="H26" s="317">
        <v>7.12</v>
      </c>
      <c r="I26" s="320">
        <v>7.12</v>
      </c>
      <c r="J26" s="25">
        <v>9.6000000000000002E-2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45" customHeight="1" x14ac:dyDescent="0.2">
      <c r="A27" s="322" t="s">
        <v>482</v>
      </c>
      <c r="B27" s="24"/>
      <c r="C27" s="325" t="s">
        <v>804</v>
      </c>
      <c r="D27" s="93">
        <v>27.606000000000002</v>
      </c>
      <c r="E27" s="94">
        <v>2.1219999999999999</v>
      </c>
      <c r="F27" s="92">
        <v>1.2669999999999999</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45" customHeight="1" x14ac:dyDescent="0.2">
      <c r="A28" s="322" t="s">
        <v>511</v>
      </c>
      <c r="B28" s="24"/>
      <c r="C28" s="325">
        <v>0</v>
      </c>
      <c r="D28" s="90">
        <v>-7.5049999999999999</v>
      </c>
      <c r="E28" s="91">
        <v>-0.94399999999999995</v>
      </c>
      <c r="F28" s="92">
        <v>-0.11700000000000001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45" customHeight="1" x14ac:dyDescent="0.2">
      <c r="A29" s="322" t="s">
        <v>512</v>
      </c>
      <c r="B29" s="24"/>
      <c r="C29" s="325">
        <v>0</v>
      </c>
      <c r="D29" s="90">
        <v>-7.5049999999999999</v>
      </c>
      <c r="E29" s="91">
        <v>-0.94399999999999995</v>
      </c>
      <c r="F29" s="92">
        <v>-0.11700000000000001</v>
      </c>
      <c r="G29" s="317" t="s">
        <v>797</v>
      </c>
      <c r="H29" s="318" t="s">
        <v>797</v>
      </c>
      <c r="I29" s="319" t="s">
        <v>797</v>
      </c>
      <c r="J29" s="25">
        <v>0.20899999999999999</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45" customHeight="1" x14ac:dyDescent="0.2">
      <c r="A30" s="323" t="s">
        <v>681</v>
      </c>
      <c r="B30" s="24"/>
      <c r="C30" s="325" t="s">
        <v>802</v>
      </c>
      <c r="D30" s="90">
        <v>5.9269999999999996</v>
      </c>
      <c r="E30" s="91">
        <v>0.745</v>
      </c>
      <c r="F30" s="92">
        <v>9.1999999999999998E-2</v>
      </c>
      <c r="G30" s="317">
        <v>8.23</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45" customHeight="1" x14ac:dyDescent="0.2">
      <c r="A31" s="323" t="s">
        <v>549</v>
      </c>
      <c r="B31" s="24"/>
      <c r="C31" s="325" t="s">
        <v>2031</v>
      </c>
      <c r="D31" s="90">
        <v>5.9269999999999996</v>
      </c>
      <c r="E31" s="91">
        <v>0.745</v>
      </c>
      <c r="F31" s="92">
        <v>9.1999999999999998E-2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45" customHeight="1" x14ac:dyDescent="0.2">
      <c r="A32" s="323" t="s">
        <v>688</v>
      </c>
      <c r="B32" s="18"/>
      <c r="C32" s="325" t="s">
        <v>803</v>
      </c>
      <c r="D32" s="90">
        <v>5.3550000000000004</v>
      </c>
      <c r="E32" s="91">
        <v>0.67300000000000004</v>
      </c>
      <c r="F32" s="92">
        <v>8.3000000000000004E-2</v>
      </c>
      <c r="G32" s="317">
        <v>7.59</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45" customHeight="1" x14ac:dyDescent="0.2">
      <c r="A33" s="323" t="s">
        <v>695</v>
      </c>
      <c r="B33" s="24"/>
      <c r="C33" s="325" t="s">
        <v>803</v>
      </c>
      <c r="D33" s="90">
        <v>5.3550000000000004</v>
      </c>
      <c r="E33" s="91">
        <v>0.67300000000000004</v>
      </c>
      <c r="F33" s="92">
        <v>8.3000000000000004E-2</v>
      </c>
      <c r="G33" s="317">
        <v>9.7100000000000009</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45" customHeight="1" x14ac:dyDescent="0.2">
      <c r="A34" s="323" t="s">
        <v>702</v>
      </c>
      <c r="B34" s="18"/>
      <c r="C34" s="325" t="s">
        <v>803</v>
      </c>
      <c r="D34" s="90">
        <v>5.3550000000000004</v>
      </c>
      <c r="E34" s="91">
        <v>0.67300000000000004</v>
      </c>
      <c r="F34" s="92">
        <v>8.3000000000000004E-2</v>
      </c>
      <c r="G34" s="317">
        <v>15.82</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45" customHeight="1" x14ac:dyDescent="0.2">
      <c r="A35" s="323" t="s">
        <v>709</v>
      </c>
      <c r="B35" s="18"/>
      <c r="C35" s="325" t="s">
        <v>803</v>
      </c>
      <c r="D35" s="90">
        <v>5.3550000000000004</v>
      </c>
      <c r="E35" s="91">
        <v>0.67300000000000004</v>
      </c>
      <c r="F35" s="92">
        <v>8.3000000000000004E-2</v>
      </c>
      <c r="G35" s="317">
        <v>25.31</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45" customHeight="1" x14ac:dyDescent="0.2">
      <c r="A36" s="323" t="s">
        <v>716</v>
      </c>
      <c r="B36" s="18"/>
      <c r="C36" s="325" t="s">
        <v>803</v>
      </c>
      <c r="D36" s="90">
        <v>5.3550000000000004</v>
      </c>
      <c r="E36" s="91">
        <v>0.67300000000000004</v>
      </c>
      <c r="F36" s="92">
        <v>8.3000000000000004E-2</v>
      </c>
      <c r="G36" s="317">
        <v>53.46</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45" customHeight="1" x14ac:dyDescent="0.2">
      <c r="A37" s="323" t="s">
        <v>483</v>
      </c>
      <c r="B37" s="24"/>
      <c r="C37" s="325" t="s">
        <v>2032</v>
      </c>
      <c r="D37" s="90">
        <v>5.3550000000000004</v>
      </c>
      <c r="E37" s="91">
        <v>0.67300000000000004</v>
      </c>
      <c r="F37" s="92">
        <v>8.3000000000000004E-2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45" customHeight="1" x14ac:dyDescent="0.2">
      <c r="A38" s="323" t="s">
        <v>550</v>
      </c>
      <c r="B38" s="18"/>
      <c r="C38" s="325">
        <v>0</v>
      </c>
      <c r="D38" s="90">
        <v>3.42</v>
      </c>
      <c r="E38" s="91">
        <v>0.42499999999999999</v>
      </c>
      <c r="F38" s="92">
        <v>4.7E-2</v>
      </c>
      <c r="G38" s="317">
        <v>7.58</v>
      </c>
      <c r="H38" s="317">
        <v>5.5</v>
      </c>
      <c r="I38" s="320">
        <v>5.5</v>
      </c>
      <c r="J38" s="25">
        <v>7.3999999999999996E-2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45" customHeight="1" x14ac:dyDescent="0.2">
      <c r="A39" s="323" t="s">
        <v>551</v>
      </c>
      <c r="B39" s="24"/>
      <c r="C39" s="325">
        <v>0</v>
      </c>
      <c r="D39" s="90">
        <v>3.42</v>
      </c>
      <c r="E39" s="91">
        <v>0.42499999999999999</v>
      </c>
      <c r="F39" s="92">
        <v>4.7E-2</v>
      </c>
      <c r="G39" s="317">
        <v>84.68</v>
      </c>
      <c r="H39" s="317">
        <v>5.5</v>
      </c>
      <c r="I39" s="320">
        <v>5.5</v>
      </c>
      <c r="J39" s="25">
        <v>7.3999999999999996E-2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45" customHeight="1" x14ac:dyDescent="0.2">
      <c r="A40" s="323" t="s">
        <v>552</v>
      </c>
      <c r="B40" s="18"/>
      <c r="C40" s="325">
        <v>0</v>
      </c>
      <c r="D40" s="90">
        <v>3.42</v>
      </c>
      <c r="E40" s="91">
        <v>0.42499999999999999</v>
      </c>
      <c r="F40" s="92">
        <v>4.7E-2</v>
      </c>
      <c r="G40" s="317">
        <v>144.54</v>
      </c>
      <c r="H40" s="317">
        <v>5.5</v>
      </c>
      <c r="I40" s="320">
        <v>5.5</v>
      </c>
      <c r="J40" s="25">
        <v>7.3999999999999996E-2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45" customHeight="1" x14ac:dyDescent="0.2">
      <c r="A41" s="323" t="s">
        <v>553</v>
      </c>
      <c r="B41" s="18"/>
      <c r="C41" s="325">
        <v>0</v>
      </c>
      <c r="D41" s="90">
        <v>3.42</v>
      </c>
      <c r="E41" s="91">
        <v>0.42499999999999999</v>
      </c>
      <c r="F41" s="92">
        <v>4.7E-2</v>
      </c>
      <c r="G41" s="317">
        <v>222.79</v>
      </c>
      <c r="H41" s="317">
        <v>5.5</v>
      </c>
      <c r="I41" s="320">
        <v>5.5</v>
      </c>
      <c r="J41" s="25">
        <v>7.3999999999999996E-2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45" customHeight="1" x14ac:dyDescent="0.2">
      <c r="A42" s="323" t="s">
        <v>554</v>
      </c>
      <c r="B42" s="18"/>
      <c r="C42" s="325">
        <v>0</v>
      </c>
      <c r="D42" s="90">
        <v>3.42</v>
      </c>
      <c r="E42" s="91">
        <v>0.42499999999999999</v>
      </c>
      <c r="F42" s="92">
        <v>4.7E-2</v>
      </c>
      <c r="G42" s="317">
        <v>397.24</v>
      </c>
      <c r="H42" s="317">
        <v>5.5</v>
      </c>
      <c r="I42" s="320">
        <v>5.5</v>
      </c>
      <c r="J42" s="25">
        <v>7.3999999999999996E-2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45" customHeight="1" x14ac:dyDescent="0.2">
      <c r="A43" s="323" t="s">
        <v>555</v>
      </c>
      <c r="B43" s="18"/>
      <c r="C43" s="325">
        <v>0</v>
      </c>
      <c r="D43" s="90">
        <v>3.0619999999999998</v>
      </c>
      <c r="E43" s="91">
        <v>0.36699999999999999</v>
      </c>
      <c r="F43" s="92">
        <v>2.5999999999999999E-2</v>
      </c>
      <c r="G43" s="317">
        <v>9.65</v>
      </c>
      <c r="H43" s="317">
        <v>7.69</v>
      </c>
      <c r="I43" s="320">
        <v>7.69</v>
      </c>
      <c r="J43" s="25">
        <v>6.5000000000000002E-2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45" customHeight="1" x14ac:dyDescent="0.2">
      <c r="A44" s="323" t="s">
        <v>556</v>
      </c>
      <c r="B44" s="24"/>
      <c r="C44" s="325">
        <v>0</v>
      </c>
      <c r="D44" s="90">
        <v>3.0619999999999998</v>
      </c>
      <c r="E44" s="91">
        <v>0.36699999999999999</v>
      </c>
      <c r="F44" s="92">
        <v>2.5999999999999999E-2</v>
      </c>
      <c r="G44" s="317">
        <v>135.37</v>
      </c>
      <c r="H44" s="317">
        <v>7.69</v>
      </c>
      <c r="I44" s="320">
        <v>7.69</v>
      </c>
      <c r="J44" s="25">
        <v>6.5000000000000002E-2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45" customHeight="1" x14ac:dyDescent="0.2">
      <c r="A45" s="323" t="s">
        <v>557</v>
      </c>
      <c r="B45" s="18"/>
      <c r="C45" s="325">
        <v>0</v>
      </c>
      <c r="D45" s="90">
        <v>3.0619999999999998</v>
      </c>
      <c r="E45" s="91">
        <v>0.36699999999999999</v>
      </c>
      <c r="F45" s="92">
        <v>2.5999999999999999E-2</v>
      </c>
      <c r="G45" s="317">
        <v>232.97</v>
      </c>
      <c r="H45" s="317">
        <v>7.69</v>
      </c>
      <c r="I45" s="320">
        <v>7.69</v>
      </c>
      <c r="J45" s="25">
        <v>6.5000000000000002E-2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45" customHeight="1" x14ac:dyDescent="0.2">
      <c r="A46" s="323" t="s">
        <v>558</v>
      </c>
      <c r="B46" s="18"/>
      <c r="C46" s="325">
        <v>0</v>
      </c>
      <c r="D46" s="90">
        <v>3.0619999999999998</v>
      </c>
      <c r="E46" s="91">
        <v>0.36699999999999999</v>
      </c>
      <c r="F46" s="92">
        <v>2.5999999999999999E-2</v>
      </c>
      <c r="G46" s="317">
        <v>360.57</v>
      </c>
      <c r="H46" s="317">
        <v>7.69</v>
      </c>
      <c r="I46" s="320">
        <v>7.69</v>
      </c>
      <c r="J46" s="25">
        <v>6.5000000000000002E-2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45" customHeight="1" x14ac:dyDescent="0.2">
      <c r="A47" s="323" t="s">
        <v>559</v>
      </c>
      <c r="B47" s="18"/>
      <c r="C47" s="325">
        <v>0</v>
      </c>
      <c r="D47" s="90">
        <v>3.0619999999999998</v>
      </c>
      <c r="E47" s="91">
        <v>0.36699999999999999</v>
      </c>
      <c r="F47" s="92">
        <v>2.5999999999999999E-2</v>
      </c>
      <c r="G47" s="317">
        <v>645.03</v>
      </c>
      <c r="H47" s="317">
        <v>7.69</v>
      </c>
      <c r="I47" s="320">
        <v>7.69</v>
      </c>
      <c r="J47" s="25">
        <v>6.5000000000000002E-2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45" customHeight="1" x14ac:dyDescent="0.2">
      <c r="A48" s="323" t="s">
        <v>560</v>
      </c>
      <c r="B48" s="18"/>
      <c r="C48" s="325">
        <v>0</v>
      </c>
      <c r="D48" s="90">
        <v>1.722</v>
      </c>
      <c r="E48" s="91">
        <v>0.19500000000000001</v>
      </c>
      <c r="F48" s="92">
        <v>0.01</v>
      </c>
      <c r="G48" s="317">
        <v>102.14</v>
      </c>
      <c r="H48" s="317">
        <v>8.8800000000000008</v>
      </c>
      <c r="I48" s="320">
        <v>8.8800000000000008</v>
      </c>
      <c r="J48" s="25">
        <v>3.3000000000000002E-2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45" customHeight="1" x14ac:dyDescent="0.2">
      <c r="A49" s="323" t="s">
        <v>561</v>
      </c>
      <c r="B49" s="18"/>
      <c r="C49" s="325">
        <v>0</v>
      </c>
      <c r="D49" s="90">
        <v>1.722</v>
      </c>
      <c r="E49" s="91">
        <v>0.19500000000000001</v>
      </c>
      <c r="F49" s="92">
        <v>0.01</v>
      </c>
      <c r="G49" s="317">
        <v>979.68</v>
      </c>
      <c r="H49" s="317">
        <v>8.8800000000000008</v>
      </c>
      <c r="I49" s="320">
        <v>8.8800000000000008</v>
      </c>
      <c r="J49" s="25">
        <v>3.3000000000000002E-2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45" customHeight="1" x14ac:dyDescent="0.2">
      <c r="A50" s="323" t="s">
        <v>562</v>
      </c>
      <c r="B50" s="24"/>
      <c r="C50" s="325">
        <v>0</v>
      </c>
      <c r="D50" s="90">
        <v>1.722</v>
      </c>
      <c r="E50" s="91">
        <v>0.19500000000000001</v>
      </c>
      <c r="F50" s="92">
        <v>0.01</v>
      </c>
      <c r="G50" s="317">
        <v>2739.47</v>
      </c>
      <c r="H50" s="317">
        <v>8.8800000000000008</v>
      </c>
      <c r="I50" s="320">
        <v>8.8800000000000008</v>
      </c>
      <c r="J50" s="25">
        <v>3.3000000000000002E-2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45" customHeight="1" x14ac:dyDescent="0.2">
      <c r="A51" s="323" t="s">
        <v>563</v>
      </c>
      <c r="B51" s="18"/>
      <c r="C51" s="325">
        <v>0</v>
      </c>
      <c r="D51" s="90">
        <v>1.722</v>
      </c>
      <c r="E51" s="91">
        <v>0.19500000000000001</v>
      </c>
      <c r="F51" s="92">
        <v>0.01</v>
      </c>
      <c r="G51" s="317">
        <v>5357.49</v>
      </c>
      <c r="H51" s="317">
        <v>8.8800000000000008</v>
      </c>
      <c r="I51" s="320">
        <v>8.8800000000000008</v>
      </c>
      <c r="J51" s="25">
        <v>3.3000000000000002E-2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45" customHeight="1" x14ac:dyDescent="0.2">
      <c r="A52" s="323" t="s">
        <v>564</v>
      </c>
      <c r="B52" s="18"/>
      <c r="C52" s="325">
        <v>0</v>
      </c>
      <c r="D52" s="90">
        <v>1.722</v>
      </c>
      <c r="E52" s="91">
        <v>0.19500000000000001</v>
      </c>
      <c r="F52" s="92">
        <v>0.01</v>
      </c>
      <c r="G52" s="317">
        <v>12021.82</v>
      </c>
      <c r="H52" s="317">
        <v>8.8800000000000008</v>
      </c>
      <c r="I52" s="320">
        <v>8.8800000000000008</v>
      </c>
      <c r="J52" s="25">
        <v>3.3000000000000002E-2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45" customHeight="1" x14ac:dyDescent="0.2">
      <c r="A53" s="323" t="s">
        <v>484</v>
      </c>
      <c r="B53" s="24"/>
      <c r="C53" s="325" t="s">
        <v>804</v>
      </c>
      <c r="D53" s="93">
        <v>21.321000000000002</v>
      </c>
      <c r="E53" s="94">
        <v>1.639</v>
      </c>
      <c r="F53" s="92">
        <v>0.97899999999999998</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45" customHeight="1" x14ac:dyDescent="0.2">
      <c r="A54" s="323" t="s">
        <v>513</v>
      </c>
      <c r="B54" s="24"/>
      <c r="C54" s="325">
        <v>0</v>
      </c>
      <c r="D54" s="90">
        <v>-7.5049999999999999</v>
      </c>
      <c r="E54" s="91">
        <v>-0.94399999999999995</v>
      </c>
      <c r="F54" s="92">
        <v>-0.11700000000000001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45" customHeight="1" x14ac:dyDescent="0.2">
      <c r="A55" s="323" t="s">
        <v>514</v>
      </c>
      <c r="B55" s="321"/>
      <c r="C55" s="325">
        <v>0</v>
      </c>
      <c r="D55" s="90">
        <v>-5.915</v>
      </c>
      <c r="E55" s="91">
        <v>-0.73799999999999999</v>
      </c>
      <c r="F55" s="92">
        <v>-8.5000000000000006E-2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45" customHeight="1" x14ac:dyDescent="0.2">
      <c r="A56" s="323" t="s">
        <v>515</v>
      </c>
      <c r="B56" s="24"/>
      <c r="C56" s="325">
        <v>0</v>
      </c>
      <c r="D56" s="90">
        <v>-7.5049999999999999</v>
      </c>
      <c r="E56" s="91">
        <v>-0.94399999999999995</v>
      </c>
      <c r="F56" s="92">
        <v>-0.11700000000000001</v>
      </c>
      <c r="G56" s="317" t="s">
        <v>797</v>
      </c>
      <c r="H56" s="318" t="s">
        <v>797</v>
      </c>
      <c r="I56" s="319" t="s">
        <v>797</v>
      </c>
      <c r="J56" s="25">
        <v>0.20899999999999999</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45" customHeight="1" x14ac:dyDescent="0.2">
      <c r="A57" s="323" t="s">
        <v>516</v>
      </c>
      <c r="B57" s="24"/>
      <c r="C57" s="325">
        <v>0</v>
      </c>
      <c r="D57" s="90">
        <v>-5.915</v>
      </c>
      <c r="E57" s="91">
        <v>-0.73799999999999999</v>
      </c>
      <c r="F57" s="92">
        <v>-8.5000000000000006E-2</v>
      </c>
      <c r="G57" s="317" t="s">
        <v>797</v>
      </c>
      <c r="H57" s="318" t="s">
        <v>797</v>
      </c>
      <c r="I57" s="319" t="s">
        <v>797</v>
      </c>
      <c r="J57" s="25">
        <v>0.14000000000000001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45" customHeight="1" x14ac:dyDescent="0.2">
      <c r="A58" s="323" t="s">
        <v>517</v>
      </c>
      <c r="B58" s="24"/>
      <c r="C58" s="325">
        <v>0</v>
      </c>
      <c r="D58" s="90">
        <v>-2.8889999999999998</v>
      </c>
      <c r="E58" s="91">
        <v>-0.34599999999999997</v>
      </c>
      <c r="F58" s="92">
        <v>-2.4E-2</v>
      </c>
      <c r="G58" s="317" t="s">
        <v>797</v>
      </c>
      <c r="H58" s="318" t="s">
        <v>797</v>
      </c>
      <c r="I58" s="319" t="s">
        <v>797</v>
      </c>
      <c r="J58" s="25">
        <v>0.11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45" customHeight="1" x14ac:dyDescent="0.2">
      <c r="A59" s="322" t="s">
        <v>682</v>
      </c>
      <c r="B59" s="24"/>
      <c r="C59" s="325" t="s">
        <v>802</v>
      </c>
      <c r="D59" s="90">
        <v>4.7919999999999998</v>
      </c>
      <c r="E59" s="91">
        <v>0.60199999999999998</v>
      </c>
      <c r="F59" s="92">
        <v>7.3999999999999996E-2</v>
      </c>
      <c r="G59" s="317">
        <v>6.65</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45" customHeight="1" x14ac:dyDescent="0.2">
      <c r="A60" s="322" t="s">
        <v>565</v>
      </c>
      <c r="B60" s="24"/>
      <c r="C60" s="325" t="s">
        <v>2031</v>
      </c>
      <c r="D60" s="90">
        <v>4.7919999999999998</v>
      </c>
      <c r="E60" s="91">
        <v>0.60199999999999998</v>
      </c>
      <c r="F60" s="92">
        <v>7.3999999999999996E-2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45" customHeight="1" x14ac:dyDescent="0.2">
      <c r="A61" s="322" t="s">
        <v>689</v>
      </c>
      <c r="B61" s="18"/>
      <c r="C61" s="325" t="s">
        <v>803</v>
      </c>
      <c r="D61" s="90">
        <v>4.3289999999999997</v>
      </c>
      <c r="E61" s="91">
        <v>0.54400000000000004</v>
      </c>
      <c r="F61" s="92">
        <v>6.7000000000000004E-2</v>
      </c>
      <c r="G61" s="317">
        <v>6.13</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45" customHeight="1" x14ac:dyDescent="0.2">
      <c r="A62" s="322" t="s">
        <v>696</v>
      </c>
      <c r="B62" s="24"/>
      <c r="C62" s="325" t="s">
        <v>803</v>
      </c>
      <c r="D62" s="90">
        <v>4.3289999999999997</v>
      </c>
      <c r="E62" s="91">
        <v>0.54400000000000004</v>
      </c>
      <c r="F62" s="92">
        <v>6.7000000000000004E-2</v>
      </c>
      <c r="G62" s="317">
        <v>7.85</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45" customHeight="1" x14ac:dyDescent="0.2">
      <c r="A63" s="322" t="s">
        <v>703</v>
      </c>
      <c r="B63" s="18"/>
      <c r="C63" s="325" t="s">
        <v>803</v>
      </c>
      <c r="D63" s="90">
        <v>4.3289999999999997</v>
      </c>
      <c r="E63" s="91">
        <v>0.54400000000000004</v>
      </c>
      <c r="F63" s="92">
        <v>6.7000000000000004E-2</v>
      </c>
      <c r="G63" s="317">
        <v>12.79</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45" customHeight="1" x14ac:dyDescent="0.2">
      <c r="A64" s="322" t="s">
        <v>710</v>
      </c>
      <c r="B64" s="18"/>
      <c r="C64" s="325" t="s">
        <v>803</v>
      </c>
      <c r="D64" s="90">
        <v>4.3289999999999997</v>
      </c>
      <c r="E64" s="91">
        <v>0.54400000000000004</v>
      </c>
      <c r="F64" s="92">
        <v>6.7000000000000004E-2</v>
      </c>
      <c r="G64" s="317">
        <v>20.46</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45" customHeight="1" x14ac:dyDescent="0.2">
      <c r="A65" s="322" t="s">
        <v>717</v>
      </c>
      <c r="B65" s="18"/>
      <c r="C65" s="325" t="s">
        <v>803</v>
      </c>
      <c r="D65" s="90">
        <v>4.3289999999999997</v>
      </c>
      <c r="E65" s="91">
        <v>0.54400000000000004</v>
      </c>
      <c r="F65" s="92">
        <v>6.7000000000000004E-2</v>
      </c>
      <c r="G65" s="317">
        <v>43.22</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45" customHeight="1" x14ac:dyDescent="0.2">
      <c r="A66" s="322" t="s">
        <v>485</v>
      </c>
      <c r="B66" s="24"/>
      <c r="C66" s="325" t="s">
        <v>2032</v>
      </c>
      <c r="D66" s="90">
        <v>4.3289999999999997</v>
      </c>
      <c r="E66" s="91">
        <v>0.54400000000000004</v>
      </c>
      <c r="F66" s="92">
        <v>6.7000000000000004E-2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45" customHeight="1" x14ac:dyDescent="0.2">
      <c r="A67" s="322" t="s">
        <v>566</v>
      </c>
      <c r="B67" s="18"/>
      <c r="C67" s="325">
        <v>0</v>
      </c>
      <c r="D67" s="90">
        <v>2.7650000000000001</v>
      </c>
      <c r="E67" s="91">
        <v>0.34399999999999997</v>
      </c>
      <c r="F67" s="92">
        <v>3.7999999999999999E-2</v>
      </c>
      <c r="G67" s="317">
        <v>6.13</v>
      </c>
      <c r="H67" s="317">
        <v>4.45</v>
      </c>
      <c r="I67" s="320">
        <v>4.45</v>
      </c>
      <c r="J67" s="25">
        <v>0.06</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45" customHeight="1" x14ac:dyDescent="0.2">
      <c r="A68" s="322" t="s">
        <v>567</v>
      </c>
      <c r="B68" s="24"/>
      <c r="C68" s="325">
        <v>0</v>
      </c>
      <c r="D68" s="90">
        <v>2.7650000000000001</v>
      </c>
      <c r="E68" s="91">
        <v>0.34399999999999997</v>
      </c>
      <c r="F68" s="92">
        <v>3.7999999999999999E-2</v>
      </c>
      <c r="G68" s="317">
        <v>68.459999999999994</v>
      </c>
      <c r="H68" s="317">
        <v>4.45</v>
      </c>
      <c r="I68" s="320">
        <v>4.45</v>
      </c>
      <c r="J68" s="25">
        <v>0.06</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45" customHeight="1" x14ac:dyDescent="0.2">
      <c r="A69" s="322" t="s">
        <v>568</v>
      </c>
      <c r="B69" s="18"/>
      <c r="C69" s="325">
        <v>0</v>
      </c>
      <c r="D69" s="90">
        <v>2.7650000000000001</v>
      </c>
      <c r="E69" s="91">
        <v>0.34399999999999997</v>
      </c>
      <c r="F69" s="92">
        <v>3.7999999999999999E-2</v>
      </c>
      <c r="G69" s="317">
        <v>116.85</v>
      </c>
      <c r="H69" s="317">
        <v>4.45</v>
      </c>
      <c r="I69" s="320">
        <v>4.45</v>
      </c>
      <c r="J69" s="25">
        <v>0.06</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45" customHeight="1" x14ac:dyDescent="0.2">
      <c r="A70" s="322" t="s">
        <v>569</v>
      </c>
      <c r="B70" s="18"/>
      <c r="C70" s="325">
        <v>0</v>
      </c>
      <c r="D70" s="90">
        <v>2.7650000000000001</v>
      </c>
      <c r="E70" s="91">
        <v>0.34399999999999997</v>
      </c>
      <c r="F70" s="92">
        <v>3.7999999999999999E-2</v>
      </c>
      <c r="G70" s="317">
        <v>180.11</v>
      </c>
      <c r="H70" s="317">
        <v>4.45</v>
      </c>
      <c r="I70" s="320">
        <v>4.45</v>
      </c>
      <c r="J70" s="25">
        <v>0.06</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45" customHeight="1" x14ac:dyDescent="0.2">
      <c r="A71" s="322" t="s">
        <v>570</v>
      </c>
      <c r="B71" s="18"/>
      <c r="C71" s="325">
        <v>0</v>
      </c>
      <c r="D71" s="90">
        <v>2.7650000000000001</v>
      </c>
      <c r="E71" s="91">
        <v>0.34399999999999997</v>
      </c>
      <c r="F71" s="92">
        <v>3.7999999999999999E-2</v>
      </c>
      <c r="G71" s="317">
        <v>321.14</v>
      </c>
      <c r="H71" s="317">
        <v>4.45</v>
      </c>
      <c r="I71" s="320">
        <v>4.45</v>
      </c>
      <c r="J71" s="25">
        <v>0.06</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45" customHeight="1" x14ac:dyDescent="0.2">
      <c r="A72" s="322" t="s">
        <v>571</v>
      </c>
      <c r="B72" s="18"/>
      <c r="C72" s="325">
        <v>0</v>
      </c>
      <c r="D72" s="90">
        <v>2.4180000000000001</v>
      </c>
      <c r="E72" s="91">
        <v>0.28999999999999998</v>
      </c>
      <c r="F72" s="92">
        <v>0.02</v>
      </c>
      <c r="G72" s="317">
        <v>7.62</v>
      </c>
      <c r="H72" s="317">
        <v>6.08</v>
      </c>
      <c r="I72" s="320">
        <v>6.08</v>
      </c>
      <c r="J72" s="25">
        <v>5.1999999999999998E-2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45" customHeight="1" x14ac:dyDescent="0.2">
      <c r="A73" s="322" t="s">
        <v>572</v>
      </c>
      <c r="B73" s="24"/>
      <c r="C73" s="325">
        <v>0</v>
      </c>
      <c r="D73" s="90">
        <v>2.4180000000000001</v>
      </c>
      <c r="E73" s="91">
        <v>0.28999999999999998</v>
      </c>
      <c r="F73" s="92">
        <v>0.02</v>
      </c>
      <c r="G73" s="317">
        <v>106.92</v>
      </c>
      <c r="H73" s="317">
        <v>6.08</v>
      </c>
      <c r="I73" s="320">
        <v>6.08</v>
      </c>
      <c r="J73" s="25">
        <v>5.1999999999999998E-2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45" customHeight="1" x14ac:dyDescent="0.2">
      <c r="A74" s="322" t="s">
        <v>573</v>
      </c>
      <c r="B74" s="18"/>
      <c r="C74" s="325">
        <v>0</v>
      </c>
      <c r="D74" s="90">
        <v>2.4180000000000001</v>
      </c>
      <c r="E74" s="91">
        <v>0.28999999999999998</v>
      </c>
      <c r="F74" s="92">
        <v>0.02</v>
      </c>
      <c r="G74" s="317">
        <v>184.01</v>
      </c>
      <c r="H74" s="317">
        <v>6.08</v>
      </c>
      <c r="I74" s="320">
        <v>6.08</v>
      </c>
      <c r="J74" s="25">
        <v>5.1999999999999998E-2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45" customHeight="1" x14ac:dyDescent="0.2">
      <c r="A75" s="322" t="s">
        <v>574</v>
      </c>
      <c r="B75" s="18"/>
      <c r="C75" s="325">
        <v>0</v>
      </c>
      <c r="D75" s="90">
        <v>2.4180000000000001</v>
      </c>
      <c r="E75" s="91">
        <v>0.28999999999999998</v>
      </c>
      <c r="F75" s="92">
        <v>0.02</v>
      </c>
      <c r="G75" s="317">
        <v>284.79000000000002</v>
      </c>
      <c r="H75" s="317">
        <v>6.08</v>
      </c>
      <c r="I75" s="320">
        <v>6.08</v>
      </c>
      <c r="J75" s="25">
        <v>5.1999999999999998E-2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45" customHeight="1" x14ac:dyDescent="0.2">
      <c r="A76" s="322" t="s">
        <v>575</v>
      </c>
      <c r="B76" s="18"/>
      <c r="C76" s="325">
        <v>0</v>
      </c>
      <c r="D76" s="90">
        <v>2.4180000000000001</v>
      </c>
      <c r="E76" s="91">
        <v>0.28999999999999998</v>
      </c>
      <c r="F76" s="92">
        <v>0.02</v>
      </c>
      <c r="G76" s="317">
        <v>509.47</v>
      </c>
      <c r="H76" s="317">
        <v>6.08</v>
      </c>
      <c r="I76" s="320">
        <v>6.08</v>
      </c>
      <c r="J76" s="25">
        <v>5.1999999999999998E-2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45" customHeight="1" x14ac:dyDescent="0.2">
      <c r="A77" s="322" t="s">
        <v>576</v>
      </c>
      <c r="B77" s="18"/>
      <c r="C77" s="325">
        <v>0</v>
      </c>
      <c r="D77" s="90">
        <v>1.3460000000000001</v>
      </c>
      <c r="E77" s="91">
        <v>0.152</v>
      </c>
      <c r="F77" s="92">
        <v>8.0000000000000002E-3</v>
      </c>
      <c r="G77" s="317">
        <v>79.87</v>
      </c>
      <c r="H77" s="317">
        <v>6.95</v>
      </c>
      <c r="I77" s="320">
        <v>6.95</v>
      </c>
      <c r="J77" s="25">
        <v>2.5999999999999999E-2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45" customHeight="1" x14ac:dyDescent="0.2">
      <c r="A78" s="322" t="s">
        <v>577</v>
      </c>
      <c r="B78" s="24"/>
      <c r="C78" s="325">
        <v>0</v>
      </c>
      <c r="D78" s="90">
        <v>1.3460000000000001</v>
      </c>
      <c r="E78" s="91">
        <v>0.152</v>
      </c>
      <c r="F78" s="92">
        <v>8.0000000000000002E-3</v>
      </c>
      <c r="G78" s="317">
        <v>766.07</v>
      </c>
      <c r="H78" s="317">
        <v>6.95</v>
      </c>
      <c r="I78" s="320">
        <v>6.95</v>
      </c>
      <c r="J78" s="25">
        <v>2.5999999999999999E-2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45" customHeight="1" x14ac:dyDescent="0.2">
      <c r="A79" s="322" t="s">
        <v>578</v>
      </c>
      <c r="B79" s="18"/>
      <c r="C79" s="325">
        <v>0</v>
      </c>
      <c r="D79" s="90">
        <v>1.3460000000000001</v>
      </c>
      <c r="E79" s="91">
        <v>0.152</v>
      </c>
      <c r="F79" s="92">
        <v>8.0000000000000002E-3</v>
      </c>
      <c r="G79" s="317">
        <v>2142.15</v>
      </c>
      <c r="H79" s="317">
        <v>6.95</v>
      </c>
      <c r="I79" s="320">
        <v>6.95</v>
      </c>
      <c r="J79" s="25">
        <v>2.5999999999999999E-2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45" customHeight="1" x14ac:dyDescent="0.2">
      <c r="A80" s="322" t="s">
        <v>579</v>
      </c>
      <c r="B80" s="18"/>
      <c r="C80" s="325">
        <v>0</v>
      </c>
      <c r="D80" s="90">
        <v>1.3460000000000001</v>
      </c>
      <c r="E80" s="91">
        <v>0.152</v>
      </c>
      <c r="F80" s="92">
        <v>8.0000000000000002E-3</v>
      </c>
      <c r="G80" s="317">
        <v>4189.34</v>
      </c>
      <c r="H80" s="317">
        <v>6.95</v>
      </c>
      <c r="I80" s="320">
        <v>6.95</v>
      </c>
      <c r="J80" s="25">
        <v>2.5999999999999999E-2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45" customHeight="1" x14ac:dyDescent="0.2">
      <c r="A81" s="322" t="s">
        <v>580</v>
      </c>
      <c r="B81" s="18"/>
      <c r="C81" s="325">
        <v>0</v>
      </c>
      <c r="D81" s="90">
        <v>1.3460000000000001</v>
      </c>
      <c r="E81" s="91">
        <v>0.152</v>
      </c>
      <c r="F81" s="92">
        <v>8.0000000000000002E-3</v>
      </c>
      <c r="G81" s="317">
        <v>9400.56</v>
      </c>
      <c r="H81" s="317">
        <v>6.95</v>
      </c>
      <c r="I81" s="320">
        <v>6.95</v>
      </c>
      <c r="J81" s="25">
        <v>2.5999999999999999E-2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45" customHeight="1" x14ac:dyDescent="0.2">
      <c r="A82" s="322" t="s">
        <v>486</v>
      </c>
      <c r="B82" s="24"/>
      <c r="C82" s="325" t="s">
        <v>804</v>
      </c>
      <c r="D82" s="93">
        <v>17.236000000000001</v>
      </c>
      <c r="E82" s="94">
        <v>1.325</v>
      </c>
      <c r="F82" s="92">
        <v>0.79100000000000004</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45" customHeight="1" x14ac:dyDescent="0.2">
      <c r="A83" s="322" t="s">
        <v>518</v>
      </c>
      <c r="B83" s="24"/>
      <c r="C83" s="325">
        <v>0</v>
      </c>
      <c r="D83" s="90">
        <v>-4.7430000000000003</v>
      </c>
      <c r="E83" s="91">
        <v>-0.59599999999999997</v>
      </c>
      <c r="F83" s="92">
        <v>-7.3999999999999996E-2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45" customHeight="1" x14ac:dyDescent="0.2">
      <c r="A84" s="322" t="s">
        <v>519</v>
      </c>
      <c r="B84" s="321"/>
      <c r="C84" s="325">
        <v>0</v>
      </c>
      <c r="D84" s="90">
        <v>-4.2409999999999997</v>
      </c>
      <c r="E84" s="91">
        <v>-0.52900000000000003</v>
      </c>
      <c r="F84" s="92">
        <v>-6.0999999999999999E-2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45" customHeight="1" x14ac:dyDescent="0.2">
      <c r="A85" s="322" t="s">
        <v>520</v>
      </c>
      <c r="B85" s="24"/>
      <c r="C85" s="325">
        <v>0</v>
      </c>
      <c r="D85" s="90">
        <v>-4.7430000000000003</v>
      </c>
      <c r="E85" s="91">
        <v>-0.59599999999999997</v>
      </c>
      <c r="F85" s="92">
        <v>-7.3999999999999996E-2</v>
      </c>
      <c r="G85" s="317" t="s">
        <v>797</v>
      </c>
      <c r="H85" s="318" t="s">
        <v>797</v>
      </c>
      <c r="I85" s="319" t="s">
        <v>797</v>
      </c>
      <c r="J85" s="25">
        <v>0.13200000000000001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45" customHeight="1" x14ac:dyDescent="0.2">
      <c r="A86" s="322" t="s">
        <v>521</v>
      </c>
      <c r="B86" s="24"/>
      <c r="C86" s="325">
        <v>0</v>
      </c>
      <c r="D86" s="90">
        <v>-4.2409999999999997</v>
      </c>
      <c r="E86" s="91">
        <v>-0.52900000000000003</v>
      </c>
      <c r="F86" s="92">
        <v>-6.0999999999999999E-2</v>
      </c>
      <c r="G86" s="317" t="s">
        <v>797</v>
      </c>
      <c r="H86" s="318" t="s">
        <v>797</v>
      </c>
      <c r="I86" s="319" t="s">
        <v>797</v>
      </c>
      <c r="J86" s="25">
        <v>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45" customHeight="1" x14ac:dyDescent="0.2">
      <c r="A87" s="322" t="s">
        <v>522</v>
      </c>
      <c r="B87" s="24"/>
      <c r="C87" s="325">
        <v>0</v>
      </c>
      <c r="D87" s="90">
        <v>-2.8889999999999998</v>
      </c>
      <c r="E87" s="91">
        <v>-0.34599999999999997</v>
      </c>
      <c r="F87" s="92">
        <v>-2.4E-2</v>
      </c>
      <c r="G87" s="317">
        <v>69.709999999999994</v>
      </c>
      <c r="H87" s="318" t="s">
        <v>797</v>
      </c>
      <c r="I87" s="319" t="s">
        <v>797</v>
      </c>
      <c r="J87" s="25">
        <v>0.11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45" customHeight="1" x14ac:dyDescent="0.2">
      <c r="A88" s="322" t="s">
        <v>683</v>
      </c>
      <c r="B88" s="24"/>
      <c r="C88" s="325" t="s">
        <v>802</v>
      </c>
      <c r="D88" s="90">
        <v>3.8730000000000002</v>
      </c>
      <c r="E88" s="91">
        <v>0.48699999999999999</v>
      </c>
      <c r="F88" s="92">
        <v>0.06</v>
      </c>
      <c r="G88" s="317">
        <v>5.38</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45" customHeight="1" x14ac:dyDescent="0.2">
      <c r="A89" s="322" t="s">
        <v>581</v>
      </c>
      <c r="B89" s="24"/>
      <c r="C89" s="325" t="s">
        <v>2031</v>
      </c>
      <c r="D89" s="90">
        <v>3.8730000000000002</v>
      </c>
      <c r="E89" s="91">
        <v>0.48699999999999999</v>
      </c>
      <c r="F89" s="92">
        <v>0.06</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45" customHeight="1" x14ac:dyDescent="0.2">
      <c r="A90" s="322" t="s">
        <v>690</v>
      </c>
      <c r="B90" s="18"/>
      <c r="C90" s="325" t="s">
        <v>803</v>
      </c>
      <c r="D90" s="90">
        <v>3.5</v>
      </c>
      <c r="E90" s="91">
        <v>0.44</v>
      </c>
      <c r="F90" s="92">
        <v>5.3999999999999999E-2</v>
      </c>
      <c r="G90" s="317">
        <v>4.96</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45" customHeight="1" x14ac:dyDescent="0.2">
      <c r="A91" s="322" t="s">
        <v>697</v>
      </c>
      <c r="B91" s="24"/>
      <c r="C91" s="325" t="s">
        <v>803</v>
      </c>
      <c r="D91" s="90">
        <v>3.5</v>
      </c>
      <c r="E91" s="91">
        <v>0.44</v>
      </c>
      <c r="F91" s="92">
        <v>5.3999999999999999E-2</v>
      </c>
      <c r="G91" s="317">
        <v>6.35</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45" customHeight="1" x14ac:dyDescent="0.2">
      <c r="A92" s="322" t="s">
        <v>704</v>
      </c>
      <c r="B92" s="18"/>
      <c r="C92" s="325" t="s">
        <v>803</v>
      </c>
      <c r="D92" s="90">
        <v>3.5</v>
      </c>
      <c r="E92" s="91">
        <v>0.44</v>
      </c>
      <c r="F92" s="92">
        <v>5.3999999999999999E-2</v>
      </c>
      <c r="G92" s="317">
        <v>10.34</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45" customHeight="1" x14ac:dyDescent="0.2">
      <c r="A93" s="322" t="s">
        <v>711</v>
      </c>
      <c r="B93" s="18"/>
      <c r="C93" s="325" t="s">
        <v>803</v>
      </c>
      <c r="D93" s="90">
        <v>3.5</v>
      </c>
      <c r="E93" s="91">
        <v>0.44</v>
      </c>
      <c r="F93" s="92">
        <v>5.3999999999999999E-2</v>
      </c>
      <c r="G93" s="317">
        <v>16.54</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45" customHeight="1" x14ac:dyDescent="0.2">
      <c r="A94" s="322" t="s">
        <v>718</v>
      </c>
      <c r="B94" s="18"/>
      <c r="C94" s="325" t="s">
        <v>803</v>
      </c>
      <c r="D94" s="90">
        <v>3.5</v>
      </c>
      <c r="E94" s="91">
        <v>0.44</v>
      </c>
      <c r="F94" s="92">
        <v>5.3999999999999999E-2</v>
      </c>
      <c r="G94" s="317">
        <v>34.94</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45" customHeight="1" x14ac:dyDescent="0.2">
      <c r="A95" s="322" t="s">
        <v>487</v>
      </c>
      <c r="B95" s="24"/>
      <c r="C95" s="325" t="s">
        <v>2032</v>
      </c>
      <c r="D95" s="90">
        <v>3.5</v>
      </c>
      <c r="E95" s="91">
        <v>0.44</v>
      </c>
      <c r="F95" s="92">
        <v>5.3999999999999999E-2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45" customHeight="1" x14ac:dyDescent="0.2">
      <c r="A96" s="322" t="s">
        <v>582</v>
      </c>
      <c r="B96" s="18"/>
      <c r="C96" s="325">
        <v>0</v>
      </c>
      <c r="D96" s="90">
        <v>2.2349999999999999</v>
      </c>
      <c r="E96" s="91">
        <v>0.27800000000000002</v>
      </c>
      <c r="F96" s="92">
        <v>3.1E-2</v>
      </c>
      <c r="G96" s="317">
        <v>4.96</v>
      </c>
      <c r="H96" s="317">
        <v>3.59</v>
      </c>
      <c r="I96" s="320">
        <v>3.59</v>
      </c>
      <c r="J96" s="25">
        <v>4.9000000000000002E-2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45" customHeight="1" x14ac:dyDescent="0.2">
      <c r="A97" s="322" t="s">
        <v>583</v>
      </c>
      <c r="B97" s="24"/>
      <c r="C97" s="325">
        <v>0</v>
      </c>
      <c r="D97" s="90">
        <v>2.2349999999999999</v>
      </c>
      <c r="E97" s="91">
        <v>0.27800000000000002</v>
      </c>
      <c r="F97" s="92">
        <v>3.1E-2</v>
      </c>
      <c r="G97" s="317">
        <v>55.34</v>
      </c>
      <c r="H97" s="317">
        <v>3.59</v>
      </c>
      <c r="I97" s="320">
        <v>3.59</v>
      </c>
      <c r="J97" s="25">
        <v>4.9000000000000002E-2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45" customHeight="1" x14ac:dyDescent="0.2">
      <c r="A98" s="322" t="s">
        <v>584</v>
      </c>
      <c r="B98" s="18"/>
      <c r="C98" s="325">
        <v>0</v>
      </c>
      <c r="D98" s="90">
        <v>2.2349999999999999</v>
      </c>
      <c r="E98" s="91">
        <v>0.27800000000000002</v>
      </c>
      <c r="F98" s="92">
        <v>3.1E-2</v>
      </c>
      <c r="G98" s="317">
        <v>94.46</v>
      </c>
      <c r="H98" s="317">
        <v>3.59</v>
      </c>
      <c r="I98" s="320">
        <v>3.59</v>
      </c>
      <c r="J98" s="25">
        <v>4.9000000000000002E-2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45" customHeight="1" x14ac:dyDescent="0.2">
      <c r="A99" s="322" t="s">
        <v>585</v>
      </c>
      <c r="B99" s="18"/>
      <c r="C99" s="325">
        <v>0</v>
      </c>
      <c r="D99" s="90">
        <v>2.2349999999999999</v>
      </c>
      <c r="E99" s="91">
        <v>0.27800000000000002</v>
      </c>
      <c r="F99" s="92">
        <v>3.1E-2</v>
      </c>
      <c r="G99" s="317">
        <v>145.59</v>
      </c>
      <c r="H99" s="317">
        <v>3.59</v>
      </c>
      <c r="I99" s="320">
        <v>3.59</v>
      </c>
      <c r="J99" s="25">
        <v>4.9000000000000002E-2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45" customHeight="1" x14ac:dyDescent="0.2">
      <c r="A100" s="322" t="s">
        <v>586</v>
      </c>
      <c r="B100" s="18"/>
      <c r="C100" s="325">
        <v>0</v>
      </c>
      <c r="D100" s="90">
        <v>2.2349999999999999</v>
      </c>
      <c r="E100" s="91">
        <v>0.27800000000000002</v>
      </c>
      <c r="F100" s="92">
        <v>3.1E-2</v>
      </c>
      <c r="G100" s="317">
        <v>259.58999999999997</v>
      </c>
      <c r="H100" s="317">
        <v>3.59</v>
      </c>
      <c r="I100" s="320">
        <v>3.59</v>
      </c>
      <c r="J100" s="25">
        <v>4.9000000000000002E-2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45" customHeight="1" x14ac:dyDescent="0.2">
      <c r="A101" s="322" t="s">
        <v>587</v>
      </c>
      <c r="B101" s="18"/>
      <c r="C101" s="325">
        <v>0</v>
      </c>
      <c r="D101" s="90">
        <v>1.9550000000000001</v>
      </c>
      <c r="E101" s="91">
        <v>0.23400000000000001</v>
      </c>
      <c r="F101" s="92">
        <v>1.6E-2</v>
      </c>
      <c r="G101" s="317">
        <v>6.16</v>
      </c>
      <c r="H101" s="317">
        <v>4.91</v>
      </c>
      <c r="I101" s="320">
        <v>4.91</v>
      </c>
      <c r="J101" s="25">
        <v>4.2000000000000003E-2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45" customHeight="1" x14ac:dyDescent="0.2">
      <c r="A102" s="322" t="s">
        <v>588</v>
      </c>
      <c r="B102" s="24"/>
      <c r="C102" s="325">
        <v>0</v>
      </c>
      <c r="D102" s="90">
        <v>1.9550000000000001</v>
      </c>
      <c r="E102" s="91">
        <v>0.23400000000000001</v>
      </c>
      <c r="F102" s="92">
        <v>1.6E-2</v>
      </c>
      <c r="G102" s="317">
        <v>86.43</v>
      </c>
      <c r="H102" s="317">
        <v>4.91</v>
      </c>
      <c r="I102" s="320">
        <v>4.91</v>
      </c>
      <c r="J102" s="25">
        <v>4.2000000000000003E-2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45" customHeight="1" x14ac:dyDescent="0.2">
      <c r="A103" s="322" t="s">
        <v>589</v>
      </c>
      <c r="B103" s="18"/>
      <c r="C103" s="325">
        <v>0</v>
      </c>
      <c r="D103" s="90">
        <v>1.9550000000000001</v>
      </c>
      <c r="E103" s="91">
        <v>0.23400000000000001</v>
      </c>
      <c r="F103" s="92">
        <v>1.6E-2</v>
      </c>
      <c r="G103" s="317">
        <v>148.75</v>
      </c>
      <c r="H103" s="317">
        <v>4.91</v>
      </c>
      <c r="I103" s="320">
        <v>4.91</v>
      </c>
      <c r="J103" s="25">
        <v>4.2000000000000003E-2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45" customHeight="1" x14ac:dyDescent="0.2">
      <c r="A104" s="322" t="s">
        <v>590</v>
      </c>
      <c r="B104" s="18"/>
      <c r="C104" s="325">
        <v>0</v>
      </c>
      <c r="D104" s="90">
        <v>1.9550000000000001</v>
      </c>
      <c r="E104" s="91">
        <v>0.23400000000000001</v>
      </c>
      <c r="F104" s="92">
        <v>1.6E-2</v>
      </c>
      <c r="G104" s="317">
        <v>230.21</v>
      </c>
      <c r="H104" s="317">
        <v>4.91</v>
      </c>
      <c r="I104" s="320">
        <v>4.91</v>
      </c>
      <c r="J104" s="25">
        <v>4.2000000000000003E-2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45" customHeight="1" x14ac:dyDescent="0.2">
      <c r="A105" s="322" t="s">
        <v>591</v>
      </c>
      <c r="B105" s="18"/>
      <c r="C105" s="325">
        <v>0</v>
      </c>
      <c r="D105" s="90">
        <v>1.9550000000000001</v>
      </c>
      <c r="E105" s="91">
        <v>0.23400000000000001</v>
      </c>
      <c r="F105" s="92">
        <v>1.6E-2</v>
      </c>
      <c r="G105" s="317">
        <v>411.84</v>
      </c>
      <c r="H105" s="317">
        <v>4.91</v>
      </c>
      <c r="I105" s="320">
        <v>4.91</v>
      </c>
      <c r="J105" s="25">
        <v>4.2000000000000003E-2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45" customHeight="1" x14ac:dyDescent="0.2">
      <c r="A106" s="322" t="s">
        <v>592</v>
      </c>
      <c r="B106" s="18"/>
      <c r="C106" s="325">
        <v>0</v>
      </c>
      <c r="D106" s="90">
        <v>1.0880000000000001</v>
      </c>
      <c r="E106" s="91">
        <v>0.123</v>
      </c>
      <c r="F106" s="92">
        <v>6.0000000000000001E-3</v>
      </c>
      <c r="G106" s="317">
        <v>64.56</v>
      </c>
      <c r="H106" s="317">
        <v>5.62</v>
      </c>
      <c r="I106" s="320">
        <v>5.62</v>
      </c>
      <c r="J106" s="25">
        <v>2.1000000000000001E-2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45" customHeight="1" x14ac:dyDescent="0.2">
      <c r="A107" s="322" t="s">
        <v>593</v>
      </c>
      <c r="B107" s="24"/>
      <c r="C107" s="325">
        <v>0</v>
      </c>
      <c r="D107" s="90">
        <v>1.0880000000000001</v>
      </c>
      <c r="E107" s="91">
        <v>0.123</v>
      </c>
      <c r="F107" s="92">
        <v>6.0000000000000001E-3</v>
      </c>
      <c r="G107" s="317">
        <v>619.26</v>
      </c>
      <c r="H107" s="317">
        <v>5.62</v>
      </c>
      <c r="I107" s="320">
        <v>5.62</v>
      </c>
      <c r="J107" s="25">
        <v>2.1000000000000001E-2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45" customHeight="1" x14ac:dyDescent="0.2">
      <c r="A108" s="322" t="s">
        <v>594</v>
      </c>
      <c r="B108" s="18"/>
      <c r="C108" s="325">
        <v>0</v>
      </c>
      <c r="D108" s="90">
        <v>1.0880000000000001</v>
      </c>
      <c r="E108" s="91">
        <v>0.123</v>
      </c>
      <c r="F108" s="92">
        <v>6.0000000000000001E-3</v>
      </c>
      <c r="G108" s="317">
        <v>1731.62</v>
      </c>
      <c r="H108" s="317">
        <v>5.62</v>
      </c>
      <c r="I108" s="320">
        <v>5.62</v>
      </c>
      <c r="J108" s="25">
        <v>2.1000000000000001E-2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45" customHeight="1" x14ac:dyDescent="0.2">
      <c r="A109" s="322" t="s">
        <v>595</v>
      </c>
      <c r="B109" s="18"/>
      <c r="C109" s="325">
        <v>0</v>
      </c>
      <c r="D109" s="90">
        <v>1.0880000000000001</v>
      </c>
      <c r="E109" s="91">
        <v>0.123</v>
      </c>
      <c r="F109" s="92">
        <v>6.0000000000000001E-3</v>
      </c>
      <c r="G109" s="317">
        <v>3386.47</v>
      </c>
      <c r="H109" s="317">
        <v>5.62</v>
      </c>
      <c r="I109" s="320">
        <v>5.62</v>
      </c>
      <c r="J109" s="25">
        <v>2.1000000000000001E-2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45" customHeight="1" x14ac:dyDescent="0.2">
      <c r="A110" s="322" t="s">
        <v>596</v>
      </c>
      <c r="B110" s="18"/>
      <c r="C110" s="325">
        <v>0</v>
      </c>
      <c r="D110" s="90">
        <v>1.0880000000000001</v>
      </c>
      <c r="E110" s="91">
        <v>0.123</v>
      </c>
      <c r="F110" s="92">
        <v>6.0000000000000001E-3</v>
      </c>
      <c r="G110" s="317">
        <v>7598.99</v>
      </c>
      <c r="H110" s="317">
        <v>5.62</v>
      </c>
      <c r="I110" s="320">
        <v>5.62</v>
      </c>
      <c r="J110" s="25">
        <v>2.1000000000000001E-2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45" customHeight="1" x14ac:dyDescent="0.2">
      <c r="A111" s="322" t="s">
        <v>488</v>
      </c>
      <c r="B111" s="24"/>
      <c r="C111" s="325" t="s">
        <v>804</v>
      </c>
      <c r="D111" s="93">
        <v>13.933</v>
      </c>
      <c r="E111" s="94">
        <v>1.071</v>
      </c>
      <c r="F111" s="92">
        <v>0.63900000000000001</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45" customHeight="1" x14ac:dyDescent="0.2">
      <c r="A112" s="322" t="s">
        <v>523</v>
      </c>
      <c r="B112" s="24"/>
      <c r="C112" s="325">
        <v>0</v>
      </c>
      <c r="D112" s="90">
        <v>-3.8340000000000001</v>
      </c>
      <c r="E112" s="91">
        <v>-0.48199999999999998</v>
      </c>
      <c r="F112" s="92">
        <v>-0.06</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45" customHeight="1" x14ac:dyDescent="0.2">
      <c r="A113" s="322" t="s">
        <v>524</v>
      </c>
      <c r="B113" s="24"/>
      <c r="C113" s="325">
        <v>0</v>
      </c>
      <c r="D113" s="90">
        <v>-3.4289999999999998</v>
      </c>
      <c r="E113" s="91">
        <v>-0.42799999999999999</v>
      </c>
      <c r="F113" s="92">
        <v>-4.9000000000000002E-2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45" customHeight="1" x14ac:dyDescent="0.2">
      <c r="A114" s="322" t="s">
        <v>525</v>
      </c>
      <c r="B114" s="24"/>
      <c r="C114" s="325">
        <v>0</v>
      </c>
      <c r="D114" s="90">
        <v>-3.8340000000000001</v>
      </c>
      <c r="E114" s="91">
        <v>-0.48199999999999998</v>
      </c>
      <c r="F114" s="92">
        <v>-0.06</v>
      </c>
      <c r="G114" s="317" t="s">
        <v>797</v>
      </c>
      <c r="H114" s="318" t="s">
        <v>797</v>
      </c>
      <c r="I114" s="319" t="s">
        <v>797</v>
      </c>
      <c r="J114" s="25">
        <v>0.107</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45" customHeight="1" x14ac:dyDescent="0.2">
      <c r="A115" s="322" t="s">
        <v>526</v>
      </c>
      <c r="B115" s="24"/>
      <c r="C115" s="325">
        <v>0</v>
      </c>
      <c r="D115" s="90">
        <v>-3.4289999999999998</v>
      </c>
      <c r="E115" s="91">
        <v>-0.42799999999999999</v>
      </c>
      <c r="F115" s="92">
        <v>-4.9000000000000002E-2</v>
      </c>
      <c r="G115" s="317" t="s">
        <v>797</v>
      </c>
      <c r="H115" s="318" t="s">
        <v>797</v>
      </c>
      <c r="I115" s="319" t="s">
        <v>797</v>
      </c>
      <c r="J115" s="25">
        <v>8.1000000000000003E-2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45" customHeight="1" x14ac:dyDescent="0.2">
      <c r="A116" s="322" t="s">
        <v>527</v>
      </c>
      <c r="B116" s="24"/>
      <c r="C116" s="325">
        <v>0</v>
      </c>
      <c r="D116" s="90">
        <v>-2.335</v>
      </c>
      <c r="E116" s="91">
        <v>-0.28000000000000003</v>
      </c>
      <c r="F116" s="92">
        <v>-1.9E-2</v>
      </c>
      <c r="G116" s="317">
        <v>56.35</v>
      </c>
      <c r="H116" s="318" t="s">
        <v>797</v>
      </c>
      <c r="I116" s="319" t="s">
        <v>797</v>
      </c>
      <c r="J116" s="25">
        <v>8.8999999999999996E-2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45" customHeight="1" x14ac:dyDescent="0.2">
      <c r="A117" s="322" t="s">
        <v>684</v>
      </c>
      <c r="B117" s="24"/>
      <c r="C117" s="325" t="s">
        <v>802</v>
      </c>
      <c r="D117" s="90">
        <v>3.7130000000000001</v>
      </c>
      <c r="E117" s="91">
        <v>0.46700000000000003</v>
      </c>
      <c r="F117" s="92">
        <v>5.8000000000000003E-2</v>
      </c>
      <c r="G117" s="317">
        <v>5.16</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45" customHeight="1" x14ac:dyDescent="0.2">
      <c r="A118" s="322" t="s">
        <v>597</v>
      </c>
      <c r="B118" s="24"/>
      <c r="C118" s="325" t="s">
        <v>2031</v>
      </c>
      <c r="D118" s="90">
        <v>3.7130000000000001</v>
      </c>
      <c r="E118" s="91">
        <v>0.46700000000000003</v>
      </c>
      <c r="F118" s="92">
        <v>5.8000000000000003E-2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45" customHeight="1" x14ac:dyDescent="0.2">
      <c r="A119" s="322" t="s">
        <v>691</v>
      </c>
      <c r="B119" s="18"/>
      <c r="C119" s="325" t="s">
        <v>803</v>
      </c>
      <c r="D119" s="90">
        <v>3.355</v>
      </c>
      <c r="E119" s="91">
        <v>0.42199999999999999</v>
      </c>
      <c r="F119" s="92">
        <v>5.1999999999999998E-2</v>
      </c>
      <c r="G119" s="317">
        <v>4.75</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45" customHeight="1" x14ac:dyDescent="0.2">
      <c r="A120" s="322" t="s">
        <v>698</v>
      </c>
      <c r="B120" s="24"/>
      <c r="C120" s="325" t="s">
        <v>803</v>
      </c>
      <c r="D120" s="90">
        <v>3.355</v>
      </c>
      <c r="E120" s="91">
        <v>0.42199999999999999</v>
      </c>
      <c r="F120" s="92">
        <v>5.1999999999999998E-2</v>
      </c>
      <c r="G120" s="317">
        <v>6.08</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45" customHeight="1" x14ac:dyDescent="0.2">
      <c r="A121" s="322" t="s">
        <v>705</v>
      </c>
      <c r="B121" s="18"/>
      <c r="C121" s="325" t="s">
        <v>803</v>
      </c>
      <c r="D121" s="90">
        <v>3.355</v>
      </c>
      <c r="E121" s="91">
        <v>0.42199999999999999</v>
      </c>
      <c r="F121" s="92">
        <v>5.1999999999999998E-2</v>
      </c>
      <c r="G121" s="317">
        <v>9.91</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45" customHeight="1" x14ac:dyDescent="0.2">
      <c r="A122" s="322" t="s">
        <v>712</v>
      </c>
      <c r="B122" s="18"/>
      <c r="C122" s="325" t="s">
        <v>803</v>
      </c>
      <c r="D122" s="90">
        <v>3.355</v>
      </c>
      <c r="E122" s="91">
        <v>0.42199999999999999</v>
      </c>
      <c r="F122" s="92">
        <v>5.1999999999999998E-2</v>
      </c>
      <c r="G122" s="317">
        <v>15.86</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45" customHeight="1" x14ac:dyDescent="0.2">
      <c r="A123" s="322" t="s">
        <v>719</v>
      </c>
      <c r="B123" s="18"/>
      <c r="C123" s="325" t="s">
        <v>803</v>
      </c>
      <c r="D123" s="90">
        <v>3.355</v>
      </c>
      <c r="E123" s="91">
        <v>0.42199999999999999</v>
      </c>
      <c r="F123" s="92">
        <v>5.1999999999999998E-2</v>
      </c>
      <c r="G123" s="317">
        <v>33.49</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45" customHeight="1" x14ac:dyDescent="0.2">
      <c r="A124" s="322" t="s">
        <v>489</v>
      </c>
      <c r="B124" s="24"/>
      <c r="C124" s="325" t="s">
        <v>2032</v>
      </c>
      <c r="D124" s="90">
        <v>3.355</v>
      </c>
      <c r="E124" s="91">
        <v>0.42199999999999999</v>
      </c>
      <c r="F124" s="92">
        <v>5.1999999999999998E-2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45" customHeight="1" x14ac:dyDescent="0.2">
      <c r="A125" s="322" t="s">
        <v>598</v>
      </c>
      <c r="B125" s="18"/>
      <c r="C125" s="325">
        <v>0</v>
      </c>
      <c r="D125" s="90">
        <v>2.1429999999999998</v>
      </c>
      <c r="E125" s="91">
        <v>0.26600000000000001</v>
      </c>
      <c r="F125" s="92">
        <v>2.9000000000000001E-2</v>
      </c>
      <c r="G125" s="317">
        <v>4.75</v>
      </c>
      <c r="H125" s="317">
        <v>3.45</v>
      </c>
      <c r="I125" s="320">
        <v>3.45</v>
      </c>
      <c r="J125" s="25">
        <v>4.7E-2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45" customHeight="1" x14ac:dyDescent="0.2">
      <c r="A126" s="322" t="s">
        <v>599</v>
      </c>
      <c r="B126" s="24"/>
      <c r="C126" s="325">
        <v>0</v>
      </c>
      <c r="D126" s="90">
        <v>2.1429999999999998</v>
      </c>
      <c r="E126" s="91">
        <v>0.26600000000000001</v>
      </c>
      <c r="F126" s="92">
        <v>2.9000000000000001E-2</v>
      </c>
      <c r="G126" s="317">
        <v>53.05</v>
      </c>
      <c r="H126" s="317">
        <v>3.45</v>
      </c>
      <c r="I126" s="320">
        <v>3.45</v>
      </c>
      <c r="J126" s="25">
        <v>4.7E-2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45" customHeight="1" x14ac:dyDescent="0.2">
      <c r="A127" s="322" t="s">
        <v>600</v>
      </c>
      <c r="B127" s="18"/>
      <c r="C127" s="325">
        <v>0</v>
      </c>
      <c r="D127" s="90">
        <v>2.1429999999999998</v>
      </c>
      <c r="E127" s="91">
        <v>0.26600000000000001</v>
      </c>
      <c r="F127" s="92">
        <v>2.9000000000000001E-2</v>
      </c>
      <c r="G127" s="317">
        <v>90.54</v>
      </c>
      <c r="H127" s="317">
        <v>3.45</v>
      </c>
      <c r="I127" s="320">
        <v>3.45</v>
      </c>
      <c r="J127" s="25">
        <v>4.7E-2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45" customHeight="1" x14ac:dyDescent="0.2">
      <c r="A128" s="322" t="s">
        <v>601</v>
      </c>
      <c r="B128" s="18"/>
      <c r="C128" s="325">
        <v>0</v>
      </c>
      <c r="D128" s="90">
        <v>2.1429999999999998</v>
      </c>
      <c r="E128" s="91">
        <v>0.26600000000000001</v>
      </c>
      <c r="F128" s="92">
        <v>2.9000000000000001E-2</v>
      </c>
      <c r="G128" s="317">
        <v>139.56</v>
      </c>
      <c r="H128" s="317">
        <v>3.45</v>
      </c>
      <c r="I128" s="320">
        <v>3.45</v>
      </c>
      <c r="J128" s="25">
        <v>4.7E-2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45" customHeight="1" x14ac:dyDescent="0.2">
      <c r="A129" s="322" t="s">
        <v>602</v>
      </c>
      <c r="B129" s="18"/>
      <c r="C129" s="325">
        <v>0</v>
      </c>
      <c r="D129" s="90">
        <v>2.1429999999999998</v>
      </c>
      <c r="E129" s="91">
        <v>0.26600000000000001</v>
      </c>
      <c r="F129" s="92">
        <v>2.9000000000000001E-2</v>
      </c>
      <c r="G129" s="317">
        <v>248.84</v>
      </c>
      <c r="H129" s="317">
        <v>3.45</v>
      </c>
      <c r="I129" s="320">
        <v>3.45</v>
      </c>
      <c r="J129" s="25">
        <v>4.7E-2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45" customHeight="1" x14ac:dyDescent="0.2">
      <c r="A130" s="322" t="s">
        <v>603</v>
      </c>
      <c r="B130" s="18"/>
      <c r="C130" s="325">
        <v>0</v>
      </c>
      <c r="D130" s="90">
        <v>1.8740000000000001</v>
      </c>
      <c r="E130" s="91">
        <v>0.22500000000000001</v>
      </c>
      <c r="F130" s="92">
        <v>1.6E-2</v>
      </c>
      <c r="G130" s="317">
        <v>5.91</v>
      </c>
      <c r="H130" s="317">
        <v>4.71</v>
      </c>
      <c r="I130" s="320">
        <v>4.71</v>
      </c>
      <c r="J130" s="25">
        <v>0.04</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45" customHeight="1" x14ac:dyDescent="0.2">
      <c r="A131" s="322" t="s">
        <v>604</v>
      </c>
      <c r="B131" s="24"/>
      <c r="C131" s="325">
        <v>0</v>
      </c>
      <c r="D131" s="90">
        <v>1.8740000000000001</v>
      </c>
      <c r="E131" s="91">
        <v>0.22500000000000001</v>
      </c>
      <c r="F131" s="92">
        <v>1.6E-2</v>
      </c>
      <c r="G131" s="317">
        <v>82.85</v>
      </c>
      <c r="H131" s="317">
        <v>4.71</v>
      </c>
      <c r="I131" s="320">
        <v>4.71</v>
      </c>
      <c r="J131" s="25">
        <v>0.04</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45" customHeight="1" x14ac:dyDescent="0.2">
      <c r="A132" s="322" t="s">
        <v>605</v>
      </c>
      <c r="B132" s="18"/>
      <c r="C132" s="325">
        <v>0</v>
      </c>
      <c r="D132" s="90">
        <v>1.8740000000000001</v>
      </c>
      <c r="E132" s="91">
        <v>0.22500000000000001</v>
      </c>
      <c r="F132" s="92">
        <v>1.6E-2</v>
      </c>
      <c r="G132" s="317">
        <v>142.58000000000001</v>
      </c>
      <c r="H132" s="317">
        <v>4.71</v>
      </c>
      <c r="I132" s="320">
        <v>4.71</v>
      </c>
      <c r="J132" s="25">
        <v>0.04</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45" customHeight="1" x14ac:dyDescent="0.2">
      <c r="A133" s="322" t="s">
        <v>606</v>
      </c>
      <c r="B133" s="18"/>
      <c r="C133" s="325">
        <v>0</v>
      </c>
      <c r="D133" s="90">
        <v>1.8740000000000001</v>
      </c>
      <c r="E133" s="91">
        <v>0.22500000000000001</v>
      </c>
      <c r="F133" s="92">
        <v>1.6E-2</v>
      </c>
      <c r="G133" s="317">
        <v>220.67</v>
      </c>
      <c r="H133" s="317">
        <v>4.71</v>
      </c>
      <c r="I133" s="320">
        <v>4.71</v>
      </c>
      <c r="J133" s="25">
        <v>0.04</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45" customHeight="1" x14ac:dyDescent="0.2">
      <c r="A134" s="322" t="s">
        <v>607</v>
      </c>
      <c r="B134" s="18"/>
      <c r="C134" s="325">
        <v>0</v>
      </c>
      <c r="D134" s="90">
        <v>1.8740000000000001</v>
      </c>
      <c r="E134" s="91">
        <v>0.22500000000000001</v>
      </c>
      <c r="F134" s="92">
        <v>1.6E-2</v>
      </c>
      <c r="G134" s="317">
        <v>394.77</v>
      </c>
      <c r="H134" s="317">
        <v>4.71</v>
      </c>
      <c r="I134" s="320">
        <v>4.71</v>
      </c>
      <c r="J134" s="25">
        <v>0.04</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45" customHeight="1" x14ac:dyDescent="0.2">
      <c r="A135" s="322" t="s">
        <v>608</v>
      </c>
      <c r="B135" s="18"/>
      <c r="C135" s="325">
        <v>0</v>
      </c>
      <c r="D135" s="90">
        <v>1.0429999999999999</v>
      </c>
      <c r="E135" s="91">
        <v>0.11799999999999999</v>
      </c>
      <c r="F135" s="92">
        <v>6.0000000000000001E-3</v>
      </c>
      <c r="G135" s="317">
        <v>61.88</v>
      </c>
      <c r="H135" s="317">
        <v>5.38</v>
      </c>
      <c r="I135" s="320">
        <v>5.38</v>
      </c>
      <c r="J135" s="25">
        <v>0.02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45" customHeight="1" x14ac:dyDescent="0.2">
      <c r="A136" s="322" t="s">
        <v>609</v>
      </c>
      <c r="B136" s="24"/>
      <c r="C136" s="325">
        <v>0</v>
      </c>
      <c r="D136" s="90">
        <v>1.0429999999999999</v>
      </c>
      <c r="E136" s="91">
        <v>0.11799999999999999</v>
      </c>
      <c r="F136" s="92">
        <v>6.0000000000000001E-3</v>
      </c>
      <c r="G136" s="317">
        <v>593.59</v>
      </c>
      <c r="H136" s="317">
        <v>5.38</v>
      </c>
      <c r="I136" s="320">
        <v>5.38</v>
      </c>
      <c r="J136" s="25">
        <v>0.02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45" customHeight="1" x14ac:dyDescent="0.2">
      <c r="A137" s="322" t="s">
        <v>610</v>
      </c>
      <c r="B137" s="18"/>
      <c r="C137" s="325">
        <v>0</v>
      </c>
      <c r="D137" s="90">
        <v>1.0429999999999999</v>
      </c>
      <c r="E137" s="91">
        <v>0.11799999999999999</v>
      </c>
      <c r="F137" s="92">
        <v>6.0000000000000001E-3</v>
      </c>
      <c r="G137" s="317">
        <v>1659.85</v>
      </c>
      <c r="H137" s="317">
        <v>5.38</v>
      </c>
      <c r="I137" s="320">
        <v>5.38</v>
      </c>
      <c r="J137" s="25">
        <v>0.02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45" customHeight="1" x14ac:dyDescent="0.2">
      <c r="A138" s="322" t="s">
        <v>611</v>
      </c>
      <c r="B138" s="18"/>
      <c r="C138" s="325">
        <v>0</v>
      </c>
      <c r="D138" s="90">
        <v>1.0429999999999999</v>
      </c>
      <c r="E138" s="91">
        <v>0.11799999999999999</v>
      </c>
      <c r="F138" s="92">
        <v>6.0000000000000001E-3</v>
      </c>
      <c r="G138" s="317">
        <v>3246.11</v>
      </c>
      <c r="H138" s="317">
        <v>5.38</v>
      </c>
      <c r="I138" s="320">
        <v>5.38</v>
      </c>
      <c r="J138" s="25">
        <v>0.02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45" customHeight="1" x14ac:dyDescent="0.2">
      <c r="A139" s="322" t="s">
        <v>612</v>
      </c>
      <c r="B139" s="18"/>
      <c r="C139" s="325">
        <v>0</v>
      </c>
      <c r="D139" s="90">
        <v>1.0429999999999999</v>
      </c>
      <c r="E139" s="91">
        <v>0.11799999999999999</v>
      </c>
      <c r="F139" s="92">
        <v>6.0000000000000001E-3</v>
      </c>
      <c r="G139" s="317">
        <v>7284.03</v>
      </c>
      <c r="H139" s="317">
        <v>5.38</v>
      </c>
      <c r="I139" s="320">
        <v>5.38</v>
      </c>
      <c r="J139" s="25">
        <v>0.02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45" customHeight="1" x14ac:dyDescent="0.2">
      <c r="A140" s="322" t="s">
        <v>490</v>
      </c>
      <c r="B140" s="24"/>
      <c r="C140" s="325" t="s">
        <v>804</v>
      </c>
      <c r="D140" s="93">
        <v>13.355</v>
      </c>
      <c r="E140" s="94">
        <v>1.0269999999999999</v>
      </c>
      <c r="F140" s="92">
        <v>0.61299999999999999</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-3.6749999999999998</v>
      </c>
      <c r="E141" s="91">
        <v>-0.46200000000000002</v>
      </c>
      <c r="F141" s="92">
        <v>-5.7000000000000002E-2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-3.286</v>
      </c>
      <c r="E142" s="91">
        <v>-0.41</v>
      </c>
      <c r="F142" s="92">
        <v>-4.7E-2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-3.6749999999999998</v>
      </c>
      <c r="E143" s="91">
        <v>-0.46200000000000002</v>
      </c>
      <c r="F143" s="92">
        <v>-5.7000000000000002E-2</v>
      </c>
      <c r="G143" s="317" t="s">
        <v>797</v>
      </c>
      <c r="H143" s="318" t="s">
        <v>797</v>
      </c>
      <c r="I143" s="319" t="s">
        <v>797</v>
      </c>
      <c r="J143" s="25">
        <v>0.10199999999999999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-3.286</v>
      </c>
      <c r="E144" s="91">
        <v>-0.41</v>
      </c>
      <c r="F144" s="92">
        <v>-4.7E-2</v>
      </c>
      <c r="G144" s="317" t="s">
        <v>797</v>
      </c>
      <c r="H144" s="318" t="s">
        <v>797</v>
      </c>
      <c r="I144" s="319" t="s">
        <v>797</v>
      </c>
      <c r="J144" s="25">
        <v>7.8E-2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-2.238</v>
      </c>
      <c r="E145" s="91">
        <v>-0.26800000000000002</v>
      </c>
      <c r="F145" s="92">
        <v>-1.9E-2</v>
      </c>
      <c r="G145" s="317">
        <v>54.01</v>
      </c>
      <c r="H145" s="318" t="s">
        <v>797</v>
      </c>
      <c r="I145" s="319" t="s">
        <v>797</v>
      </c>
      <c r="J145" s="25">
        <v>8.5000000000000006E-2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2.4359999999999999</v>
      </c>
      <c r="E146" s="91">
        <v>0.30599999999999999</v>
      </c>
      <c r="F146" s="92">
        <v>3.7999999999999999E-2</v>
      </c>
      <c r="G146" s="317">
        <v>3.38</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2031</v>
      </c>
      <c r="D147" s="90">
        <v>2.4359999999999999</v>
      </c>
      <c r="E147" s="91">
        <v>0.30599999999999999</v>
      </c>
      <c r="F147" s="92">
        <v>3.7999999999999999E-2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2.2010000000000001</v>
      </c>
      <c r="E148" s="91">
        <v>0.27700000000000002</v>
      </c>
      <c r="F148" s="92">
        <v>3.4000000000000002E-2</v>
      </c>
      <c r="G148" s="317">
        <v>3.12</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2.2010000000000001</v>
      </c>
      <c r="E149" s="91">
        <v>0.27700000000000002</v>
      </c>
      <c r="F149" s="92">
        <v>3.4000000000000002E-2</v>
      </c>
      <c r="G149" s="317">
        <v>3.99</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2.2010000000000001</v>
      </c>
      <c r="E150" s="91">
        <v>0.27700000000000002</v>
      </c>
      <c r="F150" s="92">
        <v>3.4000000000000002E-2</v>
      </c>
      <c r="G150" s="317">
        <v>6.5</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2.2010000000000001</v>
      </c>
      <c r="E151" s="91">
        <v>0.27700000000000002</v>
      </c>
      <c r="F151" s="92">
        <v>3.4000000000000002E-2</v>
      </c>
      <c r="G151" s="317">
        <v>10.4</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2.2010000000000001</v>
      </c>
      <c r="E152" s="91">
        <v>0.27700000000000002</v>
      </c>
      <c r="F152" s="92">
        <v>3.4000000000000002E-2</v>
      </c>
      <c r="G152" s="317">
        <v>21.97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2032</v>
      </c>
      <c r="D153" s="90">
        <v>2.2010000000000001</v>
      </c>
      <c r="E153" s="91">
        <v>0.27700000000000002</v>
      </c>
      <c r="F153" s="92">
        <v>3.4000000000000002E-2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1.405</v>
      </c>
      <c r="E154" s="91">
        <v>0.17499999999999999</v>
      </c>
      <c r="F154" s="92">
        <v>1.9E-2</v>
      </c>
      <c r="G154" s="317">
        <v>3.12</v>
      </c>
      <c r="H154" s="317">
        <v>2.2599999999999998</v>
      </c>
      <c r="I154" s="320">
        <v>2.2599999999999998</v>
      </c>
      <c r="J154" s="25">
        <v>3.1E-2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1.405</v>
      </c>
      <c r="E155" s="91">
        <v>0.17499999999999999</v>
      </c>
      <c r="F155" s="92">
        <v>1.9E-2</v>
      </c>
      <c r="G155" s="317">
        <v>34.799999999999997</v>
      </c>
      <c r="H155" s="317">
        <v>2.2599999999999998</v>
      </c>
      <c r="I155" s="320">
        <v>2.2599999999999998</v>
      </c>
      <c r="J155" s="25">
        <v>3.1E-2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1.405</v>
      </c>
      <c r="E156" s="91">
        <v>0.17499999999999999</v>
      </c>
      <c r="F156" s="92">
        <v>1.9E-2</v>
      </c>
      <c r="G156" s="317">
        <v>59.39</v>
      </c>
      <c r="H156" s="317">
        <v>2.2599999999999998</v>
      </c>
      <c r="I156" s="320">
        <v>2.2599999999999998</v>
      </c>
      <c r="J156" s="25">
        <v>3.1E-2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1.405</v>
      </c>
      <c r="E157" s="91">
        <v>0.17499999999999999</v>
      </c>
      <c r="F157" s="92">
        <v>1.9E-2</v>
      </c>
      <c r="G157" s="317">
        <v>91.55</v>
      </c>
      <c r="H157" s="317">
        <v>2.2599999999999998</v>
      </c>
      <c r="I157" s="320">
        <v>2.2599999999999998</v>
      </c>
      <c r="J157" s="25">
        <v>3.1E-2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1.405</v>
      </c>
      <c r="E158" s="91">
        <v>0.17499999999999999</v>
      </c>
      <c r="F158" s="92">
        <v>1.9E-2</v>
      </c>
      <c r="G158" s="317">
        <v>163.22999999999999</v>
      </c>
      <c r="H158" s="317">
        <v>2.2599999999999998</v>
      </c>
      <c r="I158" s="320">
        <v>2.2599999999999998</v>
      </c>
      <c r="J158" s="25">
        <v>3.1E-2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1.2290000000000001</v>
      </c>
      <c r="E159" s="91">
        <v>0.14699999999999999</v>
      </c>
      <c r="F159" s="92">
        <v>0.01</v>
      </c>
      <c r="G159" s="317">
        <v>3.88</v>
      </c>
      <c r="H159" s="317">
        <v>3.09</v>
      </c>
      <c r="I159" s="320">
        <v>3.09</v>
      </c>
      <c r="J159" s="25">
        <v>2.5999999999999999E-2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1.2290000000000001</v>
      </c>
      <c r="E160" s="91">
        <v>0.14699999999999999</v>
      </c>
      <c r="F160" s="92">
        <v>0.01</v>
      </c>
      <c r="G160" s="317">
        <v>54.35</v>
      </c>
      <c r="H160" s="317">
        <v>3.09</v>
      </c>
      <c r="I160" s="320">
        <v>3.09</v>
      </c>
      <c r="J160" s="25">
        <v>2.5999999999999999E-2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1.2290000000000001</v>
      </c>
      <c r="E161" s="91">
        <v>0.14699999999999999</v>
      </c>
      <c r="F161" s="92">
        <v>0.01</v>
      </c>
      <c r="G161" s="317">
        <v>93.53</v>
      </c>
      <c r="H161" s="317">
        <v>3.09</v>
      </c>
      <c r="I161" s="320">
        <v>3.09</v>
      </c>
      <c r="J161" s="25">
        <v>2.5999999999999999E-2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1.2290000000000001</v>
      </c>
      <c r="E162" s="91">
        <v>0.14699999999999999</v>
      </c>
      <c r="F162" s="92">
        <v>0.01</v>
      </c>
      <c r="G162" s="317">
        <v>144.75</v>
      </c>
      <c r="H162" s="317">
        <v>3.09</v>
      </c>
      <c r="I162" s="320">
        <v>3.09</v>
      </c>
      <c r="J162" s="25">
        <v>2.5999999999999999E-2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1.2290000000000001</v>
      </c>
      <c r="E163" s="91">
        <v>0.14699999999999999</v>
      </c>
      <c r="F163" s="92">
        <v>0.01</v>
      </c>
      <c r="G163" s="317">
        <v>258.95999999999998</v>
      </c>
      <c r="H163" s="317">
        <v>3.09</v>
      </c>
      <c r="I163" s="320">
        <v>3.09</v>
      </c>
      <c r="J163" s="25">
        <v>2.5999999999999999E-2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0.68400000000000005</v>
      </c>
      <c r="E164" s="91">
        <v>7.6999999999999999E-2</v>
      </c>
      <c r="F164" s="92">
        <v>4.0000000000000001E-3</v>
      </c>
      <c r="G164" s="317">
        <v>40.590000000000003</v>
      </c>
      <c r="H164" s="317">
        <v>3.53</v>
      </c>
      <c r="I164" s="320">
        <v>3.53</v>
      </c>
      <c r="J164" s="25">
        <v>1.2999999999999999E-2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0.68400000000000005</v>
      </c>
      <c r="E165" s="91">
        <v>7.6999999999999999E-2</v>
      </c>
      <c r="F165" s="92">
        <v>4.0000000000000001E-3</v>
      </c>
      <c r="G165" s="317">
        <v>389.38</v>
      </c>
      <c r="H165" s="317">
        <v>3.53</v>
      </c>
      <c r="I165" s="320">
        <v>3.53</v>
      </c>
      <c r="J165" s="25">
        <v>1.2999999999999999E-2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0.68400000000000005</v>
      </c>
      <c r="E166" s="91">
        <v>7.6999999999999999E-2</v>
      </c>
      <c r="F166" s="92">
        <v>4.0000000000000001E-3</v>
      </c>
      <c r="G166" s="317">
        <v>1088.81</v>
      </c>
      <c r="H166" s="317">
        <v>3.53</v>
      </c>
      <c r="I166" s="320">
        <v>3.53</v>
      </c>
      <c r="J166" s="25">
        <v>1.2999999999999999E-2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0.68400000000000005</v>
      </c>
      <c r="E167" s="91">
        <v>7.6999999999999999E-2</v>
      </c>
      <c r="F167" s="92">
        <v>4.0000000000000001E-3</v>
      </c>
      <c r="G167" s="317">
        <v>2129.36</v>
      </c>
      <c r="H167" s="317">
        <v>3.53</v>
      </c>
      <c r="I167" s="320">
        <v>3.53</v>
      </c>
      <c r="J167" s="25">
        <v>1.2999999999999999E-2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0.68400000000000005</v>
      </c>
      <c r="E168" s="91">
        <v>7.6999999999999999E-2</v>
      </c>
      <c r="F168" s="92">
        <v>4.0000000000000001E-3</v>
      </c>
      <c r="G168" s="317">
        <v>4778.12</v>
      </c>
      <c r="H168" s="317">
        <v>3.53</v>
      </c>
      <c r="I168" s="320">
        <v>3.53</v>
      </c>
      <c r="J168" s="25">
        <v>1.2999999999999999E-2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8.7609999999999992</v>
      </c>
      <c r="E169" s="94">
        <v>0.67300000000000004</v>
      </c>
      <c r="F169" s="92">
        <v>0.40200000000000002</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-2.411</v>
      </c>
      <c r="E170" s="91">
        <v>-0.30299999999999999</v>
      </c>
      <c r="F170" s="92">
        <v>-3.6999999999999998E-2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-2.1560000000000001</v>
      </c>
      <c r="E171" s="91">
        <v>-0.26900000000000002</v>
      </c>
      <c r="F171" s="92">
        <v>-3.1E-2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-2.411</v>
      </c>
      <c r="E172" s="91">
        <v>-0.30299999999999999</v>
      </c>
      <c r="F172" s="92">
        <v>-3.6999999999999998E-2</v>
      </c>
      <c r="G172" s="317" t="s">
        <v>797</v>
      </c>
      <c r="H172" s="318" t="s">
        <v>797</v>
      </c>
      <c r="I172" s="319" t="s">
        <v>797</v>
      </c>
      <c r="J172" s="25">
        <v>6.7000000000000004E-2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-2.1560000000000001</v>
      </c>
      <c r="E173" s="91">
        <v>-0.26900000000000002</v>
      </c>
      <c r="F173" s="92">
        <v>-3.1E-2</v>
      </c>
      <c r="G173" s="317" t="s">
        <v>797</v>
      </c>
      <c r="H173" s="318" t="s">
        <v>797</v>
      </c>
      <c r="I173" s="319" t="s">
        <v>797</v>
      </c>
      <c r="J173" s="25">
        <v>5.0999999999999997E-2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-1.468</v>
      </c>
      <c r="E174" s="91">
        <v>-0.17599999999999999</v>
      </c>
      <c r="F174" s="92">
        <v>-1.2E-2</v>
      </c>
      <c r="G174" s="317">
        <v>35.43</v>
      </c>
      <c r="H174" s="318" t="s">
        <v>797</v>
      </c>
      <c r="I174" s="319" t="s">
        <v>797</v>
      </c>
      <c r="J174" s="25">
        <v>5.6000000000000001E-2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0.52</v>
      </c>
      <c r="E175" s="91">
        <v>6.5000000000000002E-2</v>
      </c>
      <c r="F175" s="92">
        <v>8.0000000000000002E-3</v>
      </c>
      <c r="G175" s="317">
        <v>0.72</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2031</v>
      </c>
      <c r="D176" s="90">
        <v>0.52</v>
      </c>
      <c r="E176" s="91">
        <v>6.5000000000000002E-2</v>
      </c>
      <c r="F176" s="92">
        <v>8.0000000000000002E-3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0.46899999999999997</v>
      </c>
      <c r="E177" s="91">
        <v>5.8999999999999997E-2</v>
      </c>
      <c r="F177" s="92">
        <v>7.0000000000000001E-3</v>
      </c>
      <c r="G177" s="317">
        <v>0.66</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0.46899999999999997</v>
      </c>
      <c r="E178" s="91">
        <v>5.8999999999999997E-2</v>
      </c>
      <c r="F178" s="92">
        <v>7.0000000000000001E-3</v>
      </c>
      <c r="G178" s="317">
        <v>0.85</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0.46899999999999997</v>
      </c>
      <c r="E179" s="91">
        <v>5.8999999999999997E-2</v>
      </c>
      <c r="F179" s="92">
        <v>7.0000000000000001E-3</v>
      </c>
      <c r="G179" s="317">
        <v>1.39</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0.46899999999999997</v>
      </c>
      <c r="E180" s="91">
        <v>5.8999999999999997E-2</v>
      </c>
      <c r="F180" s="92">
        <v>7.0000000000000001E-3</v>
      </c>
      <c r="G180" s="317">
        <v>2.2200000000000002</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0.46899999999999997</v>
      </c>
      <c r="E181" s="91">
        <v>5.8999999999999997E-2</v>
      </c>
      <c r="F181" s="92">
        <v>7.0000000000000001E-3</v>
      </c>
      <c r="G181" s="317">
        <v>4.6900000000000004</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2032</v>
      </c>
      <c r="D182" s="90">
        <v>0.46899999999999997</v>
      </c>
      <c r="E182" s="91">
        <v>5.8999999999999997E-2</v>
      </c>
      <c r="F182" s="92">
        <v>7.0000000000000001E-3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v>
      </c>
      <c r="E183" s="91">
        <v>3.6999999999999998E-2</v>
      </c>
      <c r="F183" s="92">
        <v>4.0000000000000001E-3</v>
      </c>
      <c r="G183" s="317">
        <v>0.66</v>
      </c>
      <c r="H183" s="317">
        <v>0.48</v>
      </c>
      <c r="I183" s="320">
        <v>0.48</v>
      </c>
      <c r="J183" s="25">
        <v>7.0000000000000001E-3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v>
      </c>
      <c r="E184" s="91">
        <v>3.6999999999999998E-2</v>
      </c>
      <c r="F184" s="92">
        <v>4.0000000000000001E-3</v>
      </c>
      <c r="G184" s="317">
        <v>7.42</v>
      </c>
      <c r="H184" s="317">
        <v>0.48</v>
      </c>
      <c r="I184" s="320">
        <v>0.48</v>
      </c>
      <c r="J184" s="25">
        <v>7.0000000000000001E-3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v>
      </c>
      <c r="E185" s="91">
        <v>3.6999999999999998E-2</v>
      </c>
      <c r="F185" s="92">
        <v>4.0000000000000001E-3</v>
      </c>
      <c r="G185" s="317">
        <v>12.67</v>
      </c>
      <c r="H185" s="317">
        <v>0.48</v>
      </c>
      <c r="I185" s="320">
        <v>0.48</v>
      </c>
      <c r="J185" s="25">
        <v>7.0000000000000001E-3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v>
      </c>
      <c r="E186" s="91">
        <v>3.6999999999999998E-2</v>
      </c>
      <c r="F186" s="92">
        <v>4.0000000000000001E-3</v>
      </c>
      <c r="G186" s="317">
        <v>19.53</v>
      </c>
      <c r="H186" s="317">
        <v>0.48</v>
      </c>
      <c r="I186" s="320">
        <v>0.48</v>
      </c>
      <c r="J186" s="25">
        <v>7.0000000000000001E-3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v>
      </c>
      <c r="E187" s="91">
        <v>3.6999999999999998E-2</v>
      </c>
      <c r="F187" s="92">
        <v>4.0000000000000001E-3</v>
      </c>
      <c r="G187" s="317">
        <v>34.83</v>
      </c>
      <c r="H187" s="317">
        <v>0.48</v>
      </c>
      <c r="I187" s="320">
        <v>0.48</v>
      </c>
      <c r="J187" s="25">
        <v>7.0000000000000001E-3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0.26200000000000001</v>
      </c>
      <c r="E188" s="91">
        <v>3.1E-2</v>
      </c>
      <c r="F188" s="92">
        <v>2E-3</v>
      </c>
      <c r="G188" s="317">
        <v>0.83</v>
      </c>
      <c r="H188" s="317">
        <v>0.66</v>
      </c>
      <c r="I188" s="320">
        <v>0.66</v>
      </c>
      <c r="J188" s="25">
        <v>6.0000000000000001E-3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0.26200000000000001</v>
      </c>
      <c r="E189" s="91">
        <v>3.1E-2</v>
      </c>
      <c r="F189" s="92">
        <v>2E-3</v>
      </c>
      <c r="G189" s="317">
        <v>11.6</v>
      </c>
      <c r="H189" s="317">
        <v>0.66</v>
      </c>
      <c r="I189" s="320">
        <v>0.66</v>
      </c>
      <c r="J189" s="25">
        <v>6.0000000000000001E-3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0.26200000000000001</v>
      </c>
      <c r="E190" s="91">
        <v>3.1E-2</v>
      </c>
      <c r="F190" s="92">
        <v>2E-3</v>
      </c>
      <c r="G190" s="317">
        <v>19.96</v>
      </c>
      <c r="H190" s="317">
        <v>0.66</v>
      </c>
      <c r="I190" s="320">
        <v>0.66</v>
      </c>
      <c r="J190" s="25">
        <v>6.0000000000000001E-3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0.26200000000000001</v>
      </c>
      <c r="E191" s="91">
        <v>3.1E-2</v>
      </c>
      <c r="F191" s="92">
        <v>2E-3</v>
      </c>
      <c r="G191" s="317">
        <v>30.88</v>
      </c>
      <c r="H191" s="317">
        <v>0.66</v>
      </c>
      <c r="I191" s="320">
        <v>0.66</v>
      </c>
      <c r="J191" s="25">
        <v>6.0000000000000001E-3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0.26200000000000001</v>
      </c>
      <c r="E192" s="91">
        <v>3.1E-2</v>
      </c>
      <c r="F192" s="92">
        <v>2E-3</v>
      </c>
      <c r="G192" s="317">
        <v>55.25</v>
      </c>
      <c r="H192" s="317">
        <v>0.66</v>
      </c>
      <c r="I192" s="320">
        <v>0.66</v>
      </c>
      <c r="J192" s="25">
        <v>6.0000000000000001E-3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0.14599999999999999</v>
      </c>
      <c r="E193" s="91">
        <v>1.7000000000000001E-2</v>
      </c>
      <c r="F193" s="92">
        <v>1E-3</v>
      </c>
      <c r="G193" s="317">
        <v>8.66</v>
      </c>
      <c r="H193" s="317">
        <v>0.75</v>
      </c>
      <c r="I193" s="320">
        <v>0.75</v>
      </c>
      <c r="J193" s="25">
        <v>3.0000000000000001E-3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0.14599999999999999</v>
      </c>
      <c r="E194" s="91">
        <v>1.7000000000000001E-2</v>
      </c>
      <c r="F194" s="92">
        <v>1E-3</v>
      </c>
      <c r="G194" s="317">
        <v>83.08</v>
      </c>
      <c r="H194" s="317">
        <v>0.75</v>
      </c>
      <c r="I194" s="320">
        <v>0.75</v>
      </c>
      <c r="J194" s="25">
        <v>3.0000000000000001E-3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0.14599999999999999</v>
      </c>
      <c r="E195" s="91">
        <v>1.7000000000000001E-2</v>
      </c>
      <c r="F195" s="92">
        <v>1E-3</v>
      </c>
      <c r="G195" s="317">
        <v>232.3</v>
      </c>
      <c r="H195" s="317">
        <v>0.75</v>
      </c>
      <c r="I195" s="320">
        <v>0.75</v>
      </c>
      <c r="J195" s="25">
        <v>3.0000000000000001E-3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0.14599999999999999</v>
      </c>
      <c r="E196" s="91">
        <v>1.7000000000000001E-2</v>
      </c>
      <c r="F196" s="92">
        <v>1E-3</v>
      </c>
      <c r="G196" s="317">
        <v>454.31</v>
      </c>
      <c r="H196" s="317">
        <v>0.75</v>
      </c>
      <c r="I196" s="320">
        <v>0.75</v>
      </c>
      <c r="J196" s="25">
        <v>3.0000000000000001E-3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0.14599999999999999</v>
      </c>
      <c r="E197" s="91">
        <v>1.7000000000000001E-2</v>
      </c>
      <c r="F197" s="92">
        <v>1E-3</v>
      </c>
      <c r="G197" s="317">
        <v>1019.43</v>
      </c>
      <c r="H197" s="317">
        <v>0.75</v>
      </c>
      <c r="I197" s="320">
        <v>0.75</v>
      </c>
      <c r="J197" s="25">
        <v>3.0000000000000001E-3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1.869</v>
      </c>
      <c r="E198" s="94">
        <v>0.14399999999999999</v>
      </c>
      <c r="F198" s="92">
        <v>8.5999999999999993E-2</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-0.51400000000000001</v>
      </c>
      <c r="E199" s="91">
        <v>-6.5000000000000002E-2</v>
      </c>
      <c r="F199" s="92">
        <v>-8.0000000000000002E-3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-0.46</v>
      </c>
      <c r="E200" s="91">
        <v>-5.7000000000000002E-2</v>
      </c>
      <c r="F200" s="92">
        <v>-7.0000000000000001E-3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-0.51400000000000001</v>
      </c>
      <c r="E201" s="91">
        <v>-6.5000000000000002E-2</v>
      </c>
      <c r="F201" s="92">
        <v>-8.0000000000000002E-3</v>
      </c>
      <c r="G201" s="317" t="s">
        <v>797</v>
      </c>
      <c r="H201" s="318" t="s">
        <v>797</v>
      </c>
      <c r="I201" s="319" t="s">
        <v>797</v>
      </c>
      <c r="J201" s="25">
        <v>1.4E-2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-0.46</v>
      </c>
      <c r="E202" s="91">
        <v>-5.7000000000000002E-2</v>
      </c>
      <c r="F202" s="92">
        <v>-7.0000000000000001E-3</v>
      </c>
      <c r="G202" s="317" t="s">
        <v>797</v>
      </c>
      <c r="H202" s="318" t="s">
        <v>797</v>
      </c>
      <c r="I202" s="319" t="s">
        <v>797</v>
      </c>
      <c r="J202" s="25">
        <v>1.0999999999999999E-2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-0.313</v>
      </c>
      <c r="E203" s="91">
        <v>-3.7999999999999999E-2</v>
      </c>
      <c r="F203" s="92">
        <v>-3.0000000000000001E-3</v>
      </c>
      <c r="G203" s="317">
        <v>7.56</v>
      </c>
      <c r="H203" s="318" t="s">
        <v>797</v>
      </c>
      <c r="I203" s="319" t="s">
        <v>797</v>
      </c>
      <c r="J203" s="25">
        <v>1.2E-2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9">
    <mergeCell ref="B10:E10"/>
    <mergeCell ref="G10:H10"/>
    <mergeCell ref="G11:H11"/>
    <mergeCell ref="B8:D8"/>
    <mergeCell ref="A2:J2"/>
    <mergeCell ref="A4:D4"/>
    <mergeCell ref="F4:J4"/>
    <mergeCell ref="C9:D9"/>
    <mergeCell ref="H9:J9"/>
  </mergeCells>
  <conditionalFormatting sqref="K14:Q203">
    <cfRule type="cellIs" dxfId="62" priority="2" operator="equal">
      <formula>0</formula>
    </cfRule>
    <cfRule type="cellIs" dxfId="61" priority="3" operator="lessThan">
      <formula>0</formula>
    </cfRule>
    <cfRule type="cellIs" dxfId="60" priority="4" operator="greaterThan">
      <formula>0</formula>
    </cfRule>
  </conditionalFormatting>
  <conditionalFormatting sqref="K14:R203">
    <cfRule type="expression" dxfId="59" priority="1">
      <formula>$K14&lt;&gt;""</formula>
    </cfRule>
  </conditionalFormatting>
  <hyperlinks>
    <hyperlink ref="A1" location="Overview!A1" display="Back to Overview" xr:uid="{00A28AAA-4BE6-4AFE-BB1E-CEE491F0986C}"/>
  </hyperlinks>
  <pageMargins left="0.39370078740157483" right="0.39370078740157483" top="0.51181102362204722" bottom="0.78740157480314965" header="0.27559055118110237" footer="0.27559055118110237"/>
  <pageSetup paperSize="9" scale="17"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1" width="9.140625" style="40"/>
    <col min="12" max="16384" width="9.140625" style="1"/>
  </cols>
  <sheetData>
    <row r="1" spans="1:17" ht="27.75" customHeight="1" x14ac:dyDescent="0.2">
      <c r="A1" s="31" t="s">
        <v>19</v>
      </c>
      <c r="B1" s="1"/>
      <c r="F1" s="1"/>
      <c r="G1" s="1"/>
      <c r="H1" s="1"/>
      <c r="I1" s="3"/>
      <c r="J1" s="1"/>
    </row>
    <row r="2" spans="1:17" ht="31.5" customHeight="1" x14ac:dyDescent="0.2">
      <c r="A2" s="454" t="str">
        <f>Overview!B4&amp;" - Effective from "&amp;TEXT(Overview!$D$4,"d mmmm yyyy")&amp;" - Final LDNO tariffs in NPG Northeast Area (GSP Group_F)"</f>
        <v>Leep Electricity Networks Limited - Effective from 1 April 2027 - Final LDNO tariffs in NPG Northeast Area (GSP Group_F)</v>
      </c>
      <c r="B2" s="454"/>
      <c r="C2" s="454"/>
      <c r="D2" s="454"/>
      <c r="E2" s="454"/>
      <c r="F2" s="454"/>
      <c r="G2" s="454"/>
      <c r="H2" s="454"/>
      <c r="I2" s="454"/>
      <c r="J2" s="454"/>
    </row>
    <row r="3" spans="1:17" ht="8.25" customHeight="1" x14ac:dyDescent="0.2">
      <c r="A3" s="46"/>
      <c r="B3" s="46"/>
      <c r="C3" s="46"/>
      <c r="D3" s="46"/>
      <c r="E3" s="46"/>
      <c r="F3" s="46"/>
      <c r="G3" s="46"/>
      <c r="H3" s="46"/>
      <c r="I3" s="46"/>
      <c r="J3" s="46"/>
    </row>
    <row r="4" spans="1:17" ht="27" customHeight="1" x14ac:dyDescent="0.2">
      <c r="A4" s="384" t="s">
        <v>290</v>
      </c>
      <c r="B4" s="384"/>
      <c r="C4" s="384"/>
      <c r="D4" s="384"/>
      <c r="E4" s="50"/>
      <c r="F4" s="384" t="s">
        <v>289</v>
      </c>
      <c r="G4" s="384"/>
      <c r="H4" s="384"/>
      <c r="I4" s="384"/>
      <c r="J4" s="384"/>
    </row>
    <row r="5" spans="1:17" ht="32.25" customHeight="1" x14ac:dyDescent="0.2">
      <c r="A5" s="39" t="s">
        <v>13</v>
      </c>
      <c r="B5" s="256" t="s">
        <v>281</v>
      </c>
      <c r="C5" s="269" t="s">
        <v>282</v>
      </c>
      <c r="D5" s="41" t="s">
        <v>283</v>
      </c>
      <c r="E5" s="45"/>
      <c r="F5" s="381"/>
      <c r="G5" s="382"/>
      <c r="H5" s="43" t="s">
        <v>287</v>
      </c>
      <c r="I5" s="44" t="s">
        <v>288</v>
      </c>
      <c r="J5" s="41" t="s">
        <v>283</v>
      </c>
    </row>
    <row r="6" spans="1:17" ht="56.25" customHeight="1" x14ac:dyDescent="0.2">
      <c r="A6" s="42" t="str">
        <f>'Annex 1 LV and HV charges_F'!A6</f>
        <v>Monday to Friday 
(Including Bank Holidays)
All Year</v>
      </c>
      <c r="B6" s="248" t="str">
        <f>'Annex 1 LV and HV charges_F'!B6</f>
        <v>16:00 to 19:30</v>
      </c>
      <c r="C6" s="248" t="str">
        <f>'Annex 1 LV and HV charges_F'!C6</f>
        <v>08:00 to 16:00
19:30 to 22:00</v>
      </c>
      <c r="D6" s="248" t="str">
        <f>'Annex 1 LV and HV charges_F'!E6</f>
        <v>00:00 to 08:00
22:00 to 24:00</v>
      </c>
      <c r="E6" s="45"/>
      <c r="F6" s="418" t="str">
        <f>'Annex 1 LV and HV charges_F'!G6</f>
        <v>Monday to Friday 
(Including Bank Holidays)
November to February Inclusive</v>
      </c>
      <c r="G6" s="418">
        <f>'Annex 1 LV and HV charges_F'!H6</f>
        <v>0</v>
      </c>
      <c r="H6" s="13" t="str">
        <f>'Annex 1 LV and HV charges_F'!I6</f>
        <v>16:00 to 19:30</v>
      </c>
      <c r="I6" s="248" t="str">
        <f>'Annex 1 LV and HV charges_F'!J6</f>
        <v>08:00 to 16:00
19:30 to 22:00</v>
      </c>
      <c r="J6" s="248" t="str">
        <f>'Annex 1 LV and HV charges_F'!K6</f>
        <v>00:00 to 08:00
22:00 to 24:00</v>
      </c>
    </row>
    <row r="7" spans="1:17" ht="56.25" customHeight="1" x14ac:dyDescent="0.2">
      <c r="A7" s="42" t="str">
        <f>'Annex 1 LV and HV charges_F'!A7</f>
        <v>Saturday and Sunday
All Year</v>
      </c>
      <c r="B7" s="119" t="str">
        <f>'Annex 1 LV and HV charges_F'!B7</f>
        <v/>
      </c>
      <c r="C7" s="119" t="str">
        <f>'Annex 1 LV and HV charges_F'!C7</f>
        <v/>
      </c>
      <c r="D7" s="248" t="str">
        <f>'Annex 1 LV and HV charges_F'!E7</f>
        <v>00:00 to 24:00</v>
      </c>
      <c r="E7" s="45"/>
      <c r="F7" s="418" t="str">
        <f>'Annex 1 LV and HV charges_F'!G7</f>
        <v>Monday to Friday 
(Including Bank Holidays)
April to October Inclusive and March</v>
      </c>
      <c r="G7" s="418">
        <f>'Annex 1 LV and HV charges_F'!H7</f>
        <v>0</v>
      </c>
      <c r="H7" s="119" t="str">
        <f>'Annex 1 LV and HV charges_F'!I7</f>
        <v/>
      </c>
      <c r="I7" s="248" t="str">
        <f>'Annex 1 LV and HV charges_F'!J7</f>
        <v>08:00 to 22:00</v>
      </c>
      <c r="J7" s="248" t="str">
        <f>'Annex 1 LV and HV charges_F'!K7</f>
        <v>00:00 to 08:00
22:00 to 24:00</v>
      </c>
    </row>
    <row r="8" spans="1:17" ht="55.5" customHeight="1" x14ac:dyDescent="0.2">
      <c r="A8" s="257" t="str">
        <f>'Annex 1 LV and HV charges_F'!A8</f>
        <v>Notes</v>
      </c>
      <c r="B8" s="391" t="str">
        <f>'Annex 1 LV and HV charges_F'!B8</f>
        <v>All the above times are in UK Clock time</v>
      </c>
      <c r="C8" s="392">
        <f>'Annex 1 LV and HV charges_F'!C8</f>
        <v>0</v>
      </c>
      <c r="D8" s="393">
        <f>'Annex 1 LV and HV charges_F'!D8</f>
        <v>0</v>
      </c>
      <c r="E8" s="45"/>
      <c r="F8" s="418" t="str">
        <f>'Annex 1 LV and HV charges_F'!G8</f>
        <v>Saturday and Sunday
All year</v>
      </c>
      <c r="G8" s="418">
        <f>'Annex 1 LV and HV charges_F'!H8</f>
        <v>0</v>
      </c>
      <c r="H8" s="119" t="str">
        <f>'Annex 1 LV and HV charges_F'!I8</f>
        <v/>
      </c>
      <c r="I8" s="119" t="str">
        <f>'Annex 1 LV and HV charges_F'!J8</f>
        <v/>
      </c>
      <c r="J8" s="248" t="str">
        <f>'Annex 1 LV and HV charges_F'!K8</f>
        <v>00:00 to 24:00</v>
      </c>
    </row>
    <row r="9" spans="1:17" s="40" customFormat="1" ht="21" customHeight="1" x14ac:dyDescent="0.2">
      <c r="B9" s="45"/>
      <c r="C9" s="45"/>
      <c r="D9" s="45"/>
      <c r="E9" s="47"/>
      <c r="F9" s="417" t="str">
        <f>'Annex 1 LV and HV charges_F'!G9</f>
        <v>Notes</v>
      </c>
      <c r="G9" s="417">
        <f>'Annex 1 LV and HV charges_F'!H9</f>
        <v>0</v>
      </c>
      <c r="H9" s="422" t="str">
        <f>'Annex 1 LV and HV charges_F'!I9</f>
        <v>All the above times are in UK Clock time</v>
      </c>
      <c r="I9" s="422">
        <f>'Annex 1 LV and HV charges_F'!J9</f>
        <v>0</v>
      </c>
      <c r="J9" s="422">
        <f>'Annex 1 LV and HV charges_F'!K9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802</v>
      </c>
      <c r="D14" s="90">
        <v>6.58</v>
      </c>
      <c r="E14" s="91">
        <v>1.0629999999999999</v>
      </c>
      <c r="F14" s="92">
        <v>0.18</v>
      </c>
      <c r="G14" s="317">
        <v>12.65</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6.58</v>
      </c>
      <c r="E15" s="91">
        <v>1.0629999999999999</v>
      </c>
      <c r="F15" s="92">
        <v>0.18</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803</v>
      </c>
      <c r="D16" s="90">
        <v>7.0049999999999999</v>
      </c>
      <c r="E16" s="91">
        <v>1.1319999999999999</v>
      </c>
      <c r="F16" s="92">
        <v>0.192</v>
      </c>
      <c r="G16" s="317">
        <v>8.44</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7.0049999999999999</v>
      </c>
      <c r="E17" s="91">
        <v>1.1319999999999999</v>
      </c>
      <c r="F17" s="92">
        <v>0.192</v>
      </c>
      <c r="G17" s="317">
        <v>12.2</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7.0049999999999999</v>
      </c>
      <c r="E18" s="91">
        <v>1.1319999999999999</v>
      </c>
      <c r="F18" s="92">
        <v>0.192</v>
      </c>
      <c r="G18" s="317">
        <v>18.16</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7.0049999999999999</v>
      </c>
      <c r="E19" s="91">
        <v>1.1319999999999999</v>
      </c>
      <c r="F19" s="92">
        <v>0.192</v>
      </c>
      <c r="G19" s="317">
        <v>29.2</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7.0049999999999999</v>
      </c>
      <c r="E20" s="91">
        <v>1.1319999999999999</v>
      </c>
      <c r="F20" s="92">
        <v>0.192</v>
      </c>
      <c r="G20" s="317">
        <v>64.650000000000006</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7.0049999999999999</v>
      </c>
      <c r="E21" s="91">
        <v>1.1319999999999999</v>
      </c>
      <c r="F21" s="92">
        <v>0.192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4.9000000000000004</v>
      </c>
      <c r="E22" s="91">
        <v>0.75900000000000001</v>
      </c>
      <c r="F22" s="92">
        <v>0.13</v>
      </c>
      <c r="G22" s="317">
        <v>8.58</v>
      </c>
      <c r="H22" s="317">
        <v>3.24</v>
      </c>
      <c r="I22" s="320">
        <v>3.24</v>
      </c>
      <c r="J22" s="25">
        <v>8.7999999999999995E-2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4.9000000000000004</v>
      </c>
      <c r="E23" s="91">
        <v>0.75900000000000001</v>
      </c>
      <c r="F23" s="92">
        <v>0.13</v>
      </c>
      <c r="G23" s="317">
        <v>102.08</v>
      </c>
      <c r="H23" s="317">
        <v>3.24</v>
      </c>
      <c r="I23" s="320">
        <v>3.24</v>
      </c>
      <c r="J23" s="25">
        <v>8.7999999999999995E-2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4.9000000000000004</v>
      </c>
      <c r="E24" s="91">
        <v>0.75900000000000001</v>
      </c>
      <c r="F24" s="92">
        <v>0.13</v>
      </c>
      <c r="G24" s="317">
        <v>208.99</v>
      </c>
      <c r="H24" s="317">
        <v>3.24</v>
      </c>
      <c r="I24" s="320">
        <v>3.24</v>
      </c>
      <c r="J24" s="25">
        <v>8.7999999999999995E-2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4.9000000000000004</v>
      </c>
      <c r="E25" s="91">
        <v>0.75900000000000001</v>
      </c>
      <c r="F25" s="92">
        <v>0.13</v>
      </c>
      <c r="G25" s="317">
        <v>334.91</v>
      </c>
      <c r="H25" s="317">
        <v>3.24</v>
      </c>
      <c r="I25" s="320">
        <v>3.24</v>
      </c>
      <c r="J25" s="25">
        <v>8.7999999999999995E-2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4.9000000000000004</v>
      </c>
      <c r="E26" s="91">
        <v>0.75900000000000001</v>
      </c>
      <c r="F26" s="92">
        <v>0.13</v>
      </c>
      <c r="G26" s="317">
        <v>863.81</v>
      </c>
      <c r="H26" s="317">
        <v>3.24</v>
      </c>
      <c r="I26" s="320">
        <v>3.24</v>
      </c>
      <c r="J26" s="25">
        <v>8.7999999999999995E-2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2066</v>
      </c>
      <c r="D27" s="93">
        <v>18.896000000000001</v>
      </c>
      <c r="E27" s="94">
        <v>1.2949999999999999</v>
      </c>
      <c r="F27" s="92">
        <v>0.59699999999999998</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805</v>
      </c>
      <c r="D28" s="90">
        <v>-7.7190000000000003</v>
      </c>
      <c r="E28" s="91">
        <v>-1.2470000000000001</v>
      </c>
      <c r="F28" s="92">
        <v>-0.21099999999999999</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-7.7190000000000003</v>
      </c>
      <c r="E29" s="91">
        <v>-1.2470000000000001</v>
      </c>
      <c r="F29" s="92">
        <v>-0.21099999999999999</v>
      </c>
      <c r="G29" s="317" t="s">
        <v>797</v>
      </c>
      <c r="H29" s="318" t="s">
        <v>797</v>
      </c>
      <c r="I29" s="319" t="s">
        <v>797</v>
      </c>
      <c r="J29" s="25">
        <v>0.122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4.4219999999999997</v>
      </c>
      <c r="E30" s="91">
        <v>0.71399999999999997</v>
      </c>
      <c r="F30" s="92">
        <v>0.121</v>
      </c>
      <c r="G30" s="317">
        <v>8.5</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4.4219999999999997</v>
      </c>
      <c r="E31" s="91">
        <v>0.71399999999999997</v>
      </c>
      <c r="F31" s="92">
        <v>0.121</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4.7069999999999999</v>
      </c>
      <c r="E32" s="91">
        <v>0.76</v>
      </c>
      <c r="F32" s="92">
        <v>0.129</v>
      </c>
      <c r="G32" s="317">
        <v>5.67</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4.7069999999999999</v>
      </c>
      <c r="E33" s="91">
        <v>0.76</v>
      </c>
      <c r="F33" s="92">
        <v>0.129</v>
      </c>
      <c r="G33" s="317">
        <v>8.1999999999999993</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4.7069999999999999</v>
      </c>
      <c r="E34" s="91">
        <v>0.76</v>
      </c>
      <c r="F34" s="92">
        <v>0.129</v>
      </c>
      <c r="G34" s="317">
        <v>12.21</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4.7069999999999999</v>
      </c>
      <c r="E35" s="91">
        <v>0.76</v>
      </c>
      <c r="F35" s="92">
        <v>0.129</v>
      </c>
      <c r="G35" s="317">
        <v>19.62</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4.7069999999999999</v>
      </c>
      <c r="E36" s="91">
        <v>0.76</v>
      </c>
      <c r="F36" s="92">
        <v>0.129</v>
      </c>
      <c r="G36" s="317">
        <v>43.45</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4.7069999999999999</v>
      </c>
      <c r="E37" s="91">
        <v>0.76</v>
      </c>
      <c r="F37" s="92">
        <v>0.129</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3.2930000000000001</v>
      </c>
      <c r="E38" s="91">
        <v>0.51</v>
      </c>
      <c r="F38" s="92">
        <v>8.7999999999999995E-2</v>
      </c>
      <c r="G38" s="317">
        <v>5.77</v>
      </c>
      <c r="H38" s="317">
        <v>2.1800000000000002</v>
      </c>
      <c r="I38" s="320">
        <v>2.1800000000000002</v>
      </c>
      <c r="J38" s="25">
        <v>5.8999999999999997E-2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3.2930000000000001</v>
      </c>
      <c r="E39" s="91">
        <v>0.51</v>
      </c>
      <c r="F39" s="92">
        <v>8.7999999999999995E-2</v>
      </c>
      <c r="G39" s="317">
        <v>68.599999999999994</v>
      </c>
      <c r="H39" s="317">
        <v>2.1800000000000002</v>
      </c>
      <c r="I39" s="320">
        <v>2.1800000000000002</v>
      </c>
      <c r="J39" s="25">
        <v>5.8999999999999997E-2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3.2930000000000001</v>
      </c>
      <c r="E40" s="91">
        <v>0.51</v>
      </c>
      <c r="F40" s="92">
        <v>8.7999999999999995E-2</v>
      </c>
      <c r="G40" s="317">
        <v>140.44999999999999</v>
      </c>
      <c r="H40" s="317">
        <v>2.1800000000000002</v>
      </c>
      <c r="I40" s="320">
        <v>2.1800000000000002</v>
      </c>
      <c r="J40" s="25">
        <v>5.8999999999999997E-2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3.2930000000000001</v>
      </c>
      <c r="E41" s="91">
        <v>0.51</v>
      </c>
      <c r="F41" s="92">
        <v>8.7999999999999995E-2</v>
      </c>
      <c r="G41" s="317">
        <v>225.08</v>
      </c>
      <c r="H41" s="317">
        <v>2.1800000000000002</v>
      </c>
      <c r="I41" s="320">
        <v>2.1800000000000002</v>
      </c>
      <c r="J41" s="25">
        <v>5.8999999999999997E-2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3.2930000000000001</v>
      </c>
      <c r="E42" s="91">
        <v>0.51</v>
      </c>
      <c r="F42" s="92">
        <v>8.7999999999999995E-2</v>
      </c>
      <c r="G42" s="317">
        <v>580.53</v>
      </c>
      <c r="H42" s="317">
        <v>2.1800000000000002</v>
      </c>
      <c r="I42" s="320">
        <v>2.1800000000000002</v>
      </c>
      <c r="J42" s="25">
        <v>5.8999999999999997E-2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3.266</v>
      </c>
      <c r="E43" s="91">
        <v>0.44600000000000001</v>
      </c>
      <c r="F43" s="92">
        <v>0.08</v>
      </c>
      <c r="G43" s="317">
        <v>10.130000000000001</v>
      </c>
      <c r="H43" s="317">
        <v>3.58</v>
      </c>
      <c r="I43" s="320">
        <v>3.58</v>
      </c>
      <c r="J43" s="25">
        <v>5.5E-2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3.266</v>
      </c>
      <c r="E44" s="91">
        <v>0.44600000000000001</v>
      </c>
      <c r="F44" s="92">
        <v>0.08</v>
      </c>
      <c r="G44" s="317">
        <v>120.55</v>
      </c>
      <c r="H44" s="317">
        <v>3.58</v>
      </c>
      <c r="I44" s="320">
        <v>3.58</v>
      </c>
      <c r="J44" s="25">
        <v>5.5E-2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3.266</v>
      </c>
      <c r="E45" s="91">
        <v>0.44600000000000001</v>
      </c>
      <c r="F45" s="92">
        <v>0.08</v>
      </c>
      <c r="G45" s="317">
        <v>246.81</v>
      </c>
      <c r="H45" s="317">
        <v>3.58</v>
      </c>
      <c r="I45" s="320">
        <v>3.58</v>
      </c>
      <c r="J45" s="25">
        <v>5.5E-2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3.266</v>
      </c>
      <c r="E46" s="91">
        <v>0.44600000000000001</v>
      </c>
      <c r="F46" s="92">
        <v>0.08</v>
      </c>
      <c r="G46" s="317">
        <v>395.51</v>
      </c>
      <c r="H46" s="317">
        <v>3.58</v>
      </c>
      <c r="I46" s="320">
        <v>3.58</v>
      </c>
      <c r="J46" s="25">
        <v>5.5E-2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3.266</v>
      </c>
      <c r="E47" s="91">
        <v>0.44600000000000001</v>
      </c>
      <c r="F47" s="92">
        <v>0.08</v>
      </c>
      <c r="G47" s="317">
        <v>1020.11</v>
      </c>
      <c r="H47" s="317">
        <v>3.58</v>
      </c>
      <c r="I47" s="320">
        <v>3.58</v>
      </c>
      <c r="J47" s="25">
        <v>5.5E-2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2.9609999999999999</v>
      </c>
      <c r="E48" s="91">
        <v>0.35899999999999999</v>
      </c>
      <c r="F48" s="92">
        <v>6.8000000000000005E-2</v>
      </c>
      <c r="G48" s="317">
        <v>258.5</v>
      </c>
      <c r="H48" s="317">
        <v>4.95</v>
      </c>
      <c r="I48" s="320">
        <v>4.95</v>
      </c>
      <c r="J48" s="25">
        <v>4.9000000000000002E-2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2.9609999999999999</v>
      </c>
      <c r="E49" s="91">
        <v>0.35899999999999999</v>
      </c>
      <c r="F49" s="92">
        <v>6.8000000000000005E-2</v>
      </c>
      <c r="G49" s="317">
        <v>1405.33</v>
      </c>
      <c r="H49" s="317">
        <v>4.95</v>
      </c>
      <c r="I49" s="320">
        <v>4.95</v>
      </c>
      <c r="J49" s="25">
        <v>4.9000000000000002E-2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2.9609999999999999</v>
      </c>
      <c r="E50" s="91">
        <v>0.35899999999999999</v>
      </c>
      <c r="F50" s="92">
        <v>6.8000000000000005E-2</v>
      </c>
      <c r="G50" s="317">
        <v>3070.65</v>
      </c>
      <c r="H50" s="317">
        <v>4.95</v>
      </c>
      <c r="I50" s="320">
        <v>4.95</v>
      </c>
      <c r="J50" s="25">
        <v>4.9000000000000002E-2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2.9609999999999999</v>
      </c>
      <c r="E51" s="91">
        <v>0.35899999999999999</v>
      </c>
      <c r="F51" s="92">
        <v>6.8000000000000005E-2</v>
      </c>
      <c r="G51" s="317">
        <v>5561.28</v>
      </c>
      <c r="H51" s="317">
        <v>4.95</v>
      </c>
      <c r="I51" s="320">
        <v>4.95</v>
      </c>
      <c r="J51" s="25">
        <v>4.9000000000000002E-2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2.9609999999999999</v>
      </c>
      <c r="E52" s="91">
        <v>0.35899999999999999</v>
      </c>
      <c r="F52" s="92">
        <v>6.8000000000000005E-2</v>
      </c>
      <c r="G52" s="317">
        <v>13639.65</v>
      </c>
      <c r="H52" s="317">
        <v>4.95</v>
      </c>
      <c r="I52" s="320">
        <v>4.95</v>
      </c>
      <c r="J52" s="25">
        <v>4.9000000000000002E-2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2066</v>
      </c>
      <c r="D53" s="93">
        <v>12.699</v>
      </c>
      <c r="E53" s="94">
        <v>0.87</v>
      </c>
      <c r="F53" s="92">
        <v>0.40100000000000002</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805</v>
      </c>
      <c r="D54" s="90">
        <v>-7.7190000000000003</v>
      </c>
      <c r="E54" s="91">
        <v>-1.2470000000000001</v>
      </c>
      <c r="F54" s="92">
        <v>-0.21099999999999999</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-6.5</v>
      </c>
      <c r="E55" s="91">
        <v>-1.026</v>
      </c>
      <c r="F55" s="92">
        <v>-0.17499999999999999</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-7.7190000000000003</v>
      </c>
      <c r="E56" s="91">
        <v>-1.2470000000000001</v>
      </c>
      <c r="F56" s="92">
        <v>-0.21099999999999999</v>
      </c>
      <c r="G56" s="317" t="s">
        <v>797</v>
      </c>
      <c r="H56" s="318" t="s">
        <v>797</v>
      </c>
      <c r="I56" s="319" t="s">
        <v>797</v>
      </c>
      <c r="J56" s="25">
        <v>0.122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-6.5</v>
      </c>
      <c r="E57" s="91">
        <v>-1.026</v>
      </c>
      <c r="F57" s="92">
        <v>-0.17499999999999999</v>
      </c>
      <c r="G57" s="317" t="s">
        <v>797</v>
      </c>
      <c r="H57" s="318" t="s">
        <v>797</v>
      </c>
      <c r="I57" s="319" t="s">
        <v>797</v>
      </c>
      <c r="J57" s="25">
        <v>0.114</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-4.0590000000000002</v>
      </c>
      <c r="E58" s="91">
        <v>-0.55500000000000005</v>
      </c>
      <c r="F58" s="92">
        <v>-0.1</v>
      </c>
      <c r="G58" s="317" t="s">
        <v>797</v>
      </c>
      <c r="H58" s="318" t="s">
        <v>797</v>
      </c>
      <c r="I58" s="319" t="s">
        <v>797</v>
      </c>
      <c r="J58" s="25">
        <v>0.10100000000000001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3.093</v>
      </c>
      <c r="E59" s="91">
        <v>0.5</v>
      </c>
      <c r="F59" s="92">
        <v>8.5000000000000006E-2</v>
      </c>
      <c r="G59" s="317">
        <v>5.94</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3.093</v>
      </c>
      <c r="E60" s="91">
        <v>0.5</v>
      </c>
      <c r="F60" s="92">
        <v>8.5000000000000006E-2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3.2919999999999998</v>
      </c>
      <c r="E61" s="91">
        <v>0.53200000000000003</v>
      </c>
      <c r="F61" s="92">
        <v>0.09</v>
      </c>
      <c r="G61" s="317">
        <v>3.97</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3.2919999999999998</v>
      </c>
      <c r="E62" s="91">
        <v>0.53200000000000003</v>
      </c>
      <c r="F62" s="92">
        <v>0.09</v>
      </c>
      <c r="G62" s="317">
        <v>5.74</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3.2919999999999998</v>
      </c>
      <c r="E63" s="91">
        <v>0.53200000000000003</v>
      </c>
      <c r="F63" s="92">
        <v>0.09</v>
      </c>
      <c r="G63" s="317">
        <v>8.5399999999999991</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3.2919999999999998</v>
      </c>
      <c r="E64" s="91">
        <v>0.53200000000000003</v>
      </c>
      <c r="F64" s="92">
        <v>0.09</v>
      </c>
      <c r="G64" s="317">
        <v>13.72</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3.2919999999999998</v>
      </c>
      <c r="E65" s="91">
        <v>0.53200000000000003</v>
      </c>
      <c r="F65" s="92">
        <v>0.09</v>
      </c>
      <c r="G65" s="317">
        <v>30.39</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3.2919999999999998</v>
      </c>
      <c r="E66" s="91">
        <v>0.53200000000000003</v>
      </c>
      <c r="F66" s="92">
        <v>0.09</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2.3029999999999999</v>
      </c>
      <c r="E67" s="91">
        <v>0.35699999999999998</v>
      </c>
      <c r="F67" s="92">
        <v>6.0999999999999999E-2</v>
      </c>
      <c r="G67" s="317">
        <v>4.03</v>
      </c>
      <c r="H67" s="317">
        <v>1.52</v>
      </c>
      <c r="I67" s="320">
        <v>1.52</v>
      </c>
      <c r="J67" s="25">
        <v>4.1000000000000002E-2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2.3029999999999999</v>
      </c>
      <c r="E68" s="91">
        <v>0.35699999999999998</v>
      </c>
      <c r="F68" s="92">
        <v>6.0999999999999999E-2</v>
      </c>
      <c r="G68" s="317">
        <v>47.98</v>
      </c>
      <c r="H68" s="317">
        <v>1.52</v>
      </c>
      <c r="I68" s="320">
        <v>1.52</v>
      </c>
      <c r="J68" s="25">
        <v>4.1000000000000002E-2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2.3029999999999999</v>
      </c>
      <c r="E69" s="91">
        <v>0.35699999999999998</v>
      </c>
      <c r="F69" s="92">
        <v>6.0999999999999999E-2</v>
      </c>
      <c r="G69" s="317">
        <v>98.22</v>
      </c>
      <c r="H69" s="317">
        <v>1.52</v>
      </c>
      <c r="I69" s="320">
        <v>1.52</v>
      </c>
      <c r="J69" s="25">
        <v>4.1000000000000002E-2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2.3029999999999999</v>
      </c>
      <c r="E70" s="91">
        <v>0.35699999999999998</v>
      </c>
      <c r="F70" s="92">
        <v>6.0999999999999999E-2</v>
      </c>
      <c r="G70" s="317">
        <v>157.4</v>
      </c>
      <c r="H70" s="317">
        <v>1.52</v>
      </c>
      <c r="I70" s="320">
        <v>1.52</v>
      </c>
      <c r="J70" s="25">
        <v>4.1000000000000002E-2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2.3029999999999999</v>
      </c>
      <c r="E71" s="91">
        <v>0.35699999999999998</v>
      </c>
      <c r="F71" s="92">
        <v>6.0999999999999999E-2</v>
      </c>
      <c r="G71" s="317">
        <v>405.98</v>
      </c>
      <c r="H71" s="317">
        <v>1.52</v>
      </c>
      <c r="I71" s="320">
        <v>1.52</v>
      </c>
      <c r="J71" s="25">
        <v>4.1000000000000002E-2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2.254</v>
      </c>
      <c r="E72" s="91">
        <v>0.308</v>
      </c>
      <c r="F72" s="92">
        <v>5.5E-2</v>
      </c>
      <c r="G72" s="317">
        <v>6.99</v>
      </c>
      <c r="H72" s="317">
        <v>2.4700000000000002</v>
      </c>
      <c r="I72" s="320">
        <v>2.4700000000000002</v>
      </c>
      <c r="J72" s="25">
        <v>3.7999999999999999E-2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2.254</v>
      </c>
      <c r="E73" s="91">
        <v>0.308</v>
      </c>
      <c r="F73" s="92">
        <v>5.5E-2</v>
      </c>
      <c r="G73" s="317">
        <v>83.18</v>
      </c>
      <c r="H73" s="317">
        <v>2.4700000000000002</v>
      </c>
      <c r="I73" s="320">
        <v>2.4700000000000002</v>
      </c>
      <c r="J73" s="25">
        <v>3.7999999999999999E-2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2.254</v>
      </c>
      <c r="E74" s="91">
        <v>0.308</v>
      </c>
      <c r="F74" s="92">
        <v>5.5E-2</v>
      </c>
      <c r="G74" s="317">
        <v>170.3</v>
      </c>
      <c r="H74" s="317">
        <v>2.4700000000000002</v>
      </c>
      <c r="I74" s="320">
        <v>2.4700000000000002</v>
      </c>
      <c r="J74" s="25">
        <v>3.7999999999999999E-2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2.254</v>
      </c>
      <c r="E75" s="91">
        <v>0.308</v>
      </c>
      <c r="F75" s="92">
        <v>5.5E-2</v>
      </c>
      <c r="G75" s="317">
        <v>272.91000000000003</v>
      </c>
      <c r="H75" s="317">
        <v>2.4700000000000002</v>
      </c>
      <c r="I75" s="320">
        <v>2.4700000000000002</v>
      </c>
      <c r="J75" s="25">
        <v>3.7999999999999999E-2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2.254</v>
      </c>
      <c r="E76" s="91">
        <v>0.308</v>
      </c>
      <c r="F76" s="92">
        <v>5.5E-2</v>
      </c>
      <c r="G76" s="317">
        <v>703.9</v>
      </c>
      <c r="H76" s="317">
        <v>2.4700000000000002</v>
      </c>
      <c r="I76" s="320">
        <v>2.4700000000000002</v>
      </c>
      <c r="J76" s="25">
        <v>3.7999999999999999E-2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2.0219999999999998</v>
      </c>
      <c r="E77" s="91">
        <v>0.245</v>
      </c>
      <c r="F77" s="92">
        <v>4.5999999999999999E-2</v>
      </c>
      <c r="G77" s="317">
        <v>176.49</v>
      </c>
      <c r="H77" s="317">
        <v>3.38</v>
      </c>
      <c r="I77" s="320">
        <v>3.38</v>
      </c>
      <c r="J77" s="25">
        <v>3.3000000000000002E-2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2.0219999999999998</v>
      </c>
      <c r="E78" s="91">
        <v>0.245</v>
      </c>
      <c r="F78" s="92">
        <v>4.5999999999999999E-2</v>
      </c>
      <c r="G78" s="317">
        <v>959.5</v>
      </c>
      <c r="H78" s="317">
        <v>3.38</v>
      </c>
      <c r="I78" s="320">
        <v>3.38</v>
      </c>
      <c r="J78" s="25">
        <v>3.3000000000000002E-2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2.0219999999999998</v>
      </c>
      <c r="E79" s="91">
        <v>0.245</v>
      </c>
      <c r="F79" s="92">
        <v>4.5999999999999999E-2</v>
      </c>
      <c r="G79" s="317">
        <v>2096.5100000000002</v>
      </c>
      <c r="H79" s="317">
        <v>3.38</v>
      </c>
      <c r="I79" s="320">
        <v>3.38</v>
      </c>
      <c r="J79" s="25">
        <v>3.3000000000000002E-2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2.0219999999999998</v>
      </c>
      <c r="E80" s="91">
        <v>0.245</v>
      </c>
      <c r="F80" s="92">
        <v>4.5999999999999999E-2</v>
      </c>
      <c r="G80" s="317">
        <v>3797.01</v>
      </c>
      <c r="H80" s="317">
        <v>3.38</v>
      </c>
      <c r="I80" s="320">
        <v>3.38</v>
      </c>
      <c r="J80" s="25">
        <v>3.3000000000000002E-2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2.0219999999999998</v>
      </c>
      <c r="E81" s="91">
        <v>0.245</v>
      </c>
      <c r="F81" s="92">
        <v>4.5999999999999999E-2</v>
      </c>
      <c r="G81" s="317">
        <v>9312.59</v>
      </c>
      <c r="H81" s="317">
        <v>3.38</v>
      </c>
      <c r="I81" s="320">
        <v>3.38</v>
      </c>
      <c r="J81" s="25">
        <v>3.3000000000000002E-2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2066</v>
      </c>
      <c r="D82" s="93">
        <v>8.8810000000000002</v>
      </c>
      <c r="E82" s="94">
        <v>0.60899999999999999</v>
      </c>
      <c r="F82" s="92">
        <v>0.28100000000000003</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805</v>
      </c>
      <c r="D83" s="90">
        <v>-3.6080000000000001</v>
      </c>
      <c r="E83" s="91">
        <v>-0.58299999999999996</v>
      </c>
      <c r="F83" s="92">
        <v>-9.9000000000000005E-2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-3.6930000000000001</v>
      </c>
      <c r="E84" s="91">
        <v>-0.58299999999999996</v>
      </c>
      <c r="F84" s="92">
        <v>-0.1</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-3.6080000000000001</v>
      </c>
      <c r="E85" s="91">
        <v>-0.58299999999999996</v>
      </c>
      <c r="F85" s="92">
        <v>-9.9000000000000005E-2</v>
      </c>
      <c r="G85" s="317" t="s">
        <v>797</v>
      </c>
      <c r="H85" s="318" t="s">
        <v>797</v>
      </c>
      <c r="I85" s="319" t="s">
        <v>797</v>
      </c>
      <c r="J85" s="25">
        <v>5.7000000000000002E-2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-3.6930000000000001</v>
      </c>
      <c r="E86" s="91">
        <v>-0.58299999999999996</v>
      </c>
      <c r="F86" s="92">
        <v>-0.1</v>
      </c>
      <c r="G86" s="317" t="s">
        <v>797</v>
      </c>
      <c r="H86" s="318" t="s">
        <v>797</v>
      </c>
      <c r="I86" s="319" t="s">
        <v>797</v>
      </c>
      <c r="J86" s="25">
        <v>6.5000000000000002E-2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-4.0590000000000002</v>
      </c>
      <c r="E87" s="91">
        <v>-0.55500000000000005</v>
      </c>
      <c r="F87" s="92">
        <v>-0.1</v>
      </c>
      <c r="G87" s="317">
        <v>69.3</v>
      </c>
      <c r="H87" s="318" t="s">
        <v>797</v>
      </c>
      <c r="I87" s="319" t="s">
        <v>797</v>
      </c>
      <c r="J87" s="25">
        <v>0.10100000000000001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2.1509999999999998</v>
      </c>
      <c r="E88" s="91">
        <v>0.34799999999999998</v>
      </c>
      <c r="F88" s="92">
        <v>5.8999999999999997E-2</v>
      </c>
      <c r="G88" s="317">
        <v>4.1399999999999997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2.1509999999999998</v>
      </c>
      <c r="E89" s="91">
        <v>0.34799999999999998</v>
      </c>
      <c r="F89" s="92">
        <v>5.8999999999999997E-2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2.29</v>
      </c>
      <c r="E90" s="91">
        <v>0.37</v>
      </c>
      <c r="F90" s="92">
        <v>6.3E-2</v>
      </c>
      <c r="G90" s="317">
        <v>2.76</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2.29</v>
      </c>
      <c r="E91" s="91">
        <v>0.37</v>
      </c>
      <c r="F91" s="92">
        <v>6.3E-2</v>
      </c>
      <c r="G91" s="317">
        <v>3.99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2.29</v>
      </c>
      <c r="E92" s="91">
        <v>0.37</v>
      </c>
      <c r="F92" s="92">
        <v>6.3E-2</v>
      </c>
      <c r="G92" s="317">
        <v>5.94</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2.29</v>
      </c>
      <c r="E93" s="91">
        <v>0.37</v>
      </c>
      <c r="F93" s="92">
        <v>6.3E-2</v>
      </c>
      <c r="G93" s="317">
        <v>9.5500000000000007</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2.29</v>
      </c>
      <c r="E94" s="91">
        <v>0.37</v>
      </c>
      <c r="F94" s="92">
        <v>6.3E-2</v>
      </c>
      <c r="G94" s="317">
        <v>21.14</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2.29</v>
      </c>
      <c r="E95" s="91">
        <v>0.37</v>
      </c>
      <c r="F95" s="92">
        <v>6.3E-2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1.6020000000000001</v>
      </c>
      <c r="E96" s="91">
        <v>0.248</v>
      </c>
      <c r="F96" s="92">
        <v>4.2999999999999997E-2</v>
      </c>
      <c r="G96" s="317">
        <v>2.8</v>
      </c>
      <c r="H96" s="317">
        <v>1.06</v>
      </c>
      <c r="I96" s="320">
        <v>1.06</v>
      </c>
      <c r="J96" s="25">
        <v>2.9000000000000001E-2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1.6020000000000001</v>
      </c>
      <c r="E97" s="91">
        <v>0.248</v>
      </c>
      <c r="F97" s="92">
        <v>4.2999999999999997E-2</v>
      </c>
      <c r="G97" s="317">
        <v>33.369999999999997</v>
      </c>
      <c r="H97" s="317">
        <v>1.06</v>
      </c>
      <c r="I97" s="320">
        <v>1.06</v>
      </c>
      <c r="J97" s="25">
        <v>2.9000000000000001E-2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1.6020000000000001</v>
      </c>
      <c r="E98" s="91">
        <v>0.248</v>
      </c>
      <c r="F98" s="92">
        <v>4.2999999999999997E-2</v>
      </c>
      <c r="G98" s="317">
        <v>68.33</v>
      </c>
      <c r="H98" s="317">
        <v>1.06</v>
      </c>
      <c r="I98" s="320">
        <v>1.06</v>
      </c>
      <c r="J98" s="25">
        <v>2.9000000000000001E-2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1.6020000000000001</v>
      </c>
      <c r="E99" s="91">
        <v>0.248</v>
      </c>
      <c r="F99" s="92">
        <v>4.2999999999999997E-2</v>
      </c>
      <c r="G99" s="317">
        <v>109.5</v>
      </c>
      <c r="H99" s="317">
        <v>1.06</v>
      </c>
      <c r="I99" s="320">
        <v>1.06</v>
      </c>
      <c r="J99" s="25">
        <v>2.9000000000000001E-2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1.6020000000000001</v>
      </c>
      <c r="E100" s="91">
        <v>0.248</v>
      </c>
      <c r="F100" s="92">
        <v>4.2999999999999997E-2</v>
      </c>
      <c r="G100" s="317">
        <v>282.42</v>
      </c>
      <c r="H100" s="317">
        <v>1.06</v>
      </c>
      <c r="I100" s="320">
        <v>1.06</v>
      </c>
      <c r="J100" s="25">
        <v>2.9000000000000001E-2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1.5680000000000001</v>
      </c>
      <c r="E101" s="91">
        <v>0.214</v>
      </c>
      <c r="F101" s="92">
        <v>3.9E-2</v>
      </c>
      <c r="G101" s="317">
        <v>4.8600000000000003</v>
      </c>
      <c r="H101" s="317">
        <v>1.72</v>
      </c>
      <c r="I101" s="320">
        <v>1.72</v>
      </c>
      <c r="J101" s="25">
        <v>2.7E-2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1.5680000000000001</v>
      </c>
      <c r="E102" s="91">
        <v>0.214</v>
      </c>
      <c r="F102" s="92">
        <v>3.9E-2</v>
      </c>
      <c r="G102" s="317">
        <v>57.87</v>
      </c>
      <c r="H102" s="317">
        <v>1.72</v>
      </c>
      <c r="I102" s="320">
        <v>1.72</v>
      </c>
      <c r="J102" s="25">
        <v>2.7E-2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1.5680000000000001</v>
      </c>
      <c r="E103" s="91">
        <v>0.214</v>
      </c>
      <c r="F103" s="92">
        <v>3.9E-2</v>
      </c>
      <c r="G103" s="317">
        <v>118.47</v>
      </c>
      <c r="H103" s="317">
        <v>1.72</v>
      </c>
      <c r="I103" s="320">
        <v>1.72</v>
      </c>
      <c r="J103" s="25">
        <v>2.7E-2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1.5680000000000001</v>
      </c>
      <c r="E104" s="91">
        <v>0.214</v>
      </c>
      <c r="F104" s="92">
        <v>3.9E-2</v>
      </c>
      <c r="G104" s="317">
        <v>189.85</v>
      </c>
      <c r="H104" s="317">
        <v>1.72</v>
      </c>
      <c r="I104" s="320">
        <v>1.72</v>
      </c>
      <c r="J104" s="25">
        <v>2.7E-2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1.5680000000000001</v>
      </c>
      <c r="E105" s="91">
        <v>0.214</v>
      </c>
      <c r="F105" s="92">
        <v>3.9E-2</v>
      </c>
      <c r="G105" s="317">
        <v>489.67</v>
      </c>
      <c r="H105" s="317">
        <v>1.72</v>
      </c>
      <c r="I105" s="320">
        <v>1.72</v>
      </c>
      <c r="J105" s="25">
        <v>2.7E-2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1.4059999999999999</v>
      </c>
      <c r="E106" s="91">
        <v>0.17100000000000001</v>
      </c>
      <c r="F106" s="92">
        <v>3.2000000000000001E-2</v>
      </c>
      <c r="G106" s="317">
        <v>122.78</v>
      </c>
      <c r="H106" s="317">
        <v>2.35</v>
      </c>
      <c r="I106" s="320">
        <v>2.35</v>
      </c>
      <c r="J106" s="25">
        <v>2.3E-2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1.4059999999999999</v>
      </c>
      <c r="E107" s="91">
        <v>0.17100000000000001</v>
      </c>
      <c r="F107" s="92">
        <v>3.2000000000000001E-2</v>
      </c>
      <c r="G107" s="317">
        <v>667.48</v>
      </c>
      <c r="H107" s="317">
        <v>2.35</v>
      </c>
      <c r="I107" s="320">
        <v>2.35</v>
      </c>
      <c r="J107" s="25">
        <v>2.3E-2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1.4059999999999999</v>
      </c>
      <c r="E108" s="91">
        <v>0.17100000000000001</v>
      </c>
      <c r="F108" s="92">
        <v>3.2000000000000001E-2</v>
      </c>
      <c r="G108" s="317">
        <v>1458.44</v>
      </c>
      <c r="H108" s="317">
        <v>2.35</v>
      </c>
      <c r="I108" s="320">
        <v>2.35</v>
      </c>
      <c r="J108" s="25">
        <v>2.3E-2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1.4059999999999999</v>
      </c>
      <c r="E109" s="91">
        <v>0.17100000000000001</v>
      </c>
      <c r="F109" s="92">
        <v>3.2000000000000001E-2</v>
      </c>
      <c r="G109" s="317">
        <v>2641.4</v>
      </c>
      <c r="H109" s="317">
        <v>2.35</v>
      </c>
      <c r="I109" s="320">
        <v>2.35</v>
      </c>
      <c r="J109" s="25">
        <v>2.3E-2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1.4059999999999999</v>
      </c>
      <c r="E110" s="91">
        <v>0.17100000000000001</v>
      </c>
      <c r="F110" s="92">
        <v>3.2000000000000001E-2</v>
      </c>
      <c r="G110" s="317">
        <v>6478.32</v>
      </c>
      <c r="H110" s="317">
        <v>2.35</v>
      </c>
      <c r="I110" s="320">
        <v>2.35</v>
      </c>
      <c r="J110" s="25">
        <v>2.3E-2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2066</v>
      </c>
      <c r="D111" s="93">
        <v>6.1779999999999999</v>
      </c>
      <c r="E111" s="94">
        <v>0.42299999999999999</v>
      </c>
      <c r="F111" s="92">
        <v>0.19500000000000001</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805</v>
      </c>
      <c r="D112" s="90">
        <v>-2.5099999999999998</v>
      </c>
      <c r="E112" s="91">
        <v>-0.40500000000000003</v>
      </c>
      <c r="F112" s="92">
        <v>-6.9000000000000006E-2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-2.569</v>
      </c>
      <c r="E113" s="91">
        <v>-0.40600000000000003</v>
      </c>
      <c r="F113" s="92">
        <v>-6.9000000000000006E-2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-2.5099999999999998</v>
      </c>
      <c r="E114" s="91">
        <v>-0.40500000000000003</v>
      </c>
      <c r="F114" s="92">
        <v>-6.9000000000000006E-2</v>
      </c>
      <c r="G114" s="317" t="s">
        <v>797</v>
      </c>
      <c r="H114" s="318" t="s">
        <v>797</v>
      </c>
      <c r="I114" s="319" t="s">
        <v>797</v>
      </c>
      <c r="J114" s="25">
        <v>0.04</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-2.569</v>
      </c>
      <c r="E115" s="91">
        <v>-0.40600000000000003</v>
      </c>
      <c r="F115" s="92">
        <v>-6.9000000000000006E-2</v>
      </c>
      <c r="G115" s="317" t="s">
        <v>797</v>
      </c>
      <c r="H115" s="318" t="s">
        <v>797</v>
      </c>
      <c r="I115" s="319" t="s">
        <v>797</v>
      </c>
      <c r="J115" s="25">
        <v>4.4999999999999998E-2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-2.8239999999999998</v>
      </c>
      <c r="E116" s="91">
        <v>-0.38600000000000001</v>
      </c>
      <c r="F116" s="92">
        <v>-6.9000000000000006E-2</v>
      </c>
      <c r="G116" s="317">
        <v>48.21</v>
      </c>
      <c r="H116" s="318" t="s">
        <v>797</v>
      </c>
      <c r="I116" s="319" t="s">
        <v>797</v>
      </c>
      <c r="J116" s="25">
        <v>7.0000000000000007E-2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1.427</v>
      </c>
      <c r="E117" s="91">
        <v>0.23</v>
      </c>
      <c r="F117" s="92">
        <v>3.9E-2</v>
      </c>
      <c r="G117" s="317">
        <v>2.74</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1.427</v>
      </c>
      <c r="E118" s="91">
        <v>0.23</v>
      </c>
      <c r="F118" s="92">
        <v>3.9E-2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1.5189999999999999</v>
      </c>
      <c r="E119" s="91">
        <v>0.245</v>
      </c>
      <c r="F119" s="92">
        <v>4.2000000000000003E-2</v>
      </c>
      <c r="G119" s="317">
        <v>1.83</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1.5189999999999999</v>
      </c>
      <c r="E120" s="91">
        <v>0.245</v>
      </c>
      <c r="F120" s="92">
        <v>4.2000000000000003E-2</v>
      </c>
      <c r="G120" s="317">
        <v>2.65</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1.5189999999999999</v>
      </c>
      <c r="E121" s="91">
        <v>0.245</v>
      </c>
      <c r="F121" s="92">
        <v>4.2000000000000003E-2</v>
      </c>
      <c r="G121" s="317">
        <v>3.94</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1.5189999999999999</v>
      </c>
      <c r="E122" s="91">
        <v>0.245</v>
      </c>
      <c r="F122" s="92">
        <v>4.2000000000000003E-2</v>
      </c>
      <c r="G122" s="317">
        <v>6.33</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1.5189999999999999</v>
      </c>
      <c r="E123" s="91">
        <v>0.245</v>
      </c>
      <c r="F123" s="92">
        <v>4.2000000000000003E-2</v>
      </c>
      <c r="G123" s="317">
        <v>14.02</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1.5189999999999999</v>
      </c>
      <c r="E124" s="91">
        <v>0.245</v>
      </c>
      <c r="F124" s="92">
        <v>4.2000000000000003E-2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1.0620000000000001</v>
      </c>
      <c r="E125" s="91">
        <v>0.16500000000000001</v>
      </c>
      <c r="F125" s="92">
        <v>2.8000000000000001E-2</v>
      </c>
      <c r="G125" s="317">
        <v>1.86</v>
      </c>
      <c r="H125" s="317">
        <v>0.7</v>
      </c>
      <c r="I125" s="320">
        <v>0.7</v>
      </c>
      <c r="J125" s="25">
        <v>1.9E-2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1.0620000000000001</v>
      </c>
      <c r="E126" s="91">
        <v>0.16500000000000001</v>
      </c>
      <c r="F126" s="92">
        <v>2.8000000000000001E-2</v>
      </c>
      <c r="G126" s="317">
        <v>22.13</v>
      </c>
      <c r="H126" s="317">
        <v>0.7</v>
      </c>
      <c r="I126" s="320">
        <v>0.7</v>
      </c>
      <c r="J126" s="25">
        <v>1.9E-2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1.0620000000000001</v>
      </c>
      <c r="E127" s="91">
        <v>0.16500000000000001</v>
      </c>
      <c r="F127" s="92">
        <v>2.8000000000000001E-2</v>
      </c>
      <c r="G127" s="317">
        <v>45.31</v>
      </c>
      <c r="H127" s="317">
        <v>0.7</v>
      </c>
      <c r="I127" s="320">
        <v>0.7</v>
      </c>
      <c r="J127" s="25">
        <v>1.9E-2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1.0620000000000001</v>
      </c>
      <c r="E128" s="91">
        <v>0.16500000000000001</v>
      </c>
      <c r="F128" s="92">
        <v>2.8000000000000001E-2</v>
      </c>
      <c r="G128" s="317">
        <v>72.61</v>
      </c>
      <c r="H128" s="317">
        <v>0.7</v>
      </c>
      <c r="I128" s="320">
        <v>0.7</v>
      </c>
      <c r="J128" s="25">
        <v>1.9E-2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1.0620000000000001</v>
      </c>
      <c r="E129" s="91">
        <v>0.16500000000000001</v>
      </c>
      <c r="F129" s="92">
        <v>2.8000000000000001E-2</v>
      </c>
      <c r="G129" s="317">
        <v>187.29</v>
      </c>
      <c r="H129" s="317">
        <v>0.7</v>
      </c>
      <c r="I129" s="320">
        <v>0.7</v>
      </c>
      <c r="J129" s="25">
        <v>1.9E-2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1.04</v>
      </c>
      <c r="E130" s="91">
        <v>0.14199999999999999</v>
      </c>
      <c r="F130" s="92">
        <v>2.5999999999999999E-2</v>
      </c>
      <c r="G130" s="317">
        <v>3.22</v>
      </c>
      <c r="H130" s="317">
        <v>1.1399999999999999</v>
      </c>
      <c r="I130" s="320">
        <v>1.1399999999999999</v>
      </c>
      <c r="J130" s="25">
        <v>1.7999999999999999E-2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1.04</v>
      </c>
      <c r="E131" s="91">
        <v>0.14199999999999999</v>
      </c>
      <c r="F131" s="92">
        <v>2.5999999999999999E-2</v>
      </c>
      <c r="G131" s="317">
        <v>38.369999999999997</v>
      </c>
      <c r="H131" s="317">
        <v>1.1399999999999999</v>
      </c>
      <c r="I131" s="320">
        <v>1.1399999999999999</v>
      </c>
      <c r="J131" s="25">
        <v>1.7999999999999999E-2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1.04</v>
      </c>
      <c r="E132" s="91">
        <v>0.14199999999999999</v>
      </c>
      <c r="F132" s="92">
        <v>2.5999999999999999E-2</v>
      </c>
      <c r="G132" s="317">
        <v>78.569999999999993</v>
      </c>
      <c r="H132" s="317">
        <v>1.1399999999999999</v>
      </c>
      <c r="I132" s="320">
        <v>1.1399999999999999</v>
      </c>
      <c r="J132" s="25">
        <v>1.7999999999999999E-2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1.04</v>
      </c>
      <c r="E133" s="91">
        <v>0.14199999999999999</v>
      </c>
      <c r="F133" s="92">
        <v>2.5999999999999999E-2</v>
      </c>
      <c r="G133" s="317">
        <v>125.9</v>
      </c>
      <c r="H133" s="317">
        <v>1.1399999999999999</v>
      </c>
      <c r="I133" s="320">
        <v>1.1399999999999999</v>
      </c>
      <c r="J133" s="25">
        <v>1.7999999999999999E-2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1.04</v>
      </c>
      <c r="E134" s="91">
        <v>0.14199999999999999</v>
      </c>
      <c r="F134" s="92">
        <v>2.5999999999999999E-2</v>
      </c>
      <c r="G134" s="317">
        <v>324.73</v>
      </c>
      <c r="H134" s="317">
        <v>1.1399999999999999</v>
      </c>
      <c r="I134" s="320">
        <v>1.1399999999999999</v>
      </c>
      <c r="J134" s="25">
        <v>1.7999999999999999E-2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0.93300000000000005</v>
      </c>
      <c r="E135" s="91">
        <v>0.113</v>
      </c>
      <c r="F135" s="92">
        <v>2.1000000000000001E-2</v>
      </c>
      <c r="G135" s="317">
        <v>81.42</v>
      </c>
      <c r="H135" s="317">
        <v>1.56</v>
      </c>
      <c r="I135" s="320">
        <v>1.56</v>
      </c>
      <c r="J135" s="25">
        <v>1.4999999999999999E-2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0.93300000000000005</v>
      </c>
      <c r="E136" s="91">
        <v>0.113</v>
      </c>
      <c r="F136" s="92">
        <v>2.1000000000000001E-2</v>
      </c>
      <c r="G136" s="317">
        <v>442.65</v>
      </c>
      <c r="H136" s="317">
        <v>1.56</v>
      </c>
      <c r="I136" s="320">
        <v>1.56</v>
      </c>
      <c r="J136" s="25">
        <v>1.4999999999999999E-2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0.93300000000000005</v>
      </c>
      <c r="E137" s="91">
        <v>0.113</v>
      </c>
      <c r="F137" s="92">
        <v>2.1000000000000001E-2</v>
      </c>
      <c r="G137" s="317">
        <v>967.18</v>
      </c>
      <c r="H137" s="317">
        <v>1.56</v>
      </c>
      <c r="I137" s="320">
        <v>1.56</v>
      </c>
      <c r="J137" s="25">
        <v>1.4999999999999999E-2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0.93300000000000005</v>
      </c>
      <c r="E138" s="91">
        <v>0.113</v>
      </c>
      <c r="F138" s="92">
        <v>2.1000000000000001E-2</v>
      </c>
      <c r="G138" s="317">
        <v>1751.67</v>
      </c>
      <c r="H138" s="317">
        <v>1.56</v>
      </c>
      <c r="I138" s="320">
        <v>1.56</v>
      </c>
      <c r="J138" s="25">
        <v>1.4999999999999999E-2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0.93300000000000005</v>
      </c>
      <c r="E139" s="91">
        <v>0.113</v>
      </c>
      <c r="F139" s="92">
        <v>2.1000000000000001E-2</v>
      </c>
      <c r="G139" s="317">
        <v>4296.16</v>
      </c>
      <c r="H139" s="317">
        <v>1.56</v>
      </c>
      <c r="I139" s="320">
        <v>1.56</v>
      </c>
      <c r="J139" s="25">
        <v>1.4999999999999999E-2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2066</v>
      </c>
      <c r="D140" s="93">
        <v>4.0970000000000004</v>
      </c>
      <c r="E140" s="94">
        <v>0.28100000000000003</v>
      </c>
      <c r="F140" s="92">
        <v>0.129</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805</v>
      </c>
      <c r="D141" s="90">
        <v>-1.6639999999999999</v>
      </c>
      <c r="E141" s="91">
        <v>-0.26900000000000002</v>
      </c>
      <c r="F141" s="92">
        <v>-4.5999999999999999E-2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-1.704</v>
      </c>
      <c r="E142" s="91">
        <v>-0.26900000000000002</v>
      </c>
      <c r="F142" s="92">
        <v>-4.5999999999999999E-2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-1.6639999999999999</v>
      </c>
      <c r="E143" s="91">
        <v>-0.26900000000000002</v>
      </c>
      <c r="F143" s="92">
        <v>-4.5999999999999999E-2</v>
      </c>
      <c r="G143" s="317" t="s">
        <v>797</v>
      </c>
      <c r="H143" s="318" t="s">
        <v>797</v>
      </c>
      <c r="I143" s="319" t="s">
        <v>797</v>
      </c>
      <c r="J143" s="25">
        <v>2.5999999999999999E-2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-1.704</v>
      </c>
      <c r="E144" s="91">
        <v>-0.26900000000000002</v>
      </c>
      <c r="F144" s="92">
        <v>-4.5999999999999999E-2</v>
      </c>
      <c r="G144" s="317" t="s">
        <v>797</v>
      </c>
      <c r="H144" s="318" t="s">
        <v>797</v>
      </c>
      <c r="I144" s="319" t="s">
        <v>797</v>
      </c>
      <c r="J144" s="25">
        <v>0.03</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-1.8720000000000001</v>
      </c>
      <c r="E145" s="91">
        <v>-0.25600000000000001</v>
      </c>
      <c r="F145" s="92">
        <v>-4.5999999999999999E-2</v>
      </c>
      <c r="G145" s="317">
        <v>31.97</v>
      </c>
      <c r="H145" s="318" t="s">
        <v>797</v>
      </c>
      <c r="I145" s="319" t="s">
        <v>797</v>
      </c>
      <c r="J145" s="25">
        <v>4.7E-2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0.72699999999999998</v>
      </c>
      <c r="E146" s="91">
        <v>0.11700000000000001</v>
      </c>
      <c r="F146" s="92">
        <v>0.02</v>
      </c>
      <c r="G146" s="317">
        <v>1.4</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0.72699999999999998</v>
      </c>
      <c r="E147" s="91">
        <v>0.11700000000000001</v>
      </c>
      <c r="F147" s="92">
        <v>0.02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0.77400000000000002</v>
      </c>
      <c r="E148" s="91">
        <v>0.125</v>
      </c>
      <c r="F148" s="92">
        <v>2.1000000000000001E-2</v>
      </c>
      <c r="G148" s="317">
        <v>0.93</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0.77400000000000002</v>
      </c>
      <c r="E149" s="91">
        <v>0.125</v>
      </c>
      <c r="F149" s="92">
        <v>2.1000000000000001E-2</v>
      </c>
      <c r="G149" s="317">
        <v>1.35</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0.77400000000000002</v>
      </c>
      <c r="E150" s="91">
        <v>0.125</v>
      </c>
      <c r="F150" s="92">
        <v>2.1000000000000001E-2</v>
      </c>
      <c r="G150" s="317">
        <v>2.0099999999999998</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0.77400000000000002</v>
      </c>
      <c r="E151" s="91">
        <v>0.125</v>
      </c>
      <c r="F151" s="92">
        <v>2.1000000000000001E-2</v>
      </c>
      <c r="G151" s="317">
        <v>3.23</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0.77400000000000002</v>
      </c>
      <c r="E152" s="91">
        <v>0.125</v>
      </c>
      <c r="F152" s="92">
        <v>2.1000000000000001E-2</v>
      </c>
      <c r="G152" s="317">
        <v>7.14</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0.77400000000000002</v>
      </c>
      <c r="E153" s="91">
        <v>0.125</v>
      </c>
      <c r="F153" s="92">
        <v>2.1000000000000001E-2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0.54100000000000004</v>
      </c>
      <c r="E154" s="91">
        <v>8.4000000000000005E-2</v>
      </c>
      <c r="F154" s="92">
        <v>1.4E-2</v>
      </c>
      <c r="G154" s="317">
        <v>0.95</v>
      </c>
      <c r="H154" s="317">
        <v>0.36</v>
      </c>
      <c r="I154" s="320">
        <v>0.36</v>
      </c>
      <c r="J154" s="25">
        <v>0.01</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0.54100000000000004</v>
      </c>
      <c r="E155" s="91">
        <v>8.4000000000000005E-2</v>
      </c>
      <c r="F155" s="92">
        <v>1.4E-2</v>
      </c>
      <c r="G155" s="317">
        <v>11.28</v>
      </c>
      <c r="H155" s="317">
        <v>0.36</v>
      </c>
      <c r="I155" s="320">
        <v>0.36</v>
      </c>
      <c r="J155" s="25">
        <v>0.01</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0.54100000000000004</v>
      </c>
      <c r="E156" s="91">
        <v>8.4000000000000005E-2</v>
      </c>
      <c r="F156" s="92">
        <v>1.4E-2</v>
      </c>
      <c r="G156" s="317">
        <v>23.09</v>
      </c>
      <c r="H156" s="317">
        <v>0.36</v>
      </c>
      <c r="I156" s="320">
        <v>0.36</v>
      </c>
      <c r="J156" s="25">
        <v>0.01</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0.54100000000000004</v>
      </c>
      <c r="E157" s="91">
        <v>8.4000000000000005E-2</v>
      </c>
      <c r="F157" s="92">
        <v>1.4E-2</v>
      </c>
      <c r="G157" s="317">
        <v>37.01</v>
      </c>
      <c r="H157" s="317">
        <v>0.36</v>
      </c>
      <c r="I157" s="320">
        <v>0.36</v>
      </c>
      <c r="J157" s="25">
        <v>0.01</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0.54100000000000004</v>
      </c>
      <c r="E158" s="91">
        <v>8.4000000000000005E-2</v>
      </c>
      <c r="F158" s="92">
        <v>1.4E-2</v>
      </c>
      <c r="G158" s="317">
        <v>95.46</v>
      </c>
      <c r="H158" s="317">
        <v>0.36</v>
      </c>
      <c r="I158" s="320">
        <v>0.36</v>
      </c>
      <c r="J158" s="25">
        <v>0.01</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0.53</v>
      </c>
      <c r="E159" s="91">
        <v>7.1999999999999995E-2</v>
      </c>
      <c r="F159" s="92">
        <v>1.2999999999999999E-2</v>
      </c>
      <c r="G159" s="317">
        <v>1.64</v>
      </c>
      <c r="H159" s="317">
        <v>0.57999999999999996</v>
      </c>
      <c r="I159" s="320">
        <v>0.57999999999999996</v>
      </c>
      <c r="J159" s="25">
        <v>8.9999999999999993E-3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0.53</v>
      </c>
      <c r="E160" s="91">
        <v>7.1999999999999995E-2</v>
      </c>
      <c r="F160" s="92">
        <v>1.2999999999999999E-2</v>
      </c>
      <c r="G160" s="317">
        <v>19.559999999999999</v>
      </c>
      <c r="H160" s="317">
        <v>0.57999999999999996</v>
      </c>
      <c r="I160" s="320">
        <v>0.57999999999999996</v>
      </c>
      <c r="J160" s="25">
        <v>8.9999999999999993E-3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0.53</v>
      </c>
      <c r="E161" s="91">
        <v>7.1999999999999995E-2</v>
      </c>
      <c r="F161" s="92">
        <v>1.2999999999999999E-2</v>
      </c>
      <c r="G161" s="317">
        <v>40.04</v>
      </c>
      <c r="H161" s="317">
        <v>0.57999999999999996</v>
      </c>
      <c r="I161" s="320">
        <v>0.57999999999999996</v>
      </c>
      <c r="J161" s="25">
        <v>8.9999999999999993E-3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0.53</v>
      </c>
      <c r="E162" s="91">
        <v>7.1999999999999995E-2</v>
      </c>
      <c r="F162" s="92">
        <v>1.2999999999999999E-2</v>
      </c>
      <c r="G162" s="317">
        <v>64.17</v>
      </c>
      <c r="H162" s="317">
        <v>0.57999999999999996</v>
      </c>
      <c r="I162" s="320">
        <v>0.57999999999999996</v>
      </c>
      <c r="J162" s="25">
        <v>8.9999999999999993E-3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0.53</v>
      </c>
      <c r="E163" s="91">
        <v>7.1999999999999995E-2</v>
      </c>
      <c r="F163" s="92">
        <v>1.2999999999999999E-2</v>
      </c>
      <c r="G163" s="317">
        <v>165.51</v>
      </c>
      <c r="H163" s="317">
        <v>0.57999999999999996</v>
      </c>
      <c r="I163" s="320">
        <v>0.57999999999999996</v>
      </c>
      <c r="J163" s="25">
        <v>8.9999999999999993E-3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0.47499999999999998</v>
      </c>
      <c r="E164" s="91">
        <v>5.8000000000000003E-2</v>
      </c>
      <c r="F164" s="92">
        <v>1.0999999999999999E-2</v>
      </c>
      <c r="G164" s="317">
        <v>41.5</v>
      </c>
      <c r="H164" s="317">
        <v>0.79</v>
      </c>
      <c r="I164" s="320">
        <v>0.79</v>
      </c>
      <c r="J164" s="25">
        <v>8.0000000000000002E-3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0.47499999999999998</v>
      </c>
      <c r="E165" s="91">
        <v>5.8000000000000003E-2</v>
      </c>
      <c r="F165" s="92">
        <v>1.0999999999999999E-2</v>
      </c>
      <c r="G165" s="317">
        <v>225.61</v>
      </c>
      <c r="H165" s="317">
        <v>0.79</v>
      </c>
      <c r="I165" s="320">
        <v>0.79</v>
      </c>
      <c r="J165" s="25">
        <v>8.0000000000000002E-3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0.47499999999999998</v>
      </c>
      <c r="E166" s="91">
        <v>5.8000000000000003E-2</v>
      </c>
      <c r="F166" s="92">
        <v>1.0999999999999999E-2</v>
      </c>
      <c r="G166" s="317">
        <v>492.95</v>
      </c>
      <c r="H166" s="317">
        <v>0.79</v>
      </c>
      <c r="I166" s="320">
        <v>0.79</v>
      </c>
      <c r="J166" s="25">
        <v>8.0000000000000002E-3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0.47499999999999998</v>
      </c>
      <c r="E167" s="91">
        <v>5.8000000000000003E-2</v>
      </c>
      <c r="F167" s="92">
        <v>1.0999999999999999E-2</v>
      </c>
      <c r="G167" s="317">
        <v>892.78</v>
      </c>
      <c r="H167" s="317">
        <v>0.79</v>
      </c>
      <c r="I167" s="320">
        <v>0.79</v>
      </c>
      <c r="J167" s="25">
        <v>8.0000000000000002E-3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0.47499999999999998</v>
      </c>
      <c r="E168" s="91">
        <v>5.8000000000000003E-2</v>
      </c>
      <c r="F168" s="92">
        <v>1.0999999999999999E-2</v>
      </c>
      <c r="G168" s="317">
        <v>2189.65</v>
      </c>
      <c r="H168" s="317">
        <v>0.79</v>
      </c>
      <c r="I168" s="320">
        <v>0.79</v>
      </c>
      <c r="J168" s="25">
        <v>8.0000000000000002E-3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2066</v>
      </c>
      <c r="D169" s="93">
        <v>2.0880000000000001</v>
      </c>
      <c r="E169" s="94">
        <v>0.14299999999999999</v>
      </c>
      <c r="F169" s="92">
        <v>6.6000000000000003E-2</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805</v>
      </c>
      <c r="D170" s="90">
        <v>-0.84799999999999998</v>
      </c>
      <c r="E170" s="91">
        <v>-0.13700000000000001</v>
      </c>
      <c r="F170" s="92">
        <v>-2.3E-2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-0.86799999999999999</v>
      </c>
      <c r="E171" s="91">
        <v>-0.13700000000000001</v>
      </c>
      <c r="F171" s="92">
        <v>-2.3E-2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-0.84799999999999998</v>
      </c>
      <c r="E172" s="91">
        <v>-0.13700000000000001</v>
      </c>
      <c r="F172" s="92">
        <v>-2.3E-2</v>
      </c>
      <c r="G172" s="317" t="s">
        <v>797</v>
      </c>
      <c r="H172" s="318" t="s">
        <v>797</v>
      </c>
      <c r="I172" s="319" t="s">
        <v>797</v>
      </c>
      <c r="J172" s="25">
        <v>1.2999999999999999E-2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-0.86799999999999999</v>
      </c>
      <c r="E173" s="91">
        <v>-0.13700000000000001</v>
      </c>
      <c r="F173" s="92">
        <v>-2.3E-2</v>
      </c>
      <c r="G173" s="317" t="s">
        <v>797</v>
      </c>
      <c r="H173" s="318" t="s">
        <v>797</v>
      </c>
      <c r="I173" s="319" t="s">
        <v>797</v>
      </c>
      <c r="J173" s="25">
        <v>1.4999999999999999E-2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-0.95399999999999996</v>
      </c>
      <c r="E174" s="91">
        <v>-0.13</v>
      </c>
      <c r="F174" s="92">
        <v>-2.3E-2</v>
      </c>
      <c r="G174" s="317">
        <v>16.29</v>
      </c>
      <c r="H174" s="318" t="s">
        <v>797</v>
      </c>
      <c r="I174" s="319" t="s">
        <v>797</v>
      </c>
      <c r="J174" s="25">
        <v>2.4E-2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0.23100000000000001</v>
      </c>
      <c r="E175" s="91">
        <v>3.6999999999999998E-2</v>
      </c>
      <c r="F175" s="92">
        <v>6.0000000000000001E-3</v>
      </c>
      <c r="G175" s="317">
        <v>0.44</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0.23100000000000001</v>
      </c>
      <c r="E176" s="91">
        <v>3.6999999999999998E-2</v>
      </c>
      <c r="F176" s="92">
        <v>6.0000000000000001E-3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0.246</v>
      </c>
      <c r="E177" s="91">
        <v>0.04</v>
      </c>
      <c r="F177" s="92">
        <v>7.0000000000000001E-3</v>
      </c>
      <c r="G177" s="317">
        <v>0.3</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0.246</v>
      </c>
      <c r="E178" s="91">
        <v>0.04</v>
      </c>
      <c r="F178" s="92">
        <v>7.0000000000000001E-3</v>
      </c>
      <c r="G178" s="317">
        <v>0.43</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0.246</v>
      </c>
      <c r="E179" s="91">
        <v>0.04</v>
      </c>
      <c r="F179" s="92">
        <v>7.0000000000000001E-3</v>
      </c>
      <c r="G179" s="317">
        <v>0.64</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0.246</v>
      </c>
      <c r="E180" s="91">
        <v>0.04</v>
      </c>
      <c r="F180" s="92">
        <v>7.0000000000000001E-3</v>
      </c>
      <c r="G180" s="317">
        <v>1.03</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0.246</v>
      </c>
      <c r="E181" s="91">
        <v>0.04</v>
      </c>
      <c r="F181" s="92">
        <v>7.0000000000000001E-3</v>
      </c>
      <c r="G181" s="317">
        <v>2.27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0.246</v>
      </c>
      <c r="E182" s="91">
        <v>0.04</v>
      </c>
      <c r="F182" s="92">
        <v>7.0000000000000001E-3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0.17199999999999999</v>
      </c>
      <c r="E183" s="91">
        <v>2.7E-2</v>
      </c>
      <c r="F183" s="92">
        <v>5.0000000000000001E-3</v>
      </c>
      <c r="G183" s="317">
        <v>0.3</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0.17199999999999999</v>
      </c>
      <c r="E184" s="91">
        <v>2.7E-2</v>
      </c>
      <c r="F184" s="92">
        <v>5.0000000000000001E-3</v>
      </c>
      <c r="G184" s="317">
        <v>3.59</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0.17199999999999999</v>
      </c>
      <c r="E185" s="91">
        <v>2.7E-2</v>
      </c>
      <c r="F185" s="92">
        <v>5.0000000000000001E-3</v>
      </c>
      <c r="G185" s="317">
        <v>7.35</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0.17199999999999999</v>
      </c>
      <c r="E186" s="91">
        <v>2.7E-2</v>
      </c>
      <c r="F186" s="92">
        <v>5.0000000000000001E-3</v>
      </c>
      <c r="G186" s="317">
        <v>11.78</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0.17199999999999999</v>
      </c>
      <c r="E187" s="91">
        <v>2.7E-2</v>
      </c>
      <c r="F187" s="92">
        <v>5.0000000000000001E-3</v>
      </c>
      <c r="G187" s="317">
        <v>30.37</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0.16900000000000001</v>
      </c>
      <c r="E188" s="91">
        <v>2.3E-2</v>
      </c>
      <c r="F188" s="92">
        <v>4.0000000000000001E-3</v>
      </c>
      <c r="G188" s="317">
        <v>0.52</v>
      </c>
      <c r="H188" s="317">
        <v>0.18</v>
      </c>
      <c r="I188" s="320">
        <v>0.18</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0.16900000000000001</v>
      </c>
      <c r="E189" s="91">
        <v>2.3E-2</v>
      </c>
      <c r="F189" s="92">
        <v>4.0000000000000001E-3</v>
      </c>
      <c r="G189" s="317">
        <v>6.22</v>
      </c>
      <c r="H189" s="317">
        <v>0.18</v>
      </c>
      <c r="I189" s="320">
        <v>0.18</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0.16900000000000001</v>
      </c>
      <c r="E190" s="91">
        <v>2.3E-2</v>
      </c>
      <c r="F190" s="92">
        <v>4.0000000000000001E-3</v>
      </c>
      <c r="G190" s="317">
        <v>12.74</v>
      </c>
      <c r="H190" s="317">
        <v>0.18</v>
      </c>
      <c r="I190" s="320">
        <v>0.18</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0.16900000000000001</v>
      </c>
      <c r="E191" s="91">
        <v>2.3E-2</v>
      </c>
      <c r="F191" s="92">
        <v>4.0000000000000001E-3</v>
      </c>
      <c r="G191" s="317">
        <v>20.420000000000002</v>
      </c>
      <c r="H191" s="317">
        <v>0.18</v>
      </c>
      <c r="I191" s="320">
        <v>0.18</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0.16900000000000001</v>
      </c>
      <c r="E192" s="91">
        <v>2.3E-2</v>
      </c>
      <c r="F192" s="92">
        <v>4.0000000000000001E-3</v>
      </c>
      <c r="G192" s="317">
        <v>52.66</v>
      </c>
      <c r="H192" s="317">
        <v>0.18</v>
      </c>
      <c r="I192" s="320">
        <v>0.18</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0.151</v>
      </c>
      <c r="E193" s="91">
        <v>1.7999999999999999E-2</v>
      </c>
      <c r="F193" s="92">
        <v>3.0000000000000001E-3</v>
      </c>
      <c r="G193" s="317">
        <v>13.2</v>
      </c>
      <c r="H193" s="317">
        <v>0.25</v>
      </c>
      <c r="I193" s="320">
        <v>0.25</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0.151</v>
      </c>
      <c r="E194" s="91">
        <v>1.7999999999999999E-2</v>
      </c>
      <c r="F194" s="92">
        <v>3.0000000000000001E-3</v>
      </c>
      <c r="G194" s="317">
        <v>71.78</v>
      </c>
      <c r="H194" s="317">
        <v>0.25</v>
      </c>
      <c r="I194" s="320">
        <v>0.25</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0.151</v>
      </c>
      <c r="E195" s="91">
        <v>1.7999999999999999E-2</v>
      </c>
      <c r="F195" s="92">
        <v>3.0000000000000001E-3</v>
      </c>
      <c r="G195" s="317">
        <v>156.84</v>
      </c>
      <c r="H195" s="317">
        <v>0.25</v>
      </c>
      <c r="I195" s="320">
        <v>0.25</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0.151</v>
      </c>
      <c r="E196" s="91">
        <v>1.7999999999999999E-2</v>
      </c>
      <c r="F196" s="92">
        <v>3.0000000000000001E-3</v>
      </c>
      <c r="G196" s="317">
        <v>284.06</v>
      </c>
      <c r="H196" s="317">
        <v>0.25</v>
      </c>
      <c r="I196" s="320">
        <v>0.25</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0.151</v>
      </c>
      <c r="E197" s="91">
        <v>1.7999999999999999E-2</v>
      </c>
      <c r="F197" s="92">
        <v>3.0000000000000001E-3</v>
      </c>
      <c r="G197" s="317">
        <v>696.69</v>
      </c>
      <c r="H197" s="317">
        <v>0.25</v>
      </c>
      <c r="I197" s="320">
        <v>0.25</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2066</v>
      </c>
      <c r="D198" s="93">
        <v>0.66400000000000003</v>
      </c>
      <c r="E198" s="94">
        <v>4.5999999999999999E-2</v>
      </c>
      <c r="F198" s="92">
        <v>2.1000000000000001E-2</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805</v>
      </c>
      <c r="D199" s="90">
        <v>-0.27</v>
      </c>
      <c r="E199" s="91">
        <v>-4.3999999999999997E-2</v>
      </c>
      <c r="F199" s="92">
        <v>-7.0000000000000001E-3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-0.27600000000000002</v>
      </c>
      <c r="E200" s="91">
        <v>-4.3999999999999997E-2</v>
      </c>
      <c r="F200" s="92">
        <v>-7.0000000000000001E-3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-0.27</v>
      </c>
      <c r="E201" s="91">
        <v>-4.3999999999999997E-2</v>
      </c>
      <c r="F201" s="92">
        <v>-7.0000000000000001E-3</v>
      </c>
      <c r="G201" s="317" t="s">
        <v>797</v>
      </c>
      <c r="H201" s="318" t="s">
        <v>797</v>
      </c>
      <c r="I201" s="319" t="s">
        <v>797</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-0.27600000000000002</v>
      </c>
      <c r="E202" s="91">
        <v>-4.3999999999999997E-2</v>
      </c>
      <c r="F202" s="92">
        <v>-7.0000000000000001E-3</v>
      </c>
      <c r="G202" s="317" t="s">
        <v>797</v>
      </c>
      <c r="H202" s="318" t="s">
        <v>797</v>
      </c>
      <c r="I202" s="319" t="s">
        <v>797</v>
      </c>
      <c r="J202" s="25">
        <v>5.0000000000000001E-3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-0.30399999999999999</v>
      </c>
      <c r="E203" s="91">
        <v>-4.1000000000000002E-2</v>
      </c>
      <c r="F203" s="92">
        <v>-7.0000000000000001E-3</v>
      </c>
      <c r="G203" s="317">
        <v>5.18</v>
      </c>
      <c r="H203" s="318" t="s">
        <v>797</v>
      </c>
      <c r="I203" s="319" t="s">
        <v>797</v>
      </c>
      <c r="J203" s="25">
        <v>8.0000000000000002E-3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58" priority="2" operator="equal">
      <formula>0</formula>
    </cfRule>
    <cfRule type="cellIs" dxfId="57" priority="3" operator="lessThan">
      <formula>0</formula>
    </cfRule>
    <cfRule type="cellIs" dxfId="56" priority="4" operator="greaterThan">
      <formula>0</formula>
    </cfRule>
  </conditionalFormatting>
  <conditionalFormatting sqref="K14:R203">
    <cfRule type="expression" dxfId="55" priority="1">
      <formula>$K14&lt;&gt;""</formula>
    </cfRule>
  </conditionalFormatting>
  <hyperlinks>
    <hyperlink ref="A1" location="Overview!A1" display="Back to Overview" xr:uid="{D13A7029-4632-4293-B5DC-BE6B739F9337}"/>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MS,Regular"
&amp;"Trebuchet MS,Bold"Annex 4&amp;"Trebuchet MS,Regular" - Charges applied to LDNOs with HV/LV end users</oddHeader>
    <firstHeader>&amp;L&amp;"Trebuchet MS,Bold"
Annex 4&amp;"Trebuchet MS,Regular" - Charges applied to LDNOs with HV/LV end users</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54" t="str">
        <f>Overview!B4&amp;" - Effective from "&amp;TEXT(Overview!$D$4,"d mmmm yyyy")&amp;" - Final LDNO tariffs in Electricity North West Area (GSP Group_G)"</f>
        <v>Leep Electricity Networks Limited - Effective from 1 April 2027 - Final LDNO tariffs in Electricity North West Area (GSP Group_G)</v>
      </c>
      <c r="B2" s="454"/>
      <c r="C2" s="454"/>
      <c r="D2" s="454"/>
      <c r="E2" s="454"/>
      <c r="F2" s="454"/>
      <c r="G2" s="454"/>
      <c r="H2" s="454"/>
      <c r="I2" s="454"/>
      <c r="J2" s="454"/>
    </row>
    <row r="3" spans="1:18" ht="8.25" customHeight="1" x14ac:dyDescent="0.2">
      <c r="A3" s="46"/>
      <c r="B3" s="46"/>
      <c r="C3" s="46"/>
      <c r="D3" s="46"/>
      <c r="E3" s="46"/>
      <c r="F3" s="46"/>
      <c r="G3" s="46"/>
      <c r="H3" s="46"/>
      <c r="I3" s="46"/>
      <c r="J3" s="46"/>
    </row>
    <row r="4" spans="1:18" ht="27" customHeight="1" x14ac:dyDescent="0.2">
      <c r="A4" s="396" t="s">
        <v>290</v>
      </c>
      <c r="B4" s="397"/>
      <c r="C4" s="397"/>
      <c r="D4" s="398"/>
      <c r="E4" s="50"/>
      <c r="F4" s="396" t="s">
        <v>289</v>
      </c>
      <c r="G4" s="397"/>
      <c r="H4" s="397"/>
      <c r="I4" s="397"/>
      <c r="J4" s="398"/>
      <c r="K4" s="3"/>
      <c r="L4" s="399"/>
      <c r="M4" s="400"/>
      <c r="N4" s="400"/>
      <c r="O4" s="400"/>
      <c r="P4" s="400"/>
      <c r="Q4" s="400"/>
      <c r="R4" s="401"/>
    </row>
    <row r="5" spans="1:18" ht="32.25" customHeight="1" x14ac:dyDescent="0.2">
      <c r="A5" s="39" t="s">
        <v>13</v>
      </c>
      <c r="B5" s="256" t="s">
        <v>281</v>
      </c>
      <c r="C5" s="269" t="s">
        <v>282</v>
      </c>
      <c r="D5" s="41" t="s">
        <v>283</v>
      </c>
      <c r="E5" s="45"/>
      <c r="F5" s="381"/>
      <c r="G5" s="382"/>
      <c r="H5" s="43" t="s">
        <v>287</v>
      </c>
      <c r="I5" s="44" t="s">
        <v>288</v>
      </c>
      <c r="J5" s="41" t="s">
        <v>283</v>
      </c>
      <c r="K5" s="3"/>
      <c r="L5" s="400"/>
      <c r="M5" s="400"/>
      <c r="N5" s="400"/>
      <c r="O5" s="400"/>
      <c r="P5" s="400"/>
      <c r="Q5" s="400"/>
      <c r="R5" s="401"/>
    </row>
    <row r="6" spans="1:18" ht="56.25" customHeight="1" x14ac:dyDescent="0.2">
      <c r="A6" s="42" t="str">
        <f>'Annex 1 LV and HV charges_G'!A6</f>
        <v>Monday to Friday 
(Including Bank Holidays)
All Year</v>
      </c>
      <c r="B6" s="248" t="str">
        <f>'Annex 1 LV and HV charges_G'!B6</f>
        <v>16:00 to 19:00</v>
      </c>
      <c r="C6" s="248" t="str">
        <f>'Annex 1 LV and HV charges_G'!C6</f>
        <v>09:00 to 16:00
19:00 to 20:30</v>
      </c>
      <c r="D6" s="248" t="str">
        <f>'Annex 1 LV and HV charges_G'!E6</f>
        <v>00.00 - 09.00
20.30 - 24.00</v>
      </c>
      <c r="E6" s="45"/>
      <c r="F6" s="405" t="str">
        <f>'Annex 1 LV and HV charges_G'!G6</f>
        <v>Monday to Friday 
(Including Bank Holidays)
March to October Inclusive</v>
      </c>
      <c r="G6" s="406">
        <f>'Annex 1 LV and HV charges_G'!H6</f>
        <v>0</v>
      </c>
      <c r="H6" s="250" t="str">
        <f>'Annex 1 LV and HV charges_G'!I6</f>
        <v/>
      </c>
      <c r="I6" s="248" t="str">
        <f>'Annex 1 LV and HV charges_G'!J6</f>
        <v>09.00 - 20.30</v>
      </c>
      <c r="J6" s="95" t="str">
        <f>'Annex 1 LV and HV charges_G'!K6</f>
        <v>00.00 - 09.00
20.30 - 24.00</v>
      </c>
      <c r="K6" s="3"/>
      <c r="L6" s="3"/>
    </row>
    <row r="7" spans="1:18" ht="56.25" customHeight="1" x14ac:dyDescent="0.2">
      <c r="A7" s="42" t="str">
        <f>'Annex 1 LV and HV charges_G'!A7</f>
        <v>Saturday and Sunday
All Year</v>
      </c>
      <c r="B7" s="250" t="str">
        <f>'Annex 1 LV and HV charges_G'!B7</f>
        <v/>
      </c>
      <c r="C7" s="248" t="str">
        <f>'Annex 1 LV and HV charges_G'!C7</f>
        <v>16:00 to 19:00</v>
      </c>
      <c r="D7" s="248" t="str">
        <f>'Annex 1 LV and HV charges_G'!E7</f>
        <v>00.00 - 16.00
19.00 - 24.00</v>
      </c>
      <c r="E7" s="45"/>
      <c r="F7" s="405" t="str">
        <f>'Annex 1 LV and HV charges_G'!G7</f>
        <v>Monday to Friday 
(Including Bank Holidays)
November to February Inclusive</v>
      </c>
      <c r="G7" s="406">
        <f>'Annex 1 LV and HV charges_G'!H7</f>
        <v>0</v>
      </c>
      <c r="H7" s="13" t="str">
        <f>'Annex 1 LV and HV charges_G'!I7</f>
        <v>16:00 to 19:00</v>
      </c>
      <c r="I7" s="248" t="str">
        <f>'Annex 1 LV and HV charges_G'!J7</f>
        <v>09:00 - 16.00
19.00 - 20.30</v>
      </c>
      <c r="J7" s="95" t="str">
        <f>'Annex 1 LV and HV charges_G'!K7</f>
        <v>00.00 - 09.00
20.30 - 24.00</v>
      </c>
      <c r="K7" s="3"/>
      <c r="L7" s="3"/>
    </row>
    <row r="8" spans="1:18" ht="55.5" customHeight="1" x14ac:dyDescent="0.2">
      <c r="A8" s="257" t="str">
        <f>'Annex 1 LV and HV charges_G'!A8</f>
        <v>Notes</v>
      </c>
      <c r="B8" s="391" t="str">
        <f>'Annex 1 LV and HV charges_G'!B8</f>
        <v>All the above times are in UK Clock time</v>
      </c>
      <c r="C8" s="392">
        <f>'Annex 1 LV and HV charges_G'!C8</f>
        <v>0</v>
      </c>
      <c r="D8" s="393">
        <f>'Annex 1 LV and HV charges_G'!D8</f>
        <v>0</v>
      </c>
      <c r="E8" s="45"/>
      <c r="F8" s="405" t="str">
        <f>'Annex 1 LV and HV charges_G'!G8</f>
        <v>Saturday and Sunday
All year</v>
      </c>
      <c r="G8" s="406">
        <f>'Annex 1 LV and HV charges_G'!H8</f>
        <v>0</v>
      </c>
      <c r="H8" s="250" t="str">
        <f>'Annex 1 LV and HV charges_G'!I8</f>
        <v/>
      </c>
      <c r="I8" s="13" t="str">
        <f>'Annex 1 LV and HV charges_G'!J8</f>
        <v>16:00 to 19:00</v>
      </c>
      <c r="J8" s="95" t="str">
        <f>'Annex 1 LV and HV charges_G'!K8</f>
        <v>00.00 - 16.00
19.00 - 24.00</v>
      </c>
      <c r="K8" s="3"/>
      <c r="L8" s="3"/>
    </row>
    <row r="9" spans="1:18" s="40" customFormat="1" ht="18" x14ac:dyDescent="0.2">
      <c r="B9" s="45"/>
      <c r="C9" s="45"/>
      <c r="D9" s="45"/>
      <c r="E9" s="47"/>
      <c r="F9" s="405" t="str">
        <f>'Annex 1 LV and HV charges_G'!G9</f>
        <v>Notes</v>
      </c>
      <c r="G9" s="406">
        <f>'Annex 1 LV and HV charges_G'!H9</f>
        <v>0</v>
      </c>
      <c r="H9" s="407" t="str">
        <f>'Annex 1 LV and HV charges_G'!I9</f>
        <v>All the above times are in UK Clock time</v>
      </c>
      <c r="I9" s="408" t="str">
        <f>'Annex 1 LV and HV charges_G'!J9</f>
        <v/>
      </c>
      <c r="J9" s="409" t="str">
        <f>'Annex 1 LV and HV charges_G'!K9</f>
        <v/>
      </c>
      <c r="K9" s="30"/>
    </row>
    <row r="10" spans="1:18" s="40" customFormat="1" ht="12" customHeight="1" x14ac:dyDescent="0.2">
      <c r="A10" s="45"/>
      <c r="B10" s="45"/>
      <c r="C10" s="45"/>
      <c r="D10" s="45"/>
      <c r="E10" s="45"/>
      <c r="F10" s="48"/>
      <c r="G10" s="48"/>
      <c r="H10" s="49"/>
      <c r="I10" s="49"/>
      <c r="J10" s="49"/>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2072</v>
      </c>
      <c r="D14" s="90">
        <v>12.164</v>
      </c>
      <c r="E14" s="91">
        <v>1.851</v>
      </c>
      <c r="F14" s="92">
        <v>0.10199999999999999</v>
      </c>
      <c r="G14" s="317">
        <v>6.01</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12.164</v>
      </c>
      <c r="E15" s="91">
        <v>1.851</v>
      </c>
      <c r="F15" s="92">
        <v>0.10199999999999999</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2073</v>
      </c>
      <c r="D16" s="90">
        <v>11.202</v>
      </c>
      <c r="E16" s="91">
        <v>1.704</v>
      </c>
      <c r="F16" s="92">
        <v>9.4E-2</v>
      </c>
      <c r="G16" s="317">
        <v>5.26</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2073</v>
      </c>
      <c r="D17" s="90">
        <v>11.202</v>
      </c>
      <c r="E17" s="91">
        <v>1.704</v>
      </c>
      <c r="F17" s="92">
        <v>9.4E-2</v>
      </c>
      <c r="G17" s="317">
        <v>6.55</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2073</v>
      </c>
      <c r="D18" s="90">
        <v>11.202</v>
      </c>
      <c r="E18" s="91">
        <v>1.704</v>
      </c>
      <c r="F18" s="92">
        <v>9.4E-2</v>
      </c>
      <c r="G18" s="317">
        <v>7.2</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2073</v>
      </c>
      <c r="D19" s="90">
        <v>11.202</v>
      </c>
      <c r="E19" s="91">
        <v>1.704</v>
      </c>
      <c r="F19" s="92">
        <v>9.4E-2</v>
      </c>
      <c r="G19" s="317">
        <v>9.23</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2073</v>
      </c>
      <c r="D20" s="90">
        <v>11.202</v>
      </c>
      <c r="E20" s="91">
        <v>1.704</v>
      </c>
      <c r="F20" s="92">
        <v>9.4E-2</v>
      </c>
      <c r="G20" s="317">
        <v>15.78</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11.202</v>
      </c>
      <c r="E21" s="91">
        <v>1.704</v>
      </c>
      <c r="F21" s="92">
        <v>9.4E-2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7.415</v>
      </c>
      <c r="E22" s="91">
        <v>1.105</v>
      </c>
      <c r="F22" s="92">
        <v>0.06</v>
      </c>
      <c r="G22" s="317">
        <v>17.100000000000001</v>
      </c>
      <c r="H22" s="317">
        <v>5.23</v>
      </c>
      <c r="I22" s="320">
        <v>5.23</v>
      </c>
      <c r="J22" s="25">
        <v>0.14499999999999999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7.415</v>
      </c>
      <c r="E23" s="91">
        <v>1.105</v>
      </c>
      <c r="F23" s="92">
        <v>0.06</v>
      </c>
      <c r="G23" s="317">
        <v>39.07</v>
      </c>
      <c r="H23" s="317">
        <v>5.23</v>
      </c>
      <c r="I23" s="320">
        <v>5.23</v>
      </c>
      <c r="J23" s="25">
        <v>0.14499999999999999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7.415</v>
      </c>
      <c r="E24" s="91">
        <v>1.105</v>
      </c>
      <c r="F24" s="92">
        <v>0.06</v>
      </c>
      <c r="G24" s="317">
        <v>52.9</v>
      </c>
      <c r="H24" s="317">
        <v>5.23</v>
      </c>
      <c r="I24" s="320">
        <v>5.23</v>
      </c>
      <c r="J24" s="25">
        <v>0.14499999999999999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7.415</v>
      </c>
      <c r="E25" s="91">
        <v>1.105</v>
      </c>
      <c r="F25" s="92">
        <v>0.06</v>
      </c>
      <c r="G25" s="317">
        <v>75.290000000000006</v>
      </c>
      <c r="H25" s="317">
        <v>5.23</v>
      </c>
      <c r="I25" s="320">
        <v>5.23</v>
      </c>
      <c r="J25" s="25">
        <v>0.14499999999999999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7.415</v>
      </c>
      <c r="E26" s="91">
        <v>1.105</v>
      </c>
      <c r="F26" s="92">
        <v>0.06</v>
      </c>
      <c r="G26" s="317">
        <v>145.87</v>
      </c>
      <c r="H26" s="317">
        <v>5.23</v>
      </c>
      <c r="I26" s="320">
        <v>5.23</v>
      </c>
      <c r="J26" s="25">
        <v>0.14499999999999999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34.402000000000001</v>
      </c>
      <c r="E27" s="94">
        <v>3.6219999999999999</v>
      </c>
      <c r="F27" s="92">
        <v>2.2959999999999998</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2074</v>
      </c>
      <c r="D28" s="90">
        <v>-12.646000000000001</v>
      </c>
      <c r="E28" s="91">
        <v>-1.9239999999999999</v>
      </c>
      <c r="F28" s="92">
        <v>-0.106</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t="s">
        <v>2074</v>
      </c>
      <c r="D29" s="90">
        <v>-12.646000000000001</v>
      </c>
      <c r="E29" s="91">
        <v>-1.9239999999999999</v>
      </c>
      <c r="F29" s="92">
        <v>-0.106</v>
      </c>
      <c r="G29" s="317" t="s">
        <v>797</v>
      </c>
      <c r="H29" s="318" t="s">
        <v>797</v>
      </c>
      <c r="I29" s="319" t="s">
        <v>797</v>
      </c>
      <c r="J29" s="25">
        <v>0.22800000000000001</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2072</v>
      </c>
      <c r="D30" s="90">
        <v>8.6219999999999999</v>
      </c>
      <c r="E30" s="91">
        <v>1.3120000000000001</v>
      </c>
      <c r="F30" s="92">
        <v>7.1999999999999995E-2</v>
      </c>
      <c r="G30" s="317">
        <v>4.26</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8.6219999999999999</v>
      </c>
      <c r="E31" s="91">
        <v>1.3120000000000001</v>
      </c>
      <c r="F31" s="92">
        <v>7.1999999999999995E-2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2073</v>
      </c>
      <c r="D32" s="90">
        <v>7.94</v>
      </c>
      <c r="E32" s="91">
        <v>1.208</v>
      </c>
      <c r="F32" s="92">
        <v>6.7000000000000004E-2</v>
      </c>
      <c r="G32" s="317">
        <v>3.73</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2073</v>
      </c>
      <c r="D33" s="90">
        <v>7.94</v>
      </c>
      <c r="E33" s="91">
        <v>1.208</v>
      </c>
      <c r="F33" s="92">
        <v>6.7000000000000004E-2</v>
      </c>
      <c r="G33" s="317">
        <v>4.6399999999999997</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2073</v>
      </c>
      <c r="D34" s="90">
        <v>7.94</v>
      </c>
      <c r="E34" s="91">
        <v>1.208</v>
      </c>
      <c r="F34" s="92">
        <v>6.7000000000000004E-2</v>
      </c>
      <c r="G34" s="317">
        <v>5.0999999999999996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2073</v>
      </c>
      <c r="D35" s="90">
        <v>7.94</v>
      </c>
      <c r="E35" s="91">
        <v>1.208</v>
      </c>
      <c r="F35" s="92">
        <v>6.7000000000000004E-2</v>
      </c>
      <c r="G35" s="317">
        <v>6.54</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2073</v>
      </c>
      <c r="D36" s="90">
        <v>7.94</v>
      </c>
      <c r="E36" s="91">
        <v>1.208</v>
      </c>
      <c r="F36" s="92">
        <v>6.7000000000000004E-2</v>
      </c>
      <c r="G36" s="317">
        <v>11.19</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7.94</v>
      </c>
      <c r="E37" s="91">
        <v>1.208</v>
      </c>
      <c r="F37" s="92">
        <v>6.7000000000000004E-2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5.2560000000000002</v>
      </c>
      <c r="E38" s="91">
        <v>0.78300000000000003</v>
      </c>
      <c r="F38" s="92">
        <v>4.2999999999999997E-2</v>
      </c>
      <c r="G38" s="317">
        <v>12.12</v>
      </c>
      <c r="H38" s="317">
        <v>3.71</v>
      </c>
      <c r="I38" s="320">
        <v>3.71</v>
      </c>
      <c r="J38" s="25">
        <v>0.10299999999999999</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5.2560000000000002</v>
      </c>
      <c r="E39" s="91">
        <v>0.78300000000000003</v>
      </c>
      <c r="F39" s="92">
        <v>4.2999999999999997E-2</v>
      </c>
      <c r="G39" s="317">
        <v>27.7</v>
      </c>
      <c r="H39" s="317">
        <v>3.71</v>
      </c>
      <c r="I39" s="320">
        <v>3.71</v>
      </c>
      <c r="J39" s="25">
        <v>0.10299999999999999</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5.2560000000000002</v>
      </c>
      <c r="E40" s="91">
        <v>0.78300000000000003</v>
      </c>
      <c r="F40" s="92">
        <v>4.2999999999999997E-2</v>
      </c>
      <c r="G40" s="317">
        <v>37.5</v>
      </c>
      <c r="H40" s="317">
        <v>3.71</v>
      </c>
      <c r="I40" s="320">
        <v>3.71</v>
      </c>
      <c r="J40" s="25">
        <v>0.10299999999999999</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5.2560000000000002</v>
      </c>
      <c r="E41" s="91">
        <v>0.78300000000000003</v>
      </c>
      <c r="F41" s="92">
        <v>4.2999999999999997E-2</v>
      </c>
      <c r="G41" s="317">
        <v>53.36</v>
      </c>
      <c r="H41" s="317">
        <v>3.71</v>
      </c>
      <c r="I41" s="320">
        <v>3.71</v>
      </c>
      <c r="J41" s="25">
        <v>0.10299999999999999</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5.2560000000000002</v>
      </c>
      <c r="E42" s="91">
        <v>0.78300000000000003</v>
      </c>
      <c r="F42" s="92">
        <v>4.2999999999999997E-2</v>
      </c>
      <c r="G42" s="317">
        <v>103.4</v>
      </c>
      <c r="H42" s="317">
        <v>3.71</v>
      </c>
      <c r="I42" s="320">
        <v>3.71</v>
      </c>
      <c r="J42" s="25">
        <v>0.10299999999999999</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6.476</v>
      </c>
      <c r="E43" s="91">
        <v>0.94099999999999995</v>
      </c>
      <c r="F43" s="92">
        <v>0.05</v>
      </c>
      <c r="G43" s="317">
        <v>65.819999999999993</v>
      </c>
      <c r="H43" s="317">
        <v>7.22</v>
      </c>
      <c r="I43" s="320">
        <v>7.22</v>
      </c>
      <c r="J43" s="25">
        <v>0.123</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6.476</v>
      </c>
      <c r="E44" s="91">
        <v>0.94099999999999995</v>
      </c>
      <c r="F44" s="92">
        <v>0.05</v>
      </c>
      <c r="G44" s="317">
        <v>92.01</v>
      </c>
      <c r="H44" s="317">
        <v>7.22</v>
      </c>
      <c r="I44" s="320">
        <v>7.22</v>
      </c>
      <c r="J44" s="25">
        <v>0.123</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6.476</v>
      </c>
      <c r="E45" s="91">
        <v>0.94099999999999995</v>
      </c>
      <c r="F45" s="92">
        <v>0.05</v>
      </c>
      <c r="G45" s="317">
        <v>108.5</v>
      </c>
      <c r="H45" s="317">
        <v>7.22</v>
      </c>
      <c r="I45" s="320">
        <v>7.22</v>
      </c>
      <c r="J45" s="25">
        <v>0.123</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6.476</v>
      </c>
      <c r="E46" s="91">
        <v>0.94099999999999995</v>
      </c>
      <c r="F46" s="92">
        <v>0.05</v>
      </c>
      <c r="G46" s="317">
        <v>135.19</v>
      </c>
      <c r="H46" s="317">
        <v>7.22</v>
      </c>
      <c r="I46" s="320">
        <v>7.22</v>
      </c>
      <c r="J46" s="25">
        <v>0.123</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6.476</v>
      </c>
      <c r="E47" s="91">
        <v>0.94099999999999995</v>
      </c>
      <c r="F47" s="92">
        <v>0.05</v>
      </c>
      <c r="G47" s="317">
        <v>219.35</v>
      </c>
      <c r="H47" s="317">
        <v>7.22</v>
      </c>
      <c r="I47" s="320">
        <v>7.22</v>
      </c>
      <c r="J47" s="25">
        <v>0.123</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5.0990000000000002</v>
      </c>
      <c r="E48" s="91">
        <v>0.71199999999999997</v>
      </c>
      <c r="F48" s="92">
        <v>3.6999999999999998E-2</v>
      </c>
      <c r="G48" s="317">
        <v>171.08</v>
      </c>
      <c r="H48" s="317">
        <v>8.48</v>
      </c>
      <c r="I48" s="320">
        <v>8.48</v>
      </c>
      <c r="J48" s="25">
        <v>8.7999999999999995E-2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5.0990000000000002</v>
      </c>
      <c r="E49" s="91">
        <v>0.71199999999999997</v>
      </c>
      <c r="F49" s="92">
        <v>3.6999999999999998E-2</v>
      </c>
      <c r="G49" s="317">
        <v>357.69</v>
      </c>
      <c r="H49" s="317">
        <v>8.48</v>
      </c>
      <c r="I49" s="320">
        <v>8.48</v>
      </c>
      <c r="J49" s="25">
        <v>8.7999999999999995E-2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5.0990000000000002</v>
      </c>
      <c r="E50" s="91">
        <v>0.71199999999999997</v>
      </c>
      <c r="F50" s="92">
        <v>3.6999999999999998E-2</v>
      </c>
      <c r="G50" s="317">
        <v>639.58000000000004</v>
      </c>
      <c r="H50" s="317">
        <v>8.48</v>
      </c>
      <c r="I50" s="320">
        <v>8.48</v>
      </c>
      <c r="J50" s="25">
        <v>8.7999999999999995E-2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5.0990000000000002</v>
      </c>
      <c r="E51" s="91">
        <v>0.71199999999999997</v>
      </c>
      <c r="F51" s="92">
        <v>3.6999999999999998E-2</v>
      </c>
      <c r="G51" s="317">
        <v>1113.8900000000001</v>
      </c>
      <c r="H51" s="317">
        <v>8.48</v>
      </c>
      <c r="I51" s="320">
        <v>8.48</v>
      </c>
      <c r="J51" s="25">
        <v>8.7999999999999995E-2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5.0990000000000002</v>
      </c>
      <c r="E52" s="91">
        <v>0.71199999999999997</v>
      </c>
      <c r="F52" s="92">
        <v>3.6999999999999998E-2</v>
      </c>
      <c r="G52" s="317">
        <v>2454.33</v>
      </c>
      <c r="H52" s="317">
        <v>8.48</v>
      </c>
      <c r="I52" s="320">
        <v>8.48</v>
      </c>
      <c r="J52" s="25">
        <v>8.7999999999999995E-2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24.385000000000002</v>
      </c>
      <c r="E53" s="94">
        <v>2.5680000000000001</v>
      </c>
      <c r="F53" s="92">
        <v>1.627</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2074</v>
      </c>
      <c r="D54" s="90">
        <v>-12.646000000000001</v>
      </c>
      <c r="E54" s="91">
        <v>-1.9239999999999999</v>
      </c>
      <c r="F54" s="92">
        <v>-0.106</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2074</v>
      </c>
      <c r="D55" s="90">
        <v>-9.7940000000000005</v>
      </c>
      <c r="E55" s="91">
        <v>-1.466</v>
      </c>
      <c r="F55" s="92">
        <v>-0.08</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-12.646000000000001</v>
      </c>
      <c r="E56" s="91">
        <v>-1.9239999999999999</v>
      </c>
      <c r="F56" s="92">
        <v>-0.106</v>
      </c>
      <c r="G56" s="317" t="s">
        <v>797</v>
      </c>
      <c r="H56" s="318" t="s">
        <v>797</v>
      </c>
      <c r="I56" s="319" t="s">
        <v>797</v>
      </c>
      <c r="J56" s="25">
        <v>0.22800000000000001</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-9.7940000000000005</v>
      </c>
      <c r="E57" s="91">
        <v>-1.466</v>
      </c>
      <c r="F57" s="92">
        <v>-0.08</v>
      </c>
      <c r="G57" s="317" t="s">
        <v>797</v>
      </c>
      <c r="H57" s="318" t="s">
        <v>797</v>
      </c>
      <c r="I57" s="319" t="s">
        <v>797</v>
      </c>
      <c r="J57" s="25">
        <v>0.19800000000000001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-7.1959999999999997</v>
      </c>
      <c r="E58" s="91">
        <v>-1.046</v>
      </c>
      <c r="F58" s="92">
        <v>-5.6000000000000001E-2</v>
      </c>
      <c r="G58" s="317" t="s">
        <v>797</v>
      </c>
      <c r="H58" s="318" t="s">
        <v>797</v>
      </c>
      <c r="I58" s="319" t="s">
        <v>797</v>
      </c>
      <c r="J58" s="25">
        <v>0.16</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2072</v>
      </c>
      <c r="D59" s="90">
        <v>7.0419999999999998</v>
      </c>
      <c r="E59" s="91">
        <v>1.071</v>
      </c>
      <c r="F59" s="92">
        <v>5.8999999999999997E-2</v>
      </c>
      <c r="G59" s="317">
        <v>3.54</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7.0419999999999998</v>
      </c>
      <c r="E60" s="91">
        <v>1.071</v>
      </c>
      <c r="F60" s="92">
        <v>5.8999999999999997E-2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2073</v>
      </c>
      <c r="D61" s="90">
        <v>6.484</v>
      </c>
      <c r="E61" s="91">
        <v>0.98699999999999999</v>
      </c>
      <c r="F61" s="92">
        <v>5.3999999999999999E-2</v>
      </c>
      <c r="G61" s="317">
        <v>3.04</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2073</v>
      </c>
      <c r="D62" s="90">
        <v>6.484</v>
      </c>
      <c r="E62" s="91">
        <v>0.98699999999999999</v>
      </c>
      <c r="F62" s="92">
        <v>5.3999999999999999E-2</v>
      </c>
      <c r="G62" s="317">
        <v>3.9</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2073</v>
      </c>
      <c r="D63" s="90">
        <v>6.484</v>
      </c>
      <c r="E63" s="91">
        <v>0.98699999999999999</v>
      </c>
      <c r="F63" s="92">
        <v>5.3999999999999999E-2</v>
      </c>
      <c r="G63" s="317">
        <v>4.33</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2073</v>
      </c>
      <c r="D64" s="90">
        <v>6.484</v>
      </c>
      <c r="E64" s="91">
        <v>0.98699999999999999</v>
      </c>
      <c r="F64" s="92">
        <v>5.3999999999999999E-2</v>
      </c>
      <c r="G64" s="317">
        <v>5.67</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2073</v>
      </c>
      <c r="D65" s="90">
        <v>6.484</v>
      </c>
      <c r="E65" s="91">
        <v>0.98699999999999999</v>
      </c>
      <c r="F65" s="92">
        <v>5.3999999999999999E-2</v>
      </c>
      <c r="G65" s="317">
        <v>10</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6.484</v>
      </c>
      <c r="E66" s="91">
        <v>0.98699999999999999</v>
      </c>
      <c r="F66" s="92">
        <v>5.3999999999999999E-2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4.2930000000000001</v>
      </c>
      <c r="E67" s="91">
        <v>0.64</v>
      </c>
      <c r="F67" s="92">
        <v>3.5000000000000003E-2</v>
      </c>
      <c r="G67" s="317">
        <v>9.9</v>
      </c>
      <c r="H67" s="317">
        <v>3.03</v>
      </c>
      <c r="I67" s="320">
        <v>3.03</v>
      </c>
      <c r="J67" s="25">
        <v>8.4000000000000005E-2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4.2930000000000001</v>
      </c>
      <c r="E68" s="91">
        <v>0.64</v>
      </c>
      <c r="F68" s="92">
        <v>3.5000000000000003E-2</v>
      </c>
      <c r="G68" s="317">
        <v>24.42</v>
      </c>
      <c r="H68" s="317">
        <v>3.03</v>
      </c>
      <c r="I68" s="320">
        <v>3.03</v>
      </c>
      <c r="J68" s="25">
        <v>8.4000000000000005E-2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4.2930000000000001</v>
      </c>
      <c r="E69" s="91">
        <v>0.64</v>
      </c>
      <c r="F69" s="92">
        <v>3.5000000000000003E-2</v>
      </c>
      <c r="G69" s="317">
        <v>33.56</v>
      </c>
      <c r="H69" s="317">
        <v>3.03</v>
      </c>
      <c r="I69" s="320">
        <v>3.03</v>
      </c>
      <c r="J69" s="25">
        <v>8.4000000000000005E-2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4.2930000000000001</v>
      </c>
      <c r="E70" s="91">
        <v>0.64</v>
      </c>
      <c r="F70" s="92">
        <v>3.5000000000000003E-2</v>
      </c>
      <c r="G70" s="317">
        <v>48.35</v>
      </c>
      <c r="H70" s="317">
        <v>3.03</v>
      </c>
      <c r="I70" s="320">
        <v>3.03</v>
      </c>
      <c r="J70" s="25">
        <v>8.4000000000000005E-2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4.2930000000000001</v>
      </c>
      <c r="E71" s="91">
        <v>0.64</v>
      </c>
      <c r="F71" s="92">
        <v>3.5000000000000003E-2</v>
      </c>
      <c r="G71" s="317">
        <v>95</v>
      </c>
      <c r="H71" s="317">
        <v>3.03</v>
      </c>
      <c r="I71" s="320">
        <v>3.03</v>
      </c>
      <c r="J71" s="25">
        <v>8.4000000000000005E-2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5.1580000000000004</v>
      </c>
      <c r="E72" s="91">
        <v>0.749</v>
      </c>
      <c r="F72" s="92">
        <v>0.04</v>
      </c>
      <c r="G72" s="317">
        <v>52.42</v>
      </c>
      <c r="H72" s="317">
        <v>5.75</v>
      </c>
      <c r="I72" s="320">
        <v>5.75</v>
      </c>
      <c r="J72" s="25">
        <v>9.8000000000000004E-2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5.1580000000000004</v>
      </c>
      <c r="E73" s="91">
        <v>0.749</v>
      </c>
      <c r="F73" s="92">
        <v>0.04</v>
      </c>
      <c r="G73" s="317">
        <v>76.23</v>
      </c>
      <c r="H73" s="317">
        <v>5.75</v>
      </c>
      <c r="I73" s="320">
        <v>5.75</v>
      </c>
      <c r="J73" s="25">
        <v>9.8000000000000004E-2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5.1580000000000004</v>
      </c>
      <c r="E74" s="91">
        <v>0.749</v>
      </c>
      <c r="F74" s="92">
        <v>0.04</v>
      </c>
      <c r="G74" s="317">
        <v>91.22</v>
      </c>
      <c r="H74" s="317">
        <v>5.75</v>
      </c>
      <c r="I74" s="320">
        <v>5.75</v>
      </c>
      <c r="J74" s="25">
        <v>9.8000000000000004E-2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5.1580000000000004</v>
      </c>
      <c r="E75" s="91">
        <v>0.749</v>
      </c>
      <c r="F75" s="92">
        <v>0.04</v>
      </c>
      <c r="G75" s="317">
        <v>115.49</v>
      </c>
      <c r="H75" s="317">
        <v>5.75</v>
      </c>
      <c r="I75" s="320">
        <v>5.75</v>
      </c>
      <c r="J75" s="25">
        <v>9.8000000000000004E-2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5.1580000000000004</v>
      </c>
      <c r="E76" s="91">
        <v>0.749</v>
      </c>
      <c r="F76" s="92">
        <v>0.04</v>
      </c>
      <c r="G76" s="317">
        <v>192</v>
      </c>
      <c r="H76" s="317">
        <v>5.75</v>
      </c>
      <c r="I76" s="320">
        <v>5.75</v>
      </c>
      <c r="J76" s="25">
        <v>9.8000000000000004E-2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4.0060000000000002</v>
      </c>
      <c r="E77" s="91">
        <v>0.55900000000000005</v>
      </c>
      <c r="F77" s="92">
        <v>2.9000000000000001E-2</v>
      </c>
      <c r="G77" s="317">
        <v>134.41</v>
      </c>
      <c r="H77" s="317">
        <v>6.67</v>
      </c>
      <c r="I77" s="320">
        <v>6.67</v>
      </c>
      <c r="J77" s="25">
        <v>6.9000000000000006E-2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4.0060000000000002</v>
      </c>
      <c r="E78" s="91">
        <v>0.55900000000000005</v>
      </c>
      <c r="F78" s="92">
        <v>2.9000000000000001E-2</v>
      </c>
      <c r="G78" s="317">
        <v>301.77</v>
      </c>
      <c r="H78" s="317">
        <v>6.67</v>
      </c>
      <c r="I78" s="320">
        <v>6.67</v>
      </c>
      <c r="J78" s="25">
        <v>6.9000000000000006E-2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4.0060000000000002</v>
      </c>
      <c r="E79" s="91">
        <v>0.55900000000000005</v>
      </c>
      <c r="F79" s="92">
        <v>2.9000000000000001E-2</v>
      </c>
      <c r="G79" s="317">
        <v>554.57000000000005</v>
      </c>
      <c r="H79" s="317">
        <v>6.67</v>
      </c>
      <c r="I79" s="320">
        <v>6.67</v>
      </c>
      <c r="J79" s="25">
        <v>6.9000000000000006E-2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4.0060000000000002</v>
      </c>
      <c r="E80" s="91">
        <v>0.55900000000000005</v>
      </c>
      <c r="F80" s="92">
        <v>2.9000000000000001E-2</v>
      </c>
      <c r="G80" s="317">
        <v>979.96</v>
      </c>
      <c r="H80" s="317">
        <v>6.67</v>
      </c>
      <c r="I80" s="320">
        <v>6.67</v>
      </c>
      <c r="J80" s="25">
        <v>6.9000000000000006E-2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4.0060000000000002</v>
      </c>
      <c r="E81" s="91">
        <v>0.55900000000000005</v>
      </c>
      <c r="F81" s="92">
        <v>2.9000000000000001E-2</v>
      </c>
      <c r="G81" s="317">
        <v>2182.11</v>
      </c>
      <c r="H81" s="317">
        <v>6.67</v>
      </c>
      <c r="I81" s="320">
        <v>6.67</v>
      </c>
      <c r="J81" s="25">
        <v>6.9000000000000006E-2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19.922000000000001</v>
      </c>
      <c r="E82" s="94">
        <v>2.1040000000000001</v>
      </c>
      <c r="F82" s="92">
        <v>1.3360000000000001</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2074</v>
      </c>
      <c r="D83" s="90">
        <v>-7.2549999999999999</v>
      </c>
      <c r="E83" s="91">
        <v>-1.1040000000000001</v>
      </c>
      <c r="F83" s="92">
        <v>-6.0999999999999999E-2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2074</v>
      </c>
      <c r="D84" s="90">
        <v>-6.5529999999999999</v>
      </c>
      <c r="E84" s="91">
        <v>-0.98099999999999998</v>
      </c>
      <c r="F84" s="92">
        <v>-5.2999999999999999E-2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-7.2549999999999999</v>
      </c>
      <c r="E85" s="91">
        <v>-1.1040000000000001</v>
      </c>
      <c r="F85" s="92">
        <v>-6.0999999999999999E-2</v>
      </c>
      <c r="G85" s="317" t="s">
        <v>797</v>
      </c>
      <c r="H85" s="318" t="s">
        <v>797</v>
      </c>
      <c r="I85" s="319" t="s">
        <v>797</v>
      </c>
      <c r="J85" s="25">
        <v>0.13100000000000001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-6.5529999999999999</v>
      </c>
      <c r="E86" s="91">
        <v>-0.98099999999999998</v>
      </c>
      <c r="F86" s="92">
        <v>-5.2999999999999999E-2</v>
      </c>
      <c r="G86" s="317" t="s">
        <v>797</v>
      </c>
      <c r="H86" s="318" t="s">
        <v>797</v>
      </c>
      <c r="I86" s="319" t="s">
        <v>797</v>
      </c>
      <c r="J86" s="25">
        <v>0.13200000000000001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-7.1959999999999997</v>
      </c>
      <c r="E87" s="91">
        <v>-1.046</v>
      </c>
      <c r="F87" s="92">
        <v>-5.6000000000000001E-2</v>
      </c>
      <c r="G87" s="317">
        <v>13.53</v>
      </c>
      <c r="H87" s="318" t="s">
        <v>797</v>
      </c>
      <c r="I87" s="319" t="s">
        <v>797</v>
      </c>
      <c r="J87" s="25">
        <v>0.16</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2072</v>
      </c>
      <c r="D88" s="90">
        <v>5.5839999999999996</v>
      </c>
      <c r="E88" s="91">
        <v>0.85</v>
      </c>
      <c r="F88" s="92">
        <v>4.7E-2</v>
      </c>
      <c r="G88" s="317">
        <v>2.81</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5.5839999999999996</v>
      </c>
      <c r="E89" s="91">
        <v>0.85</v>
      </c>
      <c r="F89" s="92">
        <v>4.7E-2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2073</v>
      </c>
      <c r="D90" s="90">
        <v>5.1420000000000003</v>
      </c>
      <c r="E90" s="91">
        <v>0.78200000000000003</v>
      </c>
      <c r="F90" s="92">
        <v>4.2999999999999997E-2</v>
      </c>
      <c r="G90" s="317">
        <v>2.41</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2073</v>
      </c>
      <c r="D91" s="90">
        <v>5.1420000000000003</v>
      </c>
      <c r="E91" s="91">
        <v>0.78200000000000003</v>
      </c>
      <c r="F91" s="92">
        <v>4.2999999999999997E-2</v>
      </c>
      <c r="G91" s="317">
        <v>3.09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2073</v>
      </c>
      <c r="D92" s="90">
        <v>5.1420000000000003</v>
      </c>
      <c r="E92" s="91">
        <v>0.78200000000000003</v>
      </c>
      <c r="F92" s="92">
        <v>4.2999999999999997E-2</v>
      </c>
      <c r="G92" s="317">
        <v>3.43</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2073</v>
      </c>
      <c r="D93" s="90">
        <v>5.1420000000000003</v>
      </c>
      <c r="E93" s="91">
        <v>0.78200000000000003</v>
      </c>
      <c r="F93" s="92">
        <v>4.2999999999999997E-2</v>
      </c>
      <c r="G93" s="317">
        <v>4.5</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2073</v>
      </c>
      <c r="D94" s="90">
        <v>5.1420000000000003</v>
      </c>
      <c r="E94" s="91">
        <v>0.78200000000000003</v>
      </c>
      <c r="F94" s="92">
        <v>4.2999999999999997E-2</v>
      </c>
      <c r="G94" s="317">
        <v>7.93</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5.1420000000000003</v>
      </c>
      <c r="E95" s="91">
        <v>0.78200000000000003</v>
      </c>
      <c r="F95" s="92">
        <v>4.2999999999999997E-2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3.4039999999999999</v>
      </c>
      <c r="E96" s="91">
        <v>0.50700000000000001</v>
      </c>
      <c r="F96" s="92">
        <v>2.8000000000000001E-2</v>
      </c>
      <c r="G96" s="317">
        <v>7.85</v>
      </c>
      <c r="H96" s="317">
        <v>2.4</v>
      </c>
      <c r="I96" s="320">
        <v>2.4</v>
      </c>
      <c r="J96" s="25">
        <v>6.7000000000000004E-2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3.4039999999999999</v>
      </c>
      <c r="E97" s="91">
        <v>0.50700000000000001</v>
      </c>
      <c r="F97" s="92">
        <v>2.8000000000000001E-2</v>
      </c>
      <c r="G97" s="317">
        <v>19.36</v>
      </c>
      <c r="H97" s="317">
        <v>2.4</v>
      </c>
      <c r="I97" s="320">
        <v>2.4</v>
      </c>
      <c r="J97" s="25">
        <v>6.7000000000000004E-2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3.4039999999999999</v>
      </c>
      <c r="E98" s="91">
        <v>0.50700000000000001</v>
      </c>
      <c r="F98" s="92">
        <v>2.8000000000000001E-2</v>
      </c>
      <c r="G98" s="317">
        <v>26.61</v>
      </c>
      <c r="H98" s="317">
        <v>2.4</v>
      </c>
      <c r="I98" s="320">
        <v>2.4</v>
      </c>
      <c r="J98" s="25">
        <v>6.7000000000000004E-2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3.4039999999999999</v>
      </c>
      <c r="E99" s="91">
        <v>0.50700000000000001</v>
      </c>
      <c r="F99" s="92">
        <v>2.8000000000000001E-2</v>
      </c>
      <c r="G99" s="317">
        <v>38.340000000000003</v>
      </c>
      <c r="H99" s="317">
        <v>2.4</v>
      </c>
      <c r="I99" s="320">
        <v>2.4</v>
      </c>
      <c r="J99" s="25">
        <v>6.7000000000000004E-2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3.4039999999999999</v>
      </c>
      <c r="E100" s="91">
        <v>0.50700000000000001</v>
      </c>
      <c r="F100" s="92">
        <v>2.8000000000000001E-2</v>
      </c>
      <c r="G100" s="317">
        <v>75.33</v>
      </c>
      <c r="H100" s="317">
        <v>2.4</v>
      </c>
      <c r="I100" s="320">
        <v>2.4</v>
      </c>
      <c r="J100" s="25">
        <v>6.7000000000000004E-2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4.09</v>
      </c>
      <c r="E101" s="91">
        <v>0.59399999999999997</v>
      </c>
      <c r="F101" s="92">
        <v>3.2000000000000001E-2</v>
      </c>
      <c r="G101" s="317">
        <v>41.56</v>
      </c>
      <c r="H101" s="317">
        <v>4.5599999999999996</v>
      </c>
      <c r="I101" s="320">
        <v>4.5599999999999996</v>
      </c>
      <c r="J101" s="25">
        <v>7.8E-2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4.09</v>
      </c>
      <c r="E102" s="91">
        <v>0.59399999999999997</v>
      </c>
      <c r="F102" s="92">
        <v>3.2000000000000001E-2</v>
      </c>
      <c r="G102" s="317">
        <v>60.45</v>
      </c>
      <c r="H102" s="317">
        <v>4.5599999999999996</v>
      </c>
      <c r="I102" s="320">
        <v>4.5599999999999996</v>
      </c>
      <c r="J102" s="25">
        <v>7.8E-2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4.09</v>
      </c>
      <c r="E103" s="91">
        <v>0.59399999999999997</v>
      </c>
      <c r="F103" s="92">
        <v>3.2000000000000001E-2</v>
      </c>
      <c r="G103" s="317">
        <v>72.34</v>
      </c>
      <c r="H103" s="317">
        <v>4.5599999999999996</v>
      </c>
      <c r="I103" s="320">
        <v>4.5599999999999996</v>
      </c>
      <c r="J103" s="25">
        <v>7.8E-2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4.09</v>
      </c>
      <c r="E104" s="91">
        <v>0.59399999999999997</v>
      </c>
      <c r="F104" s="92">
        <v>3.2000000000000001E-2</v>
      </c>
      <c r="G104" s="317">
        <v>91.58</v>
      </c>
      <c r="H104" s="317">
        <v>4.5599999999999996</v>
      </c>
      <c r="I104" s="320">
        <v>4.5599999999999996</v>
      </c>
      <c r="J104" s="25">
        <v>7.8E-2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4.09</v>
      </c>
      <c r="E105" s="91">
        <v>0.59399999999999997</v>
      </c>
      <c r="F105" s="92">
        <v>3.2000000000000001E-2</v>
      </c>
      <c r="G105" s="317">
        <v>152.25</v>
      </c>
      <c r="H105" s="317">
        <v>4.5599999999999996</v>
      </c>
      <c r="I105" s="320">
        <v>4.5599999999999996</v>
      </c>
      <c r="J105" s="25">
        <v>7.8E-2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3.177</v>
      </c>
      <c r="E106" s="91">
        <v>0.44400000000000001</v>
      </c>
      <c r="F106" s="92">
        <v>2.3E-2</v>
      </c>
      <c r="G106" s="317">
        <v>106.58</v>
      </c>
      <c r="H106" s="317">
        <v>5.29</v>
      </c>
      <c r="I106" s="320">
        <v>5.29</v>
      </c>
      <c r="J106" s="25">
        <v>5.5E-2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3.177</v>
      </c>
      <c r="E107" s="91">
        <v>0.44400000000000001</v>
      </c>
      <c r="F107" s="92">
        <v>2.3E-2</v>
      </c>
      <c r="G107" s="317">
        <v>239.29</v>
      </c>
      <c r="H107" s="317">
        <v>5.29</v>
      </c>
      <c r="I107" s="320">
        <v>5.29</v>
      </c>
      <c r="J107" s="25">
        <v>5.5E-2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3.177</v>
      </c>
      <c r="E108" s="91">
        <v>0.44400000000000001</v>
      </c>
      <c r="F108" s="92">
        <v>2.3E-2</v>
      </c>
      <c r="G108" s="317">
        <v>439.76</v>
      </c>
      <c r="H108" s="317">
        <v>5.29</v>
      </c>
      <c r="I108" s="320">
        <v>5.29</v>
      </c>
      <c r="J108" s="25">
        <v>5.5E-2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3.177</v>
      </c>
      <c r="E109" s="91">
        <v>0.44400000000000001</v>
      </c>
      <c r="F109" s="92">
        <v>2.3E-2</v>
      </c>
      <c r="G109" s="317">
        <v>777.08</v>
      </c>
      <c r="H109" s="317">
        <v>5.29</v>
      </c>
      <c r="I109" s="320">
        <v>5.29</v>
      </c>
      <c r="J109" s="25">
        <v>5.5E-2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3.177</v>
      </c>
      <c r="E110" s="91">
        <v>0.44400000000000001</v>
      </c>
      <c r="F110" s="92">
        <v>2.3E-2</v>
      </c>
      <c r="G110" s="317">
        <v>1730.36</v>
      </c>
      <c r="H110" s="317">
        <v>5.29</v>
      </c>
      <c r="I110" s="320">
        <v>5.29</v>
      </c>
      <c r="J110" s="25">
        <v>5.5E-2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15.798</v>
      </c>
      <c r="E111" s="94">
        <v>1.669</v>
      </c>
      <c r="F111" s="92">
        <v>1.06</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2074</v>
      </c>
      <c r="D112" s="90">
        <v>-5.7530000000000001</v>
      </c>
      <c r="E112" s="91">
        <v>-0.875</v>
      </c>
      <c r="F112" s="92">
        <v>-4.8000000000000001E-2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2074</v>
      </c>
      <c r="D113" s="90">
        <v>-5.1959999999999997</v>
      </c>
      <c r="E113" s="91">
        <v>-0.77800000000000002</v>
      </c>
      <c r="F113" s="92">
        <v>-4.2000000000000003E-2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-5.7530000000000001</v>
      </c>
      <c r="E114" s="91">
        <v>-0.875</v>
      </c>
      <c r="F114" s="92">
        <v>-4.8000000000000001E-2</v>
      </c>
      <c r="G114" s="317" t="s">
        <v>797</v>
      </c>
      <c r="H114" s="318" t="s">
        <v>797</v>
      </c>
      <c r="I114" s="319" t="s">
        <v>797</v>
      </c>
      <c r="J114" s="25">
        <v>0.104</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-5.1959999999999997</v>
      </c>
      <c r="E115" s="91">
        <v>-0.77800000000000002</v>
      </c>
      <c r="F115" s="92">
        <v>-4.2000000000000003E-2</v>
      </c>
      <c r="G115" s="317" t="s">
        <v>797</v>
      </c>
      <c r="H115" s="318" t="s">
        <v>797</v>
      </c>
      <c r="I115" s="319" t="s">
        <v>797</v>
      </c>
      <c r="J115" s="25">
        <v>0.105</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-5.7069999999999999</v>
      </c>
      <c r="E116" s="91">
        <v>-0.82899999999999996</v>
      </c>
      <c r="F116" s="92">
        <v>-4.3999999999999997E-2</v>
      </c>
      <c r="G116" s="317">
        <v>10.73</v>
      </c>
      <c r="H116" s="318" t="s">
        <v>797</v>
      </c>
      <c r="I116" s="319" t="s">
        <v>797</v>
      </c>
      <c r="J116" s="25">
        <v>0.127</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2072</v>
      </c>
      <c r="D117" s="90">
        <v>4.6749999999999998</v>
      </c>
      <c r="E117" s="91">
        <v>0.71099999999999997</v>
      </c>
      <c r="F117" s="92">
        <v>3.9E-2</v>
      </c>
      <c r="G117" s="317">
        <v>2.35</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4.6749999999999998</v>
      </c>
      <c r="E118" s="91">
        <v>0.71099999999999997</v>
      </c>
      <c r="F118" s="92">
        <v>3.9E-2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2073</v>
      </c>
      <c r="D119" s="90">
        <v>4.3049999999999997</v>
      </c>
      <c r="E119" s="91">
        <v>0.65500000000000003</v>
      </c>
      <c r="F119" s="92">
        <v>3.5999999999999997E-2</v>
      </c>
      <c r="G119" s="317">
        <v>2.02</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2073</v>
      </c>
      <c r="D120" s="90">
        <v>4.3049999999999997</v>
      </c>
      <c r="E120" s="91">
        <v>0.65500000000000003</v>
      </c>
      <c r="F120" s="92">
        <v>3.5999999999999997E-2</v>
      </c>
      <c r="G120" s="317">
        <v>2.59</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2073</v>
      </c>
      <c r="D121" s="90">
        <v>4.3049999999999997</v>
      </c>
      <c r="E121" s="91">
        <v>0.65500000000000003</v>
      </c>
      <c r="F121" s="92">
        <v>3.5999999999999997E-2</v>
      </c>
      <c r="G121" s="317">
        <v>2.87</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2073</v>
      </c>
      <c r="D122" s="90">
        <v>4.3049999999999997</v>
      </c>
      <c r="E122" s="91">
        <v>0.65500000000000003</v>
      </c>
      <c r="F122" s="92">
        <v>3.5999999999999997E-2</v>
      </c>
      <c r="G122" s="317">
        <v>3.76</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2073</v>
      </c>
      <c r="D123" s="90">
        <v>4.3049999999999997</v>
      </c>
      <c r="E123" s="91">
        <v>0.65500000000000003</v>
      </c>
      <c r="F123" s="92">
        <v>3.5999999999999997E-2</v>
      </c>
      <c r="G123" s="317">
        <v>6.64</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4.3049999999999997</v>
      </c>
      <c r="E124" s="91">
        <v>0.65500000000000003</v>
      </c>
      <c r="F124" s="92">
        <v>3.5999999999999997E-2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2.85</v>
      </c>
      <c r="E125" s="91">
        <v>0.42499999999999999</v>
      </c>
      <c r="F125" s="92">
        <v>2.3E-2</v>
      </c>
      <c r="G125" s="317">
        <v>6.57</v>
      </c>
      <c r="H125" s="317">
        <v>2.0099999999999998</v>
      </c>
      <c r="I125" s="320">
        <v>2.0099999999999998</v>
      </c>
      <c r="J125" s="25">
        <v>5.6000000000000001E-2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2.85</v>
      </c>
      <c r="E126" s="91">
        <v>0.42499999999999999</v>
      </c>
      <c r="F126" s="92">
        <v>2.3E-2</v>
      </c>
      <c r="G126" s="317">
        <v>16.21</v>
      </c>
      <c r="H126" s="317">
        <v>2.0099999999999998</v>
      </c>
      <c r="I126" s="320">
        <v>2.0099999999999998</v>
      </c>
      <c r="J126" s="25">
        <v>5.6000000000000001E-2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2.85</v>
      </c>
      <c r="E127" s="91">
        <v>0.42499999999999999</v>
      </c>
      <c r="F127" s="92">
        <v>2.3E-2</v>
      </c>
      <c r="G127" s="317">
        <v>22.28</v>
      </c>
      <c r="H127" s="317">
        <v>2.0099999999999998</v>
      </c>
      <c r="I127" s="320">
        <v>2.0099999999999998</v>
      </c>
      <c r="J127" s="25">
        <v>5.6000000000000001E-2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2.85</v>
      </c>
      <c r="E128" s="91">
        <v>0.42499999999999999</v>
      </c>
      <c r="F128" s="92">
        <v>2.3E-2</v>
      </c>
      <c r="G128" s="317">
        <v>32.1</v>
      </c>
      <c r="H128" s="317">
        <v>2.0099999999999998</v>
      </c>
      <c r="I128" s="320">
        <v>2.0099999999999998</v>
      </c>
      <c r="J128" s="25">
        <v>5.6000000000000001E-2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2.85</v>
      </c>
      <c r="E129" s="91">
        <v>0.42499999999999999</v>
      </c>
      <c r="F129" s="92">
        <v>2.3E-2</v>
      </c>
      <c r="G129" s="317">
        <v>63.06</v>
      </c>
      <c r="H129" s="317">
        <v>2.0099999999999998</v>
      </c>
      <c r="I129" s="320">
        <v>2.0099999999999998</v>
      </c>
      <c r="J129" s="25">
        <v>5.6000000000000001E-2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3.4239999999999999</v>
      </c>
      <c r="E130" s="91">
        <v>0.498</v>
      </c>
      <c r="F130" s="92">
        <v>2.5999999999999999E-2</v>
      </c>
      <c r="G130" s="317">
        <v>34.799999999999997</v>
      </c>
      <c r="H130" s="317">
        <v>3.82</v>
      </c>
      <c r="I130" s="320">
        <v>3.82</v>
      </c>
      <c r="J130" s="25">
        <v>6.5000000000000002E-2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3.4239999999999999</v>
      </c>
      <c r="E131" s="91">
        <v>0.498</v>
      </c>
      <c r="F131" s="92">
        <v>2.5999999999999999E-2</v>
      </c>
      <c r="G131" s="317">
        <v>50.61</v>
      </c>
      <c r="H131" s="317">
        <v>3.82</v>
      </c>
      <c r="I131" s="320">
        <v>3.82</v>
      </c>
      <c r="J131" s="25">
        <v>6.5000000000000002E-2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3.4239999999999999</v>
      </c>
      <c r="E132" s="91">
        <v>0.498</v>
      </c>
      <c r="F132" s="92">
        <v>2.5999999999999999E-2</v>
      </c>
      <c r="G132" s="317">
        <v>60.56</v>
      </c>
      <c r="H132" s="317">
        <v>3.82</v>
      </c>
      <c r="I132" s="320">
        <v>3.82</v>
      </c>
      <c r="J132" s="25">
        <v>6.5000000000000002E-2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3.4239999999999999</v>
      </c>
      <c r="E133" s="91">
        <v>0.498</v>
      </c>
      <c r="F133" s="92">
        <v>2.5999999999999999E-2</v>
      </c>
      <c r="G133" s="317">
        <v>76.67</v>
      </c>
      <c r="H133" s="317">
        <v>3.82</v>
      </c>
      <c r="I133" s="320">
        <v>3.82</v>
      </c>
      <c r="J133" s="25">
        <v>6.5000000000000002E-2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3.4239999999999999</v>
      </c>
      <c r="E134" s="91">
        <v>0.498</v>
      </c>
      <c r="F134" s="92">
        <v>2.5999999999999999E-2</v>
      </c>
      <c r="G134" s="317">
        <v>127.46</v>
      </c>
      <c r="H134" s="317">
        <v>3.82</v>
      </c>
      <c r="I134" s="320">
        <v>3.82</v>
      </c>
      <c r="J134" s="25">
        <v>6.5000000000000002E-2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2.66</v>
      </c>
      <c r="E135" s="91">
        <v>0.371</v>
      </c>
      <c r="F135" s="92">
        <v>1.9E-2</v>
      </c>
      <c r="G135" s="317">
        <v>89.23</v>
      </c>
      <c r="H135" s="317">
        <v>4.43</v>
      </c>
      <c r="I135" s="320">
        <v>4.43</v>
      </c>
      <c r="J135" s="25">
        <v>4.5999999999999999E-2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2.66</v>
      </c>
      <c r="E136" s="91">
        <v>0.371</v>
      </c>
      <c r="F136" s="92">
        <v>1.9E-2</v>
      </c>
      <c r="G136" s="317">
        <v>200.33</v>
      </c>
      <c r="H136" s="317">
        <v>4.43</v>
      </c>
      <c r="I136" s="320">
        <v>4.43</v>
      </c>
      <c r="J136" s="25">
        <v>4.5999999999999999E-2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2.66</v>
      </c>
      <c r="E137" s="91">
        <v>0.371</v>
      </c>
      <c r="F137" s="92">
        <v>1.9E-2</v>
      </c>
      <c r="G137" s="317">
        <v>368.15</v>
      </c>
      <c r="H137" s="317">
        <v>4.43</v>
      </c>
      <c r="I137" s="320">
        <v>4.43</v>
      </c>
      <c r="J137" s="25">
        <v>4.5999999999999999E-2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2.66</v>
      </c>
      <c r="E138" s="91">
        <v>0.371</v>
      </c>
      <c r="F138" s="92">
        <v>1.9E-2</v>
      </c>
      <c r="G138" s="317">
        <v>650.54999999999995</v>
      </c>
      <c r="H138" s="317">
        <v>4.43</v>
      </c>
      <c r="I138" s="320">
        <v>4.43</v>
      </c>
      <c r="J138" s="25">
        <v>4.5999999999999999E-2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2.66</v>
      </c>
      <c r="E139" s="91">
        <v>0.371</v>
      </c>
      <c r="F139" s="92">
        <v>1.9E-2</v>
      </c>
      <c r="G139" s="317">
        <v>1448.6</v>
      </c>
      <c r="H139" s="317">
        <v>4.43</v>
      </c>
      <c r="I139" s="320">
        <v>4.43</v>
      </c>
      <c r="J139" s="25">
        <v>4.5999999999999999E-2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804</v>
      </c>
      <c r="D140" s="93">
        <v>13.225</v>
      </c>
      <c r="E140" s="94">
        <v>1.397</v>
      </c>
      <c r="F140" s="92">
        <v>0.88700000000000001</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2074</v>
      </c>
      <c r="D141" s="90">
        <v>-4.8159999999999998</v>
      </c>
      <c r="E141" s="91">
        <v>-0.73299999999999998</v>
      </c>
      <c r="F141" s="92">
        <v>-0.04</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2074</v>
      </c>
      <c r="D142" s="90">
        <v>-4.3499999999999996</v>
      </c>
      <c r="E142" s="91">
        <v>-0.65100000000000002</v>
      </c>
      <c r="F142" s="92">
        <v>-3.5000000000000003E-2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-4.8159999999999998</v>
      </c>
      <c r="E143" s="91">
        <v>-0.73299999999999998</v>
      </c>
      <c r="F143" s="92">
        <v>-0.04</v>
      </c>
      <c r="G143" s="317" t="s">
        <v>797</v>
      </c>
      <c r="H143" s="318" t="s">
        <v>797</v>
      </c>
      <c r="I143" s="319" t="s">
        <v>797</v>
      </c>
      <c r="J143" s="25">
        <v>8.6999999999999994E-2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-4.3499999999999996</v>
      </c>
      <c r="E144" s="91">
        <v>-0.65100000000000002</v>
      </c>
      <c r="F144" s="92">
        <v>-3.5000000000000003E-2</v>
      </c>
      <c r="G144" s="317" t="s">
        <v>797</v>
      </c>
      <c r="H144" s="318" t="s">
        <v>797</v>
      </c>
      <c r="I144" s="319" t="s">
        <v>797</v>
      </c>
      <c r="J144" s="25">
        <v>8.7999999999999995E-2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-4.7770000000000001</v>
      </c>
      <c r="E145" s="91">
        <v>-0.69399999999999995</v>
      </c>
      <c r="F145" s="92">
        <v>-3.6999999999999998E-2</v>
      </c>
      <c r="G145" s="317">
        <v>8.98</v>
      </c>
      <c r="H145" s="318" t="s">
        <v>797</v>
      </c>
      <c r="I145" s="319" t="s">
        <v>797</v>
      </c>
      <c r="J145" s="25">
        <v>0.106</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2072</v>
      </c>
      <c r="D146" s="90">
        <v>3.5339999999999998</v>
      </c>
      <c r="E146" s="91">
        <v>0.53800000000000003</v>
      </c>
      <c r="F146" s="92">
        <v>0.03</v>
      </c>
      <c r="G146" s="317">
        <v>1.78</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3.5339999999999998</v>
      </c>
      <c r="E147" s="91">
        <v>0.53800000000000003</v>
      </c>
      <c r="F147" s="92">
        <v>0.03</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2073</v>
      </c>
      <c r="D148" s="90">
        <v>3.254</v>
      </c>
      <c r="E148" s="91">
        <v>0.495</v>
      </c>
      <c r="F148" s="92">
        <v>2.7E-2</v>
      </c>
      <c r="G148" s="317">
        <v>1.53</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2073</v>
      </c>
      <c r="D149" s="90">
        <v>3.254</v>
      </c>
      <c r="E149" s="91">
        <v>0.495</v>
      </c>
      <c r="F149" s="92">
        <v>2.7E-2</v>
      </c>
      <c r="G149" s="317">
        <v>1.96</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2073</v>
      </c>
      <c r="D150" s="90">
        <v>3.254</v>
      </c>
      <c r="E150" s="91">
        <v>0.495</v>
      </c>
      <c r="F150" s="92">
        <v>2.7E-2</v>
      </c>
      <c r="G150" s="317">
        <v>2.17</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2073</v>
      </c>
      <c r="D151" s="90">
        <v>3.254</v>
      </c>
      <c r="E151" s="91">
        <v>0.495</v>
      </c>
      <c r="F151" s="92">
        <v>2.7E-2</v>
      </c>
      <c r="G151" s="317">
        <v>2.84</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2073</v>
      </c>
      <c r="D152" s="90">
        <v>3.254</v>
      </c>
      <c r="E152" s="91">
        <v>0.495</v>
      </c>
      <c r="F152" s="92">
        <v>2.7E-2</v>
      </c>
      <c r="G152" s="317">
        <v>5.0199999999999996</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3.254</v>
      </c>
      <c r="E153" s="91">
        <v>0.495</v>
      </c>
      <c r="F153" s="92">
        <v>2.7E-2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2.1539999999999999</v>
      </c>
      <c r="E154" s="91">
        <v>0.32100000000000001</v>
      </c>
      <c r="F154" s="92">
        <v>1.7000000000000001E-2</v>
      </c>
      <c r="G154" s="317">
        <v>4.97</v>
      </c>
      <c r="H154" s="317">
        <v>1.52</v>
      </c>
      <c r="I154" s="320">
        <v>1.52</v>
      </c>
      <c r="J154" s="25">
        <v>4.2000000000000003E-2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2.1539999999999999</v>
      </c>
      <c r="E155" s="91">
        <v>0.32100000000000001</v>
      </c>
      <c r="F155" s="92">
        <v>1.7000000000000001E-2</v>
      </c>
      <c r="G155" s="317">
        <v>12.26</v>
      </c>
      <c r="H155" s="317">
        <v>1.52</v>
      </c>
      <c r="I155" s="320">
        <v>1.52</v>
      </c>
      <c r="J155" s="25">
        <v>4.2000000000000003E-2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2.1539999999999999</v>
      </c>
      <c r="E156" s="91">
        <v>0.32100000000000001</v>
      </c>
      <c r="F156" s="92">
        <v>1.7000000000000001E-2</v>
      </c>
      <c r="G156" s="317">
        <v>16.84</v>
      </c>
      <c r="H156" s="317">
        <v>1.52</v>
      </c>
      <c r="I156" s="320">
        <v>1.52</v>
      </c>
      <c r="J156" s="25">
        <v>4.2000000000000003E-2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2.1539999999999999</v>
      </c>
      <c r="E157" s="91">
        <v>0.32100000000000001</v>
      </c>
      <c r="F157" s="92">
        <v>1.7000000000000001E-2</v>
      </c>
      <c r="G157" s="317">
        <v>24.27</v>
      </c>
      <c r="H157" s="317">
        <v>1.52</v>
      </c>
      <c r="I157" s="320">
        <v>1.52</v>
      </c>
      <c r="J157" s="25">
        <v>4.2000000000000003E-2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2.1539999999999999</v>
      </c>
      <c r="E158" s="91">
        <v>0.32100000000000001</v>
      </c>
      <c r="F158" s="92">
        <v>1.7000000000000001E-2</v>
      </c>
      <c r="G158" s="317">
        <v>47.68</v>
      </c>
      <c r="H158" s="317">
        <v>1.52</v>
      </c>
      <c r="I158" s="320">
        <v>1.52</v>
      </c>
      <c r="J158" s="25">
        <v>4.2000000000000003E-2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2.589</v>
      </c>
      <c r="E159" s="91">
        <v>0.376</v>
      </c>
      <c r="F159" s="92">
        <v>0.02</v>
      </c>
      <c r="G159" s="317">
        <v>26.31</v>
      </c>
      <c r="H159" s="317">
        <v>2.89</v>
      </c>
      <c r="I159" s="320">
        <v>2.89</v>
      </c>
      <c r="J159" s="25">
        <v>4.9000000000000002E-2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2.589</v>
      </c>
      <c r="E160" s="91">
        <v>0.376</v>
      </c>
      <c r="F160" s="92">
        <v>0.02</v>
      </c>
      <c r="G160" s="317">
        <v>38.26</v>
      </c>
      <c r="H160" s="317">
        <v>2.89</v>
      </c>
      <c r="I160" s="320">
        <v>2.89</v>
      </c>
      <c r="J160" s="25">
        <v>4.9000000000000002E-2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2.589</v>
      </c>
      <c r="E161" s="91">
        <v>0.376</v>
      </c>
      <c r="F161" s="92">
        <v>0.02</v>
      </c>
      <c r="G161" s="317">
        <v>45.78</v>
      </c>
      <c r="H161" s="317">
        <v>2.89</v>
      </c>
      <c r="I161" s="320">
        <v>2.89</v>
      </c>
      <c r="J161" s="25">
        <v>4.9000000000000002E-2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2.589</v>
      </c>
      <c r="E162" s="91">
        <v>0.376</v>
      </c>
      <c r="F162" s="92">
        <v>0.02</v>
      </c>
      <c r="G162" s="317">
        <v>57.96</v>
      </c>
      <c r="H162" s="317">
        <v>2.89</v>
      </c>
      <c r="I162" s="320">
        <v>2.89</v>
      </c>
      <c r="J162" s="25">
        <v>4.9000000000000002E-2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2.589</v>
      </c>
      <c r="E163" s="91">
        <v>0.376</v>
      </c>
      <c r="F163" s="92">
        <v>0.02</v>
      </c>
      <c r="G163" s="317">
        <v>96.36</v>
      </c>
      <c r="H163" s="317">
        <v>2.89</v>
      </c>
      <c r="I163" s="320">
        <v>2.89</v>
      </c>
      <c r="J163" s="25">
        <v>4.9000000000000002E-2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2.0110000000000001</v>
      </c>
      <c r="E164" s="91">
        <v>0.28100000000000003</v>
      </c>
      <c r="F164" s="92">
        <v>1.4E-2</v>
      </c>
      <c r="G164" s="317">
        <v>67.459999999999994</v>
      </c>
      <c r="H164" s="317">
        <v>3.35</v>
      </c>
      <c r="I164" s="320">
        <v>3.35</v>
      </c>
      <c r="J164" s="25">
        <v>3.5000000000000003E-2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2.0110000000000001</v>
      </c>
      <c r="E165" s="91">
        <v>0.28100000000000003</v>
      </c>
      <c r="F165" s="92">
        <v>1.4E-2</v>
      </c>
      <c r="G165" s="317">
        <v>151.44999999999999</v>
      </c>
      <c r="H165" s="317">
        <v>3.35</v>
      </c>
      <c r="I165" s="320">
        <v>3.35</v>
      </c>
      <c r="J165" s="25">
        <v>3.5000000000000003E-2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2.0110000000000001</v>
      </c>
      <c r="E166" s="91">
        <v>0.28100000000000003</v>
      </c>
      <c r="F166" s="92">
        <v>1.4E-2</v>
      </c>
      <c r="G166" s="317">
        <v>278.33</v>
      </c>
      <c r="H166" s="317">
        <v>3.35</v>
      </c>
      <c r="I166" s="320">
        <v>3.35</v>
      </c>
      <c r="J166" s="25">
        <v>3.5000000000000003E-2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2.0110000000000001</v>
      </c>
      <c r="E167" s="91">
        <v>0.28100000000000003</v>
      </c>
      <c r="F167" s="92">
        <v>1.4E-2</v>
      </c>
      <c r="G167" s="317">
        <v>491.82</v>
      </c>
      <c r="H167" s="317">
        <v>3.35</v>
      </c>
      <c r="I167" s="320">
        <v>3.35</v>
      </c>
      <c r="J167" s="25">
        <v>3.5000000000000003E-2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2.0110000000000001</v>
      </c>
      <c r="E168" s="91">
        <v>0.28100000000000003</v>
      </c>
      <c r="F168" s="92">
        <v>1.4E-2</v>
      </c>
      <c r="G168" s="317">
        <v>1095.1500000000001</v>
      </c>
      <c r="H168" s="317">
        <v>3.35</v>
      </c>
      <c r="I168" s="320">
        <v>3.35</v>
      </c>
      <c r="J168" s="25">
        <v>3.5000000000000003E-2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9.9990000000000006</v>
      </c>
      <c r="E169" s="94">
        <v>1.056</v>
      </c>
      <c r="F169" s="92">
        <v>0.67100000000000004</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2074</v>
      </c>
      <c r="D170" s="90">
        <v>-3.641</v>
      </c>
      <c r="E170" s="91">
        <v>-0.55400000000000005</v>
      </c>
      <c r="F170" s="92">
        <v>-3.1E-2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2074</v>
      </c>
      <c r="D171" s="90">
        <v>-3.2890000000000001</v>
      </c>
      <c r="E171" s="91">
        <v>-0.49199999999999999</v>
      </c>
      <c r="F171" s="92">
        <v>-2.7E-2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-3.641</v>
      </c>
      <c r="E172" s="91">
        <v>-0.55400000000000005</v>
      </c>
      <c r="F172" s="92">
        <v>-3.1E-2</v>
      </c>
      <c r="G172" s="317" t="s">
        <v>797</v>
      </c>
      <c r="H172" s="318" t="s">
        <v>797</v>
      </c>
      <c r="I172" s="319" t="s">
        <v>797</v>
      </c>
      <c r="J172" s="25">
        <v>6.6000000000000003E-2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-3.2890000000000001</v>
      </c>
      <c r="E173" s="91">
        <v>-0.49199999999999999</v>
      </c>
      <c r="F173" s="92">
        <v>-2.7E-2</v>
      </c>
      <c r="G173" s="317" t="s">
        <v>797</v>
      </c>
      <c r="H173" s="318" t="s">
        <v>797</v>
      </c>
      <c r="I173" s="319" t="s">
        <v>797</v>
      </c>
      <c r="J173" s="25">
        <v>6.6000000000000003E-2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-3.6120000000000001</v>
      </c>
      <c r="E174" s="91">
        <v>-0.52500000000000002</v>
      </c>
      <c r="F174" s="92">
        <v>-2.8000000000000001E-2</v>
      </c>
      <c r="G174" s="317">
        <v>6.79</v>
      </c>
      <c r="H174" s="318" t="s">
        <v>797</v>
      </c>
      <c r="I174" s="319" t="s">
        <v>797</v>
      </c>
      <c r="J174" s="25">
        <v>0.08</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2072</v>
      </c>
      <c r="D175" s="90">
        <v>1.294</v>
      </c>
      <c r="E175" s="91">
        <v>0.19700000000000001</v>
      </c>
      <c r="F175" s="92">
        <v>1.0999999999999999E-2</v>
      </c>
      <c r="G175" s="317">
        <v>0.65</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1.294</v>
      </c>
      <c r="E176" s="91">
        <v>0.19700000000000001</v>
      </c>
      <c r="F176" s="92">
        <v>1.0999999999999999E-2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2073</v>
      </c>
      <c r="D177" s="90">
        <v>1.1919999999999999</v>
      </c>
      <c r="E177" s="91">
        <v>0.18099999999999999</v>
      </c>
      <c r="F177" s="92">
        <v>0.01</v>
      </c>
      <c r="G177" s="317">
        <v>0.56000000000000005</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2073</v>
      </c>
      <c r="D178" s="90">
        <v>1.1919999999999999</v>
      </c>
      <c r="E178" s="91">
        <v>0.18099999999999999</v>
      </c>
      <c r="F178" s="92">
        <v>0.01</v>
      </c>
      <c r="G178" s="317">
        <v>0.72</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2073</v>
      </c>
      <c r="D179" s="90">
        <v>1.1919999999999999</v>
      </c>
      <c r="E179" s="91">
        <v>0.18099999999999999</v>
      </c>
      <c r="F179" s="92">
        <v>0.01</v>
      </c>
      <c r="G179" s="317">
        <v>0.8</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2073</v>
      </c>
      <c r="D180" s="90">
        <v>1.1919999999999999</v>
      </c>
      <c r="E180" s="91">
        <v>0.18099999999999999</v>
      </c>
      <c r="F180" s="92">
        <v>0.01</v>
      </c>
      <c r="G180" s="317">
        <v>1.04</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2073</v>
      </c>
      <c r="D181" s="90">
        <v>1.1919999999999999</v>
      </c>
      <c r="E181" s="91">
        <v>0.18099999999999999</v>
      </c>
      <c r="F181" s="92">
        <v>0.01</v>
      </c>
      <c r="G181" s="317">
        <v>1.84</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1.1919999999999999</v>
      </c>
      <c r="E182" s="91">
        <v>0.18099999999999999</v>
      </c>
      <c r="F182" s="92">
        <v>0.01</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0.78900000000000003</v>
      </c>
      <c r="E183" s="91">
        <v>0.11799999999999999</v>
      </c>
      <c r="F183" s="92">
        <v>6.0000000000000001E-3</v>
      </c>
      <c r="G183" s="317">
        <v>1.82</v>
      </c>
      <c r="H183" s="317">
        <v>0.56000000000000005</v>
      </c>
      <c r="I183" s="320">
        <v>0.56000000000000005</v>
      </c>
      <c r="J183" s="25">
        <v>1.4999999999999999E-2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0.78900000000000003</v>
      </c>
      <c r="E184" s="91">
        <v>0.11799999999999999</v>
      </c>
      <c r="F184" s="92">
        <v>6.0000000000000001E-3</v>
      </c>
      <c r="G184" s="317">
        <v>4.49</v>
      </c>
      <c r="H184" s="317">
        <v>0.56000000000000005</v>
      </c>
      <c r="I184" s="320">
        <v>0.56000000000000005</v>
      </c>
      <c r="J184" s="25">
        <v>1.4999999999999999E-2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0.78900000000000003</v>
      </c>
      <c r="E185" s="91">
        <v>0.11799999999999999</v>
      </c>
      <c r="F185" s="92">
        <v>6.0000000000000001E-3</v>
      </c>
      <c r="G185" s="317">
        <v>6.17</v>
      </c>
      <c r="H185" s="317">
        <v>0.56000000000000005</v>
      </c>
      <c r="I185" s="320">
        <v>0.56000000000000005</v>
      </c>
      <c r="J185" s="25">
        <v>1.4999999999999999E-2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0.78900000000000003</v>
      </c>
      <c r="E186" s="91">
        <v>0.11799999999999999</v>
      </c>
      <c r="F186" s="92">
        <v>6.0000000000000001E-3</v>
      </c>
      <c r="G186" s="317">
        <v>8.89</v>
      </c>
      <c r="H186" s="317">
        <v>0.56000000000000005</v>
      </c>
      <c r="I186" s="320">
        <v>0.56000000000000005</v>
      </c>
      <c r="J186" s="25">
        <v>1.4999999999999999E-2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0.78900000000000003</v>
      </c>
      <c r="E187" s="91">
        <v>0.11799999999999999</v>
      </c>
      <c r="F187" s="92">
        <v>6.0000000000000001E-3</v>
      </c>
      <c r="G187" s="317">
        <v>17.46</v>
      </c>
      <c r="H187" s="317">
        <v>0.56000000000000005</v>
      </c>
      <c r="I187" s="320">
        <v>0.56000000000000005</v>
      </c>
      <c r="J187" s="25">
        <v>1.4999999999999999E-2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0.94799999999999995</v>
      </c>
      <c r="E188" s="91">
        <v>0.13800000000000001</v>
      </c>
      <c r="F188" s="92">
        <v>7.0000000000000001E-3</v>
      </c>
      <c r="G188" s="317">
        <v>9.6300000000000008</v>
      </c>
      <c r="H188" s="317">
        <v>1.06</v>
      </c>
      <c r="I188" s="320">
        <v>1.06</v>
      </c>
      <c r="J188" s="25">
        <v>1.7999999999999999E-2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0.94799999999999995</v>
      </c>
      <c r="E189" s="91">
        <v>0.13800000000000001</v>
      </c>
      <c r="F189" s="92">
        <v>7.0000000000000001E-3</v>
      </c>
      <c r="G189" s="317">
        <v>14.01</v>
      </c>
      <c r="H189" s="317">
        <v>1.06</v>
      </c>
      <c r="I189" s="320">
        <v>1.06</v>
      </c>
      <c r="J189" s="25">
        <v>1.7999999999999999E-2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0.94799999999999995</v>
      </c>
      <c r="E190" s="91">
        <v>0.13800000000000001</v>
      </c>
      <c r="F190" s="92">
        <v>7.0000000000000001E-3</v>
      </c>
      <c r="G190" s="317">
        <v>16.760000000000002</v>
      </c>
      <c r="H190" s="317">
        <v>1.06</v>
      </c>
      <c r="I190" s="320">
        <v>1.06</v>
      </c>
      <c r="J190" s="25">
        <v>1.7999999999999999E-2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0.94799999999999995</v>
      </c>
      <c r="E191" s="91">
        <v>0.13800000000000001</v>
      </c>
      <c r="F191" s="92">
        <v>7.0000000000000001E-3</v>
      </c>
      <c r="G191" s="317">
        <v>21.22</v>
      </c>
      <c r="H191" s="317">
        <v>1.06</v>
      </c>
      <c r="I191" s="320">
        <v>1.06</v>
      </c>
      <c r="J191" s="25">
        <v>1.7999999999999999E-2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0.94799999999999995</v>
      </c>
      <c r="E192" s="91">
        <v>0.13800000000000001</v>
      </c>
      <c r="F192" s="92">
        <v>7.0000000000000001E-3</v>
      </c>
      <c r="G192" s="317">
        <v>35.28</v>
      </c>
      <c r="H192" s="317">
        <v>1.06</v>
      </c>
      <c r="I192" s="320">
        <v>1.06</v>
      </c>
      <c r="J192" s="25">
        <v>1.7999999999999999E-2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0.73599999999999999</v>
      </c>
      <c r="E193" s="91">
        <v>0.10299999999999999</v>
      </c>
      <c r="F193" s="92">
        <v>5.0000000000000001E-3</v>
      </c>
      <c r="G193" s="317">
        <v>24.7</v>
      </c>
      <c r="H193" s="317">
        <v>1.22</v>
      </c>
      <c r="I193" s="320">
        <v>1.22</v>
      </c>
      <c r="J193" s="25">
        <v>1.2999999999999999E-2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0.73599999999999999</v>
      </c>
      <c r="E194" s="91">
        <v>0.10299999999999999</v>
      </c>
      <c r="F194" s="92">
        <v>5.0000000000000001E-3</v>
      </c>
      <c r="G194" s="317">
        <v>55.46</v>
      </c>
      <c r="H194" s="317">
        <v>1.22</v>
      </c>
      <c r="I194" s="320">
        <v>1.22</v>
      </c>
      <c r="J194" s="25">
        <v>1.2999999999999999E-2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0.73599999999999999</v>
      </c>
      <c r="E195" s="91">
        <v>0.10299999999999999</v>
      </c>
      <c r="F195" s="92">
        <v>5.0000000000000001E-3</v>
      </c>
      <c r="G195" s="317">
        <v>101.91</v>
      </c>
      <c r="H195" s="317">
        <v>1.22</v>
      </c>
      <c r="I195" s="320">
        <v>1.22</v>
      </c>
      <c r="J195" s="25">
        <v>1.2999999999999999E-2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0.73599999999999999</v>
      </c>
      <c r="E196" s="91">
        <v>0.10299999999999999</v>
      </c>
      <c r="F196" s="92">
        <v>5.0000000000000001E-3</v>
      </c>
      <c r="G196" s="317">
        <v>180.09</v>
      </c>
      <c r="H196" s="317">
        <v>1.22</v>
      </c>
      <c r="I196" s="320">
        <v>1.22</v>
      </c>
      <c r="J196" s="25">
        <v>1.2999999999999999E-2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0.73599999999999999</v>
      </c>
      <c r="E197" s="91">
        <v>0.10299999999999999</v>
      </c>
      <c r="F197" s="92">
        <v>5.0000000000000001E-3</v>
      </c>
      <c r="G197" s="317">
        <v>401.01</v>
      </c>
      <c r="H197" s="317">
        <v>1.22</v>
      </c>
      <c r="I197" s="320">
        <v>1.22</v>
      </c>
      <c r="J197" s="25">
        <v>1.2999999999999999E-2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3.661</v>
      </c>
      <c r="E198" s="94">
        <v>0.38700000000000001</v>
      </c>
      <c r="F198" s="92">
        <v>0.246</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2074</v>
      </c>
      <c r="D199" s="90">
        <v>-1.333</v>
      </c>
      <c r="E199" s="91">
        <v>-0.20300000000000001</v>
      </c>
      <c r="F199" s="92">
        <v>-1.0999999999999999E-2</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2074</v>
      </c>
      <c r="D200" s="90">
        <v>-1.204</v>
      </c>
      <c r="E200" s="91">
        <v>-0.18</v>
      </c>
      <c r="F200" s="92">
        <v>-0.01</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-1.333</v>
      </c>
      <c r="E201" s="91">
        <v>-0.20300000000000001</v>
      </c>
      <c r="F201" s="92">
        <v>-1.0999999999999999E-2</v>
      </c>
      <c r="G201" s="317" t="s">
        <v>797</v>
      </c>
      <c r="H201" s="318" t="s">
        <v>797</v>
      </c>
      <c r="I201" s="319" t="s">
        <v>797</v>
      </c>
      <c r="J201" s="25">
        <v>2.4E-2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-1.204</v>
      </c>
      <c r="E202" s="91">
        <v>-0.18</v>
      </c>
      <c r="F202" s="92">
        <v>-0.01</v>
      </c>
      <c r="G202" s="317" t="s">
        <v>797</v>
      </c>
      <c r="H202" s="318" t="s">
        <v>797</v>
      </c>
      <c r="I202" s="319" t="s">
        <v>797</v>
      </c>
      <c r="J202" s="25">
        <v>2.4E-2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-1.323</v>
      </c>
      <c r="E203" s="91">
        <v>-0.192</v>
      </c>
      <c r="F203" s="92">
        <v>-0.01</v>
      </c>
      <c r="G203" s="317">
        <v>2.4900000000000002</v>
      </c>
      <c r="H203" s="318" t="s">
        <v>797</v>
      </c>
      <c r="I203" s="319" t="s">
        <v>797</v>
      </c>
      <c r="J203" s="25">
        <v>2.9000000000000001E-2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F9:G9"/>
    <mergeCell ref="H9:J9"/>
    <mergeCell ref="F6:G6"/>
    <mergeCell ref="F7:G7"/>
    <mergeCell ref="B8:D8"/>
    <mergeCell ref="F8:G8"/>
    <mergeCell ref="L4:R5"/>
    <mergeCell ref="F5:G5"/>
    <mergeCell ref="A2:J2"/>
    <mergeCell ref="A4:D4"/>
    <mergeCell ref="F4:J4"/>
  </mergeCells>
  <conditionalFormatting sqref="K14:Q203">
    <cfRule type="cellIs" dxfId="54" priority="2" operator="equal">
      <formula>0</formula>
    </cfRule>
    <cfRule type="cellIs" dxfId="53" priority="3" operator="lessThan">
      <formula>0</formula>
    </cfRule>
    <cfRule type="cellIs" dxfId="52" priority="4" operator="greaterThan">
      <formula>0</formula>
    </cfRule>
  </conditionalFormatting>
  <conditionalFormatting sqref="K14:R203">
    <cfRule type="expression" dxfId="51" priority="1">
      <formula>$K14&lt;&gt;""</formula>
    </cfRule>
  </conditionalFormatting>
  <hyperlinks>
    <hyperlink ref="A1" location="Overview!A1" display="Back to Overview" xr:uid="{758D8EEC-7317-4A24-8D97-15147E9AD0E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3323-C161-4EE4-9B7E-C2ADE7E37AA5}">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54" t="str">
        <f>Overview!B4&amp;" - Effective from "&amp;TEXT(Overview!$D$4,"d mmmm yyyy")&amp;" - Final LDNO tariffs in SSE SEPD Area (GSP Group_H)"</f>
        <v>Leep Electricity Networks Limited - Effective from 1 April 2027 - Final LDNO tariffs in SSE SEPD Area (GSP Group_H)</v>
      </c>
      <c r="B2" s="454"/>
      <c r="C2" s="454"/>
      <c r="D2" s="454"/>
      <c r="E2" s="454"/>
      <c r="F2" s="454"/>
      <c r="G2" s="454"/>
      <c r="H2" s="454"/>
      <c r="I2" s="454"/>
      <c r="J2" s="454"/>
    </row>
    <row r="3" spans="1:18" ht="8.25" customHeight="1" x14ac:dyDescent="0.2">
      <c r="A3" s="46"/>
      <c r="B3" s="46"/>
      <c r="C3" s="46"/>
      <c r="D3" s="46"/>
      <c r="E3" s="46"/>
      <c r="F3" s="46"/>
      <c r="G3" s="46"/>
      <c r="H3" s="46"/>
      <c r="I3" s="46"/>
      <c r="J3" s="46"/>
    </row>
    <row r="4" spans="1:18" ht="27" customHeight="1" x14ac:dyDescent="0.2">
      <c r="A4" s="454" t="s">
        <v>290</v>
      </c>
      <c r="B4" s="454"/>
      <c r="C4" s="454"/>
      <c r="D4" s="454"/>
      <c r="E4" s="274"/>
      <c r="F4" s="454" t="s">
        <v>289</v>
      </c>
      <c r="G4" s="454"/>
      <c r="H4" s="454"/>
      <c r="I4" s="454"/>
      <c r="J4" s="454"/>
      <c r="K4" s="3"/>
      <c r="L4" s="399"/>
      <c r="M4" s="400"/>
      <c r="N4" s="400"/>
      <c r="O4" s="400"/>
      <c r="P4" s="400"/>
      <c r="Q4" s="400"/>
      <c r="R4" s="401"/>
    </row>
    <row r="5" spans="1:18" ht="32.25" customHeight="1" x14ac:dyDescent="0.2">
      <c r="A5" s="275" t="s">
        <v>13</v>
      </c>
      <c r="B5" s="276" t="s">
        <v>281</v>
      </c>
      <c r="C5" s="277" t="s">
        <v>282</v>
      </c>
      <c r="D5" s="278" t="s">
        <v>283</v>
      </c>
      <c r="E5" s="46"/>
      <c r="F5" s="486"/>
      <c r="G5" s="487"/>
      <c r="H5" s="279" t="s">
        <v>287</v>
      </c>
      <c r="I5" s="280" t="s">
        <v>288</v>
      </c>
      <c r="J5" s="278" t="s">
        <v>283</v>
      </c>
      <c r="K5" s="3"/>
      <c r="L5" s="400"/>
      <c r="M5" s="400"/>
      <c r="N5" s="400"/>
      <c r="O5" s="400"/>
      <c r="P5" s="400"/>
      <c r="Q5" s="400"/>
      <c r="R5" s="401"/>
    </row>
    <row r="6" spans="1:18" ht="56.25" customHeight="1" x14ac:dyDescent="0.2">
      <c r="A6" s="42" t="str">
        <f>'Annex 1 LV and HV charges_H'!A6</f>
        <v>Monday to Friday 
(Including Bank Holidays)
All Year</v>
      </c>
      <c r="B6" s="13" t="str">
        <f>'Annex 1 LV and HV charges_H'!B6</f>
        <v>16:30 - 19:30</v>
      </c>
      <c r="C6" s="281" t="str">
        <f>'Annex 1 LV and HV charges_H'!C6</f>
        <v/>
      </c>
      <c r="D6" s="250" t="str">
        <f>'Annex 1 LV and HV charges_H'!E6</f>
        <v/>
      </c>
      <c r="E6" s="46"/>
      <c r="F6" s="417" t="str">
        <f>'Annex 1 LV and HV charges_H'!G6</f>
        <v>Monday to Friday 
(Including Bank Holidays)
March to October Inclusive</v>
      </c>
      <c r="G6" s="417">
        <f>'Annex 1 LV and HV charges_H'!H6</f>
        <v>0</v>
      </c>
      <c r="H6" s="250" t="str">
        <f>'Annex 1 LV and HV charges_H'!I6</f>
        <v/>
      </c>
      <c r="I6" s="248" t="str">
        <f>'Annex 1 LV and HV charges_H'!J6</f>
        <v>07:00 - 22:00</v>
      </c>
      <c r="J6" s="250" t="str">
        <f>'Annex 1 LV and HV charges_H'!K6</f>
        <v/>
      </c>
      <c r="K6" s="3"/>
      <c r="L6" s="3"/>
    </row>
    <row r="7" spans="1:18" ht="56.25" customHeight="1" x14ac:dyDescent="0.2">
      <c r="A7" s="42" t="str">
        <f>'Annex 1 LV and HV charges_H'!A7</f>
        <v>Monday to Friday 
(Including Bank Holidays)
All Year</v>
      </c>
      <c r="B7" s="250" t="str">
        <f>'Annex 1 LV and HV charges_H'!B7</f>
        <v/>
      </c>
      <c r="C7" s="265" t="str">
        <f>'Annex 1 LV and HV charges_H'!C7</f>
        <v>07:00 - 16:30
19:30 - 22:00</v>
      </c>
      <c r="D7" s="250" t="str">
        <f>'Annex 1 LV and HV charges_H'!E7</f>
        <v/>
      </c>
      <c r="E7" s="46"/>
      <c r="F7" s="417" t="str">
        <f>'Annex 1 LV and HV charges_H'!G7</f>
        <v>Monday to Friday 
(Including Bank Holidays)
November to February Inclusive</v>
      </c>
      <c r="G7" s="417">
        <f>'Annex 1 LV and HV charges_H'!H7</f>
        <v>0</v>
      </c>
      <c r="H7" s="248" t="str">
        <f>'Annex 1 LV and HV charges_H'!I7</f>
        <v>16:30 - 19:30</v>
      </c>
      <c r="I7" s="248" t="str">
        <f>'Annex 1 LV and HV charges_H'!J7</f>
        <v>07:00 - 16:30
19:30 - 22:00</v>
      </c>
      <c r="J7" s="250" t="str">
        <f>'Annex 1 LV and HV charges_H'!K7</f>
        <v/>
      </c>
      <c r="K7" s="3"/>
      <c r="L7" s="3"/>
    </row>
    <row r="8" spans="1:18" ht="55.5" customHeight="1" x14ac:dyDescent="0.2">
      <c r="A8" s="257" t="str">
        <f>'Annex 1 LV and HV charges_H'!A8</f>
        <v>Monday to Friday 
(Including Bank Holidays)
All Year</v>
      </c>
      <c r="B8" s="250" t="str">
        <f>'Annex 1 LV and HV charges_H'!B8</f>
        <v/>
      </c>
      <c r="C8" s="281" t="str">
        <f>'Annex 1 LV and HV charges_H'!C8</f>
        <v/>
      </c>
      <c r="D8" s="95" t="str">
        <f>'Annex 1 LV and HV charges_H'!E8</f>
        <v>00:00 - 07:00
22:00 - 24:00</v>
      </c>
      <c r="E8" s="46"/>
      <c r="F8" s="417" t="str">
        <f>'Annex 1 LV and HV charges_H'!G8</f>
        <v>Monday to Friday 
(Including Bank Holidays)
April to March Inclusive</v>
      </c>
      <c r="G8" s="417">
        <f>'Annex 1 LV and HV charges_H'!H8</f>
        <v>0</v>
      </c>
      <c r="H8" s="250" t="str">
        <f>'Annex 1 LV and HV charges_H'!I8</f>
        <v/>
      </c>
      <c r="I8" s="250" t="str">
        <f>'Annex 1 LV and HV charges_H'!J8</f>
        <v/>
      </c>
      <c r="J8" s="95" t="str">
        <f>'Annex 1 LV and HV charges_H'!K8</f>
        <v>00:00 - 07:00
22:00 - 24:00</v>
      </c>
      <c r="K8" s="3"/>
      <c r="L8" s="3"/>
    </row>
    <row r="9" spans="1:18" s="40" customFormat="1" ht="55.5" customHeight="1" x14ac:dyDescent="0.2">
      <c r="A9" s="257" t="str">
        <f>'Annex 1 LV and HV charges_H'!A9</f>
        <v>Saturday and Sunday
All year</v>
      </c>
      <c r="B9" s="250" t="str">
        <f>'Annex 1 LV and HV charges_H'!B9</f>
        <v/>
      </c>
      <c r="C9" s="265" t="str">
        <f>'Annex 1 LV and HV charges_H'!C9</f>
        <v>09:30 - 21:30</v>
      </c>
      <c r="D9" s="95" t="str">
        <f>'Annex 1 LV and HV charges_H'!E9</f>
        <v>00:00 - 09:30
21:30 - 24:00</v>
      </c>
      <c r="E9" s="282"/>
      <c r="F9" s="417" t="str">
        <f>'Annex 1 LV and HV charges_H'!G9</f>
        <v>Saturday and Sunday
All year</v>
      </c>
      <c r="G9" s="417">
        <f>'Annex 1 LV and HV charges_H'!H9</f>
        <v>0</v>
      </c>
      <c r="H9" s="250" t="str">
        <f>'Annex 1 LV and HV charges_H'!I9</f>
        <v/>
      </c>
      <c r="I9" s="248" t="str">
        <f>'Annex 1 LV and HV charges_H'!J9</f>
        <v>09:30 - 21:30</v>
      </c>
      <c r="J9" s="95" t="str">
        <f>'Annex 1 LV and HV charges_H'!K9</f>
        <v>00:00 - 09:30
21:30 - 24:00</v>
      </c>
      <c r="K9" s="30"/>
      <c r="L9" s="30"/>
    </row>
    <row r="10" spans="1:18" s="40" customFormat="1" ht="12.75" x14ac:dyDescent="0.2">
      <c r="A10" s="257" t="str">
        <f>'Annex 1 LV and HV charges_H'!A10</f>
        <v>Notes</v>
      </c>
      <c r="B10" s="407" t="str">
        <f>'Annex 1 LV and HV charges_H'!B10</f>
        <v>All the above times are in UK Clock time</v>
      </c>
      <c r="C10" s="408">
        <f>'Annex 1 LV and HV charges_H'!C10</f>
        <v>0</v>
      </c>
      <c r="D10" s="409">
        <f>'Annex 1 LV and HV charges_H'!D10</f>
        <v>0</v>
      </c>
      <c r="F10" s="417" t="str">
        <f>'Annex 1 LV and HV charges_H'!G10</f>
        <v>Notes</v>
      </c>
      <c r="G10" s="417">
        <f>'Annex 1 LV and HV charges_H'!H10</f>
        <v>0</v>
      </c>
      <c r="H10" s="422" t="str">
        <f>'Annex 1 LV and HV charges_H'!I10</f>
        <v>All the above times are in UK Clock time</v>
      </c>
      <c r="I10" s="422">
        <f>'Annex 1 LV and HV charges_H'!J10</f>
        <v>0</v>
      </c>
      <c r="J10" s="422">
        <f>'Annex 1 LV and HV charges_H'!K10</f>
        <v>0</v>
      </c>
      <c r="K10" s="30"/>
      <c r="L10" s="30"/>
    </row>
    <row r="11" spans="1:18" s="40" customFormat="1" ht="39" customHeight="1" x14ac:dyDescent="0.2">
      <c r="B11" s="45"/>
      <c r="C11" s="45"/>
      <c r="D11" s="45"/>
      <c r="E11" s="30"/>
      <c r="F11" s="30"/>
      <c r="G11" s="30"/>
      <c r="H11" s="30"/>
      <c r="I11" s="30"/>
      <c r="J11" s="30"/>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802</v>
      </c>
      <c r="D14" s="90">
        <v>7.94</v>
      </c>
      <c r="E14" s="91">
        <v>1.2989999999999999</v>
      </c>
      <c r="F14" s="92">
        <v>9.5000000000000001E-2</v>
      </c>
      <c r="G14" s="317">
        <v>6.75</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7.94</v>
      </c>
      <c r="E15" s="91">
        <v>1.2989999999999999</v>
      </c>
      <c r="F15" s="92">
        <v>9.5000000000000001E-2</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803</v>
      </c>
      <c r="D16" s="90">
        <v>7.6550000000000002</v>
      </c>
      <c r="E16" s="91">
        <v>1.2529999999999999</v>
      </c>
      <c r="F16" s="92">
        <v>9.0999999999999998E-2</v>
      </c>
      <c r="G16" s="317">
        <v>8.75</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7.6550000000000002</v>
      </c>
      <c r="E17" s="91">
        <v>1.2529999999999999</v>
      </c>
      <c r="F17" s="92">
        <v>9.0999999999999998E-2</v>
      </c>
      <c r="G17" s="317">
        <v>8.68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7.6550000000000002</v>
      </c>
      <c r="E18" s="91">
        <v>1.2529999999999999</v>
      </c>
      <c r="F18" s="92">
        <v>9.0999999999999998E-2</v>
      </c>
      <c r="G18" s="317">
        <v>8.34</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7.6550000000000002</v>
      </c>
      <c r="E19" s="91">
        <v>1.2529999999999999</v>
      </c>
      <c r="F19" s="92">
        <v>9.0999999999999998E-2</v>
      </c>
      <c r="G19" s="317">
        <v>7.73</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7.6550000000000002</v>
      </c>
      <c r="E20" s="91">
        <v>1.2529999999999999</v>
      </c>
      <c r="F20" s="92">
        <v>9.0999999999999998E-2</v>
      </c>
      <c r="G20" s="317">
        <v>5.78</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7.6550000000000002</v>
      </c>
      <c r="E21" s="91">
        <v>1.2529999999999999</v>
      </c>
      <c r="F21" s="92">
        <v>9.0999999999999998E-2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5.2290000000000001</v>
      </c>
      <c r="E22" s="91">
        <v>0.75600000000000001</v>
      </c>
      <c r="F22" s="92">
        <v>5.1999999999999998E-2</v>
      </c>
      <c r="G22" s="317">
        <v>15.44</v>
      </c>
      <c r="H22" s="317">
        <v>6.89</v>
      </c>
      <c r="I22" s="320">
        <v>6.89</v>
      </c>
      <c r="J22" s="25">
        <v>0.16300000000000001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5.2290000000000001</v>
      </c>
      <c r="E23" s="91">
        <v>0.75600000000000001</v>
      </c>
      <c r="F23" s="92">
        <v>5.1999999999999998E-2</v>
      </c>
      <c r="G23" s="317">
        <v>10.35</v>
      </c>
      <c r="H23" s="317">
        <v>6.89</v>
      </c>
      <c r="I23" s="320">
        <v>6.89</v>
      </c>
      <c r="J23" s="25">
        <v>0.16300000000000001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5.2290000000000001</v>
      </c>
      <c r="E24" s="91">
        <v>0.75600000000000001</v>
      </c>
      <c r="F24" s="92">
        <v>5.1999999999999998E-2</v>
      </c>
      <c r="G24" s="317">
        <v>7.11</v>
      </c>
      <c r="H24" s="317">
        <v>6.89</v>
      </c>
      <c r="I24" s="320">
        <v>6.89</v>
      </c>
      <c r="J24" s="25">
        <v>0.16300000000000001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5.2290000000000001</v>
      </c>
      <c r="E25" s="91">
        <v>0.75600000000000001</v>
      </c>
      <c r="F25" s="92">
        <v>5.1999999999999998E-2</v>
      </c>
      <c r="G25" s="317">
        <v>0.84</v>
      </c>
      <c r="H25" s="317">
        <v>6.89</v>
      </c>
      <c r="I25" s="320">
        <v>6.89</v>
      </c>
      <c r="J25" s="25">
        <v>0.16300000000000001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5.218</v>
      </c>
      <c r="E26" s="91">
        <v>0.746</v>
      </c>
      <c r="F26" s="92">
        <v>4.1000000000000002E-2</v>
      </c>
      <c r="G26" s="317" t="s">
        <v>797</v>
      </c>
      <c r="H26" s="317">
        <v>6.89</v>
      </c>
      <c r="I26" s="320">
        <v>6.89</v>
      </c>
      <c r="J26" s="25">
        <v>0.16300000000000001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20.983000000000001</v>
      </c>
      <c r="E27" s="94">
        <v>3.2829999999999999</v>
      </c>
      <c r="F27" s="92">
        <v>1.9590000000000001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2074</v>
      </c>
      <c r="D28" s="90">
        <v>-8.1379999999999999</v>
      </c>
      <c r="E28" s="91">
        <v>-1.3320000000000001</v>
      </c>
      <c r="F28" s="92">
        <v>-9.7000000000000003E-2</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-8.1379999999999999</v>
      </c>
      <c r="E29" s="91">
        <v>-1.3320000000000001</v>
      </c>
      <c r="F29" s="92">
        <v>-9.7000000000000003E-2</v>
      </c>
      <c r="G29" s="317" t="s">
        <v>797</v>
      </c>
      <c r="H29" s="318" t="s">
        <v>797</v>
      </c>
      <c r="I29" s="319" t="s">
        <v>797</v>
      </c>
      <c r="J29" s="25">
        <v>0.33100000000000002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5.758</v>
      </c>
      <c r="E30" s="91">
        <v>0.94199999999999995</v>
      </c>
      <c r="F30" s="92">
        <v>6.9000000000000006E-2</v>
      </c>
      <c r="G30" s="317">
        <v>4.9000000000000004</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5.758</v>
      </c>
      <c r="E31" s="91">
        <v>0.94199999999999995</v>
      </c>
      <c r="F31" s="92">
        <v>6.9000000000000006E-2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5.5510000000000002</v>
      </c>
      <c r="E32" s="91">
        <v>0.90900000000000003</v>
      </c>
      <c r="F32" s="92">
        <v>6.6000000000000003E-2</v>
      </c>
      <c r="G32" s="317">
        <v>6.34</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5.5510000000000002</v>
      </c>
      <c r="E33" s="91">
        <v>0.90900000000000003</v>
      </c>
      <c r="F33" s="92">
        <v>6.6000000000000003E-2</v>
      </c>
      <c r="G33" s="317">
        <v>6.29</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5.5510000000000002</v>
      </c>
      <c r="E34" s="91">
        <v>0.90900000000000003</v>
      </c>
      <c r="F34" s="92">
        <v>6.6000000000000003E-2</v>
      </c>
      <c r="G34" s="317">
        <v>6.05</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5.5510000000000002</v>
      </c>
      <c r="E35" s="91">
        <v>0.90900000000000003</v>
      </c>
      <c r="F35" s="92">
        <v>6.6000000000000003E-2</v>
      </c>
      <c r="G35" s="317">
        <v>5.61</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5.5510000000000002</v>
      </c>
      <c r="E36" s="91">
        <v>0.90900000000000003</v>
      </c>
      <c r="F36" s="92">
        <v>6.6000000000000003E-2</v>
      </c>
      <c r="G36" s="317">
        <v>4.1900000000000004</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5.5510000000000002</v>
      </c>
      <c r="E37" s="91">
        <v>0.90900000000000003</v>
      </c>
      <c r="F37" s="92">
        <v>6.6000000000000003E-2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3.7919999999999998</v>
      </c>
      <c r="E38" s="91">
        <v>0.54900000000000004</v>
      </c>
      <c r="F38" s="92">
        <v>3.7999999999999999E-2</v>
      </c>
      <c r="G38" s="317">
        <v>11.2</v>
      </c>
      <c r="H38" s="317">
        <v>5</v>
      </c>
      <c r="I38" s="320">
        <v>5</v>
      </c>
      <c r="J38" s="25">
        <v>0.11799999999999999</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3.7919999999999998</v>
      </c>
      <c r="E39" s="91">
        <v>0.54900000000000004</v>
      </c>
      <c r="F39" s="92">
        <v>3.7999999999999999E-2</v>
      </c>
      <c r="G39" s="317">
        <v>7.51</v>
      </c>
      <c r="H39" s="317">
        <v>5</v>
      </c>
      <c r="I39" s="320">
        <v>5</v>
      </c>
      <c r="J39" s="25">
        <v>0.11799999999999999</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3.7919999999999998</v>
      </c>
      <c r="E40" s="91">
        <v>0.54900000000000004</v>
      </c>
      <c r="F40" s="92">
        <v>3.7999999999999999E-2</v>
      </c>
      <c r="G40" s="317">
        <v>5.16</v>
      </c>
      <c r="H40" s="317">
        <v>5</v>
      </c>
      <c r="I40" s="320">
        <v>5</v>
      </c>
      <c r="J40" s="25">
        <v>0.11799999999999999</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3.7919999999999998</v>
      </c>
      <c r="E41" s="91">
        <v>0.54900000000000004</v>
      </c>
      <c r="F41" s="92">
        <v>3.7999999999999999E-2</v>
      </c>
      <c r="G41" s="317">
        <v>0.61</v>
      </c>
      <c r="H41" s="317">
        <v>5</v>
      </c>
      <c r="I41" s="320">
        <v>5</v>
      </c>
      <c r="J41" s="25">
        <v>0.11799999999999999</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3.7839999999999998</v>
      </c>
      <c r="E42" s="91">
        <v>0.54100000000000004</v>
      </c>
      <c r="F42" s="92">
        <v>0.03</v>
      </c>
      <c r="G42" s="317" t="s">
        <v>797</v>
      </c>
      <c r="H42" s="317">
        <v>5</v>
      </c>
      <c r="I42" s="320">
        <v>5</v>
      </c>
      <c r="J42" s="25">
        <v>0.11799999999999999</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3.5</v>
      </c>
      <c r="E43" s="91">
        <v>0.38500000000000001</v>
      </c>
      <c r="F43" s="92">
        <v>2.1999999999999999E-2</v>
      </c>
      <c r="G43" s="317">
        <v>42.89</v>
      </c>
      <c r="H43" s="317">
        <v>8.4499999999999993</v>
      </c>
      <c r="I43" s="320">
        <v>8.4499999999999993</v>
      </c>
      <c r="J43" s="25">
        <v>0.107</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3.5</v>
      </c>
      <c r="E44" s="91">
        <v>0.38500000000000001</v>
      </c>
      <c r="F44" s="92">
        <v>2.1999999999999999E-2</v>
      </c>
      <c r="G44" s="317">
        <v>36.74</v>
      </c>
      <c r="H44" s="317">
        <v>8.4499999999999993</v>
      </c>
      <c r="I44" s="320">
        <v>8.4499999999999993</v>
      </c>
      <c r="J44" s="25">
        <v>0.107</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3.5</v>
      </c>
      <c r="E45" s="91">
        <v>0.38500000000000001</v>
      </c>
      <c r="F45" s="92">
        <v>2.1999999999999999E-2</v>
      </c>
      <c r="G45" s="317">
        <v>32.82</v>
      </c>
      <c r="H45" s="317">
        <v>8.4499999999999993</v>
      </c>
      <c r="I45" s="320">
        <v>8.4499999999999993</v>
      </c>
      <c r="J45" s="25">
        <v>0.107</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3.5</v>
      </c>
      <c r="E46" s="91">
        <v>0.38500000000000001</v>
      </c>
      <c r="F46" s="92">
        <v>2.1999999999999999E-2</v>
      </c>
      <c r="G46" s="317">
        <v>25.25</v>
      </c>
      <c r="H46" s="317">
        <v>8.4499999999999993</v>
      </c>
      <c r="I46" s="320">
        <v>8.4499999999999993</v>
      </c>
      <c r="J46" s="25">
        <v>0.107</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3.4870000000000001</v>
      </c>
      <c r="E47" s="91">
        <v>0.372</v>
      </c>
      <c r="F47" s="92">
        <v>8.9999999999999993E-3</v>
      </c>
      <c r="G47" s="317">
        <v>24.22</v>
      </c>
      <c r="H47" s="317">
        <v>8.4499999999999993</v>
      </c>
      <c r="I47" s="320">
        <v>8.4499999999999993</v>
      </c>
      <c r="J47" s="25">
        <v>0.107</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3.165</v>
      </c>
      <c r="E48" s="91">
        <v>0.32300000000000001</v>
      </c>
      <c r="F48" s="92">
        <v>1.7999999999999999E-2</v>
      </c>
      <c r="G48" s="317">
        <v>204.38</v>
      </c>
      <c r="H48" s="317">
        <v>9.34</v>
      </c>
      <c r="I48" s="320">
        <v>9.34</v>
      </c>
      <c r="J48" s="25">
        <v>8.7999999999999995E-2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3.165</v>
      </c>
      <c r="E49" s="91">
        <v>0.32300000000000001</v>
      </c>
      <c r="F49" s="92">
        <v>1.7999999999999999E-2</v>
      </c>
      <c r="G49" s="317">
        <v>158.97999999999999</v>
      </c>
      <c r="H49" s="317">
        <v>9.34</v>
      </c>
      <c r="I49" s="320">
        <v>9.34</v>
      </c>
      <c r="J49" s="25">
        <v>8.7999999999999995E-2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3.165</v>
      </c>
      <c r="E50" s="91">
        <v>0.32300000000000001</v>
      </c>
      <c r="F50" s="92">
        <v>1.7999999999999999E-2</v>
      </c>
      <c r="G50" s="317">
        <v>91.86</v>
      </c>
      <c r="H50" s="317">
        <v>9.34</v>
      </c>
      <c r="I50" s="320">
        <v>9.34</v>
      </c>
      <c r="J50" s="25">
        <v>8.7999999999999995E-2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3.1640000000000001</v>
      </c>
      <c r="E51" s="91">
        <v>0.32200000000000001</v>
      </c>
      <c r="F51" s="92">
        <v>1.7000000000000001E-2</v>
      </c>
      <c r="G51" s="317" t="s">
        <v>797</v>
      </c>
      <c r="H51" s="317">
        <v>9.34</v>
      </c>
      <c r="I51" s="320">
        <v>9.34</v>
      </c>
      <c r="J51" s="25">
        <v>8.7999999999999995E-2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3.15</v>
      </c>
      <c r="E52" s="91">
        <v>0.307</v>
      </c>
      <c r="F52" s="92">
        <v>2E-3</v>
      </c>
      <c r="G52" s="317" t="s">
        <v>797</v>
      </c>
      <c r="H52" s="317">
        <v>9.34</v>
      </c>
      <c r="I52" s="320">
        <v>9.34</v>
      </c>
      <c r="J52" s="25">
        <v>8.7999999999999995E-2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15.217000000000001</v>
      </c>
      <c r="E53" s="94">
        <v>2.3809999999999998</v>
      </c>
      <c r="F53" s="92">
        <v>1.421</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2074</v>
      </c>
      <c r="D54" s="90">
        <v>-8.1379999999999999</v>
      </c>
      <c r="E54" s="91">
        <v>-1.3320000000000001</v>
      </c>
      <c r="F54" s="92">
        <v>-9.7000000000000003E-2</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2074</v>
      </c>
      <c r="D55" s="90">
        <v>-6.9139999999999997</v>
      </c>
      <c r="E55" s="91">
        <v>-1.0429999999999999</v>
      </c>
      <c r="F55" s="92">
        <v>-7.2999999999999995E-2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-8.1379999999999999</v>
      </c>
      <c r="E56" s="91">
        <v>-1.3320000000000001</v>
      </c>
      <c r="F56" s="92">
        <v>-9.7000000000000003E-2</v>
      </c>
      <c r="G56" s="317" t="s">
        <v>797</v>
      </c>
      <c r="H56" s="318" t="s">
        <v>797</v>
      </c>
      <c r="I56" s="319" t="s">
        <v>797</v>
      </c>
      <c r="J56" s="25">
        <v>0.33100000000000002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-6.9139999999999997</v>
      </c>
      <c r="E57" s="91">
        <v>-1.0429999999999999</v>
      </c>
      <c r="F57" s="92">
        <v>-7.2999999999999995E-2</v>
      </c>
      <c r="G57" s="317" t="s">
        <v>797</v>
      </c>
      <c r="H57" s="318" t="s">
        <v>797</v>
      </c>
      <c r="I57" s="319" t="s">
        <v>797</v>
      </c>
      <c r="J57" s="25">
        <v>0.24399999999999999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-4.7930000000000001</v>
      </c>
      <c r="E58" s="91">
        <v>-0.52700000000000002</v>
      </c>
      <c r="F58" s="92">
        <v>-3.1E-2</v>
      </c>
      <c r="G58" s="317" t="s">
        <v>797</v>
      </c>
      <c r="H58" s="318" t="s">
        <v>797</v>
      </c>
      <c r="I58" s="319" t="s">
        <v>797</v>
      </c>
      <c r="J58" s="25">
        <v>0.2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4.21</v>
      </c>
      <c r="E59" s="91">
        <v>0.68899999999999995</v>
      </c>
      <c r="F59" s="92">
        <v>0.05</v>
      </c>
      <c r="G59" s="317">
        <v>3.58</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4.21</v>
      </c>
      <c r="E60" s="91">
        <v>0.68899999999999995</v>
      </c>
      <c r="F60" s="92">
        <v>0.05</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4.0590000000000002</v>
      </c>
      <c r="E61" s="91">
        <v>0.66400000000000003</v>
      </c>
      <c r="F61" s="92">
        <v>4.8000000000000001E-2</v>
      </c>
      <c r="G61" s="317">
        <v>4.6399999999999997</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4.0590000000000002</v>
      </c>
      <c r="E62" s="91">
        <v>0.66400000000000003</v>
      </c>
      <c r="F62" s="92">
        <v>4.8000000000000001E-2</v>
      </c>
      <c r="G62" s="317">
        <v>4.5999999999999996</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4.0590000000000002</v>
      </c>
      <c r="E63" s="91">
        <v>0.66400000000000003</v>
      </c>
      <c r="F63" s="92">
        <v>4.8000000000000001E-2</v>
      </c>
      <c r="G63" s="317">
        <v>4.43</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4.0590000000000002</v>
      </c>
      <c r="E64" s="91">
        <v>0.66400000000000003</v>
      </c>
      <c r="F64" s="92">
        <v>4.8000000000000001E-2</v>
      </c>
      <c r="G64" s="317">
        <v>4.0999999999999996</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4.0590000000000002</v>
      </c>
      <c r="E65" s="91">
        <v>0.66400000000000003</v>
      </c>
      <c r="F65" s="92">
        <v>4.8000000000000001E-2</v>
      </c>
      <c r="G65" s="317">
        <v>3.07</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4.0590000000000002</v>
      </c>
      <c r="E66" s="91">
        <v>0.66400000000000003</v>
      </c>
      <c r="F66" s="92">
        <v>4.8000000000000001E-2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2.7730000000000001</v>
      </c>
      <c r="E67" s="91">
        <v>0.40100000000000002</v>
      </c>
      <c r="F67" s="92">
        <v>2.8000000000000001E-2</v>
      </c>
      <c r="G67" s="317">
        <v>8.19</v>
      </c>
      <c r="H67" s="317">
        <v>3.65</v>
      </c>
      <c r="I67" s="320">
        <v>3.65</v>
      </c>
      <c r="J67" s="25">
        <v>8.6999999999999994E-2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2.7730000000000001</v>
      </c>
      <c r="E68" s="91">
        <v>0.40100000000000002</v>
      </c>
      <c r="F68" s="92">
        <v>2.8000000000000001E-2</v>
      </c>
      <c r="G68" s="317">
        <v>5.49</v>
      </c>
      <c r="H68" s="317">
        <v>3.65</v>
      </c>
      <c r="I68" s="320">
        <v>3.65</v>
      </c>
      <c r="J68" s="25">
        <v>8.6999999999999994E-2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2.7730000000000001</v>
      </c>
      <c r="E69" s="91">
        <v>0.40100000000000002</v>
      </c>
      <c r="F69" s="92">
        <v>2.8000000000000001E-2</v>
      </c>
      <c r="G69" s="317">
        <v>3.77</v>
      </c>
      <c r="H69" s="317">
        <v>3.65</v>
      </c>
      <c r="I69" s="320">
        <v>3.65</v>
      </c>
      <c r="J69" s="25">
        <v>8.6999999999999994E-2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2.7730000000000001</v>
      </c>
      <c r="E70" s="91">
        <v>0.40100000000000002</v>
      </c>
      <c r="F70" s="92">
        <v>2.8000000000000001E-2</v>
      </c>
      <c r="G70" s="317">
        <v>0.45</v>
      </c>
      <c r="H70" s="317">
        <v>3.65</v>
      </c>
      <c r="I70" s="320">
        <v>3.65</v>
      </c>
      <c r="J70" s="25">
        <v>8.6999999999999994E-2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2.7669999999999999</v>
      </c>
      <c r="E71" s="91">
        <v>0.39500000000000002</v>
      </c>
      <c r="F71" s="92">
        <v>2.1999999999999999E-2</v>
      </c>
      <c r="G71" s="317" t="s">
        <v>797</v>
      </c>
      <c r="H71" s="317">
        <v>3.65</v>
      </c>
      <c r="I71" s="320">
        <v>3.65</v>
      </c>
      <c r="J71" s="25">
        <v>8.6999999999999994E-2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2.4980000000000002</v>
      </c>
      <c r="E72" s="91">
        <v>0.27500000000000002</v>
      </c>
      <c r="F72" s="92">
        <v>1.6E-2</v>
      </c>
      <c r="G72" s="317">
        <v>30.61</v>
      </c>
      <c r="H72" s="317">
        <v>6.03</v>
      </c>
      <c r="I72" s="320">
        <v>6.03</v>
      </c>
      <c r="J72" s="25">
        <v>7.5999999999999998E-2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2.4980000000000002</v>
      </c>
      <c r="E73" s="91">
        <v>0.27500000000000002</v>
      </c>
      <c r="F73" s="92">
        <v>1.6E-2</v>
      </c>
      <c r="G73" s="317">
        <v>26.22</v>
      </c>
      <c r="H73" s="317">
        <v>6.03</v>
      </c>
      <c r="I73" s="320">
        <v>6.03</v>
      </c>
      <c r="J73" s="25">
        <v>7.5999999999999998E-2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2.4980000000000002</v>
      </c>
      <c r="E74" s="91">
        <v>0.27500000000000002</v>
      </c>
      <c r="F74" s="92">
        <v>1.6E-2</v>
      </c>
      <c r="G74" s="317">
        <v>23.42</v>
      </c>
      <c r="H74" s="317">
        <v>6.03</v>
      </c>
      <c r="I74" s="320">
        <v>6.03</v>
      </c>
      <c r="J74" s="25">
        <v>7.5999999999999998E-2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2.4980000000000002</v>
      </c>
      <c r="E75" s="91">
        <v>0.27500000000000002</v>
      </c>
      <c r="F75" s="92">
        <v>1.6E-2</v>
      </c>
      <c r="G75" s="317">
        <v>18.02</v>
      </c>
      <c r="H75" s="317">
        <v>6.03</v>
      </c>
      <c r="I75" s="320">
        <v>6.03</v>
      </c>
      <c r="J75" s="25">
        <v>7.5999999999999998E-2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2.4889999999999999</v>
      </c>
      <c r="E76" s="91">
        <v>0.26500000000000001</v>
      </c>
      <c r="F76" s="92">
        <v>7.0000000000000001E-3</v>
      </c>
      <c r="G76" s="317">
        <v>17.29</v>
      </c>
      <c r="H76" s="317">
        <v>6.03</v>
      </c>
      <c r="I76" s="320">
        <v>6.03</v>
      </c>
      <c r="J76" s="25">
        <v>7.5999999999999998E-2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2.2349999999999999</v>
      </c>
      <c r="E77" s="91">
        <v>0.22800000000000001</v>
      </c>
      <c r="F77" s="92">
        <v>1.2999999999999999E-2</v>
      </c>
      <c r="G77" s="317">
        <v>144.30000000000001</v>
      </c>
      <c r="H77" s="317">
        <v>6.59</v>
      </c>
      <c r="I77" s="320">
        <v>6.59</v>
      </c>
      <c r="J77" s="25">
        <v>6.2E-2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2.2349999999999999</v>
      </c>
      <c r="E78" s="91">
        <v>0.22800000000000001</v>
      </c>
      <c r="F78" s="92">
        <v>1.2999999999999999E-2</v>
      </c>
      <c r="G78" s="317">
        <v>112.25</v>
      </c>
      <c r="H78" s="317">
        <v>6.59</v>
      </c>
      <c r="I78" s="320">
        <v>6.59</v>
      </c>
      <c r="J78" s="25">
        <v>6.2E-2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2.2349999999999999</v>
      </c>
      <c r="E79" s="91">
        <v>0.22800000000000001</v>
      </c>
      <c r="F79" s="92">
        <v>1.2999999999999999E-2</v>
      </c>
      <c r="G79" s="317">
        <v>64.86</v>
      </c>
      <c r="H79" s="317">
        <v>6.59</v>
      </c>
      <c r="I79" s="320">
        <v>6.59</v>
      </c>
      <c r="J79" s="25">
        <v>6.2E-2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2.234</v>
      </c>
      <c r="E80" s="91">
        <v>0.22700000000000001</v>
      </c>
      <c r="F80" s="92">
        <v>1.2E-2</v>
      </c>
      <c r="G80" s="317" t="s">
        <v>797</v>
      </c>
      <c r="H80" s="317">
        <v>6.59</v>
      </c>
      <c r="I80" s="320">
        <v>6.59</v>
      </c>
      <c r="J80" s="25">
        <v>6.2E-2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2.2240000000000002</v>
      </c>
      <c r="E81" s="91">
        <v>0.217</v>
      </c>
      <c r="F81" s="92">
        <v>2E-3</v>
      </c>
      <c r="G81" s="317" t="s">
        <v>797</v>
      </c>
      <c r="H81" s="317">
        <v>6.59</v>
      </c>
      <c r="I81" s="320">
        <v>6.59</v>
      </c>
      <c r="J81" s="25">
        <v>6.2E-2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11.127000000000001</v>
      </c>
      <c r="E82" s="94">
        <v>1.7410000000000001</v>
      </c>
      <c r="F82" s="92">
        <v>1.0389999999999999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2074</v>
      </c>
      <c r="D83" s="90">
        <v>-4.2939999999999996</v>
      </c>
      <c r="E83" s="91">
        <v>-0.70299999999999996</v>
      </c>
      <c r="F83" s="92">
        <v>-5.0999999999999997E-2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2074</v>
      </c>
      <c r="D84" s="90">
        <v>-4.1280000000000001</v>
      </c>
      <c r="E84" s="91">
        <v>-0.622</v>
      </c>
      <c r="F84" s="92">
        <v>-4.3999999999999997E-2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-4.2939999999999996</v>
      </c>
      <c r="E85" s="91">
        <v>-0.70299999999999996</v>
      </c>
      <c r="F85" s="92">
        <v>-5.0999999999999997E-2</v>
      </c>
      <c r="G85" s="317" t="s">
        <v>797</v>
      </c>
      <c r="H85" s="318" t="s">
        <v>797</v>
      </c>
      <c r="I85" s="319" t="s">
        <v>797</v>
      </c>
      <c r="J85" s="25">
        <v>0.17499999999999999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-4.1280000000000001</v>
      </c>
      <c r="E86" s="91">
        <v>-0.622</v>
      </c>
      <c r="F86" s="92">
        <v>-4.3999999999999997E-2</v>
      </c>
      <c r="G86" s="317" t="s">
        <v>797</v>
      </c>
      <c r="H86" s="318" t="s">
        <v>797</v>
      </c>
      <c r="I86" s="319" t="s">
        <v>797</v>
      </c>
      <c r="J86" s="25">
        <v>0.14599999999999999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-4.7930000000000001</v>
      </c>
      <c r="E87" s="91">
        <v>-0.52700000000000002</v>
      </c>
      <c r="F87" s="92">
        <v>-3.1E-2</v>
      </c>
      <c r="G87" s="317">
        <v>466.72</v>
      </c>
      <c r="H87" s="318" t="s">
        <v>797</v>
      </c>
      <c r="I87" s="319" t="s">
        <v>797</v>
      </c>
      <c r="J87" s="25">
        <v>0.2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3.266</v>
      </c>
      <c r="E88" s="91">
        <v>0.53400000000000003</v>
      </c>
      <c r="F88" s="92">
        <v>3.9E-2</v>
      </c>
      <c r="G88" s="317">
        <v>2.78</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3.266</v>
      </c>
      <c r="E89" s="91">
        <v>0.53400000000000003</v>
      </c>
      <c r="F89" s="92">
        <v>3.9E-2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3.1480000000000001</v>
      </c>
      <c r="E90" s="91">
        <v>0.51500000000000001</v>
      </c>
      <c r="F90" s="92">
        <v>3.7999999999999999E-2</v>
      </c>
      <c r="G90" s="317">
        <v>3.6</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3.1480000000000001</v>
      </c>
      <c r="E91" s="91">
        <v>0.51500000000000001</v>
      </c>
      <c r="F91" s="92">
        <v>3.7999999999999999E-2</v>
      </c>
      <c r="G91" s="317">
        <v>3.57</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3.1480000000000001</v>
      </c>
      <c r="E92" s="91">
        <v>0.51500000000000001</v>
      </c>
      <c r="F92" s="92">
        <v>3.7999999999999999E-2</v>
      </c>
      <c r="G92" s="317">
        <v>3.43</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3.1480000000000001</v>
      </c>
      <c r="E93" s="91">
        <v>0.51500000000000001</v>
      </c>
      <c r="F93" s="92">
        <v>3.7999999999999999E-2</v>
      </c>
      <c r="G93" s="317">
        <v>3.18</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3.1480000000000001</v>
      </c>
      <c r="E94" s="91">
        <v>0.51500000000000001</v>
      </c>
      <c r="F94" s="92">
        <v>3.7999999999999999E-2</v>
      </c>
      <c r="G94" s="317">
        <v>2.38</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3.1480000000000001</v>
      </c>
      <c r="E95" s="91">
        <v>0.51500000000000001</v>
      </c>
      <c r="F95" s="92">
        <v>3.7999999999999999E-2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2.15</v>
      </c>
      <c r="E96" s="91">
        <v>0.311</v>
      </c>
      <c r="F96" s="92">
        <v>2.1000000000000001E-2</v>
      </c>
      <c r="G96" s="317">
        <v>6.35</v>
      </c>
      <c r="H96" s="317">
        <v>2.83</v>
      </c>
      <c r="I96" s="320">
        <v>2.83</v>
      </c>
      <c r="J96" s="25">
        <v>6.7000000000000004E-2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2.15</v>
      </c>
      <c r="E97" s="91">
        <v>0.311</v>
      </c>
      <c r="F97" s="92">
        <v>2.1000000000000001E-2</v>
      </c>
      <c r="G97" s="317">
        <v>4.26</v>
      </c>
      <c r="H97" s="317">
        <v>2.83</v>
      </c>
      <c r="I97" s="320">
        <v>2.83</v>
      </c>
      <c r="J97" s="25">
        <v>6.7000000000000004E-2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2.15</v>
      </c>
      <c r="E98" s="91">
        <v>0.311</v>
      </c>
      <c r="F98" s="92">
        <v>2.1000000000000001E-2</v>
      </c>
      <c r="G98" s="317">
        <v>2.93</v>
      </c>
      <c r="H98" s="317">
        <v>2.83</v>
      </c>
      <c r="I98" s="320">
        <v>2.83</v>
      </c>
      <c r="J98" s="25">
        <v>6.7000000000000004E-2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2.15</v>
      </c>
      <c r="E99" s="91">
        <v>0.311</v>
      </c>
      <c r="F99" s="92">
        <v>2.1000000000000001E-2</v>
      </c>
      <c r="G99" s="317">
        <v>0.35</v>
      </c>
      <c r="H99" s="317">
        <v>2.83</v>
      </c>
      <c r="I99" s="320">
        <v>2.83</v>
      </c>
      <c r="J99" s="25">
        <v>6.7000000000000004E-2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2.1459999999999999</v>
      </c>
      <c r="E100" s="91">
        <v>0.307</v>
      </c>
      <c r="F100" s="92">
        <v>1.7000000000000001E-2</v>
      </c>
      <c r="G100" s="317" t="s">
        <v>797</v>
      </c>
      <c r="H100" s="317">
        <v>2.83</v>
      </c>
      <c r="I100" s="320">
        <v>2.83</v>
      </c>
      <c r="J100" s="25">
        <v>6.7000000000000004E-2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1.9370000000000001</v>
      </c>
      <c r="E101" s="91">
        <v>0.21299999999999999</v>
      </c>
      <c r="F101" s="92">
        <v>1.2E-2</v>
      </c>
      <c r="G101" s="317">
        <v>23.74</v>
      </c>
      <c r="H101" s="317">
        <v>4.68</v>
      </c>
      <c r="I101" s="320">
        <v>4.68</v>
      </c>
      <c r="J101" s="25">
        <v>5.8999999999999997E-2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1.9370000000000001</v>
      </c>
      <c r="E102" s="91">
        <v>0.21299999999999999</v>
      </c>
      <c r="F102" s="92">
        <v>1.2E-2</v>
      </c>
      <c r="G102" s="317">
        <v>20.329999999999998</v>
      </c>
      <c r="H102" s="317">
        <v>4.68</v>
      </c>
      <c r="I102" s="320">
        <v>4.68</v>
      </c>
      <c r="J102" s="25">
        <v>5.8999999999999997E-2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1.9370000000000001</v>
      </c>
      <c r="E103" s="91">
        <v>0.21299999999999999</v>
      </c>
      <c r="F103" s="92">
        <v>1.2E-2</v>
      </c>
      <c r="G103" s="317">
        <v>18.170000000000002</v>
      </c>
      <c r="H103" s="317">
        <v>4.68</v>
      </c>
      <c r="I103" s="320">
        <v>4.68</v>
      </c>
      <c r="J103" s="25">
        <v>5.8999999999999997E-2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1.9370000000000001</v>
      </c>
      <c r="E104" s="91">
        <v>0.21299999999999999</v>
      </c>
      <c r="F104" s="92">
        <v>1.2E-2</v>
      </c>
      <c r="G104" s="317">
        <v>13.97</v>
      </c>
      <c r="H104" s="317">
        <v>4.68</v>
      </c>
      <c r="I104" s="320">
        <v>4.68</v>
      </c>
      <c r="J104" s="25">
        <v>5.8999999999999997E-2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1.93</v>
      </c>
      <c r="E105" s="91">
        <v>0.20599999999999999</v>
      </c>
      <c r="F105" s="92">
        <v>5.0000000000000001E-3</v>
      </c>
      <c r="G105" s="317">
        <v>13.41</v>
      </c>
      <c r="H105" s="317">
        <v>4.68</v>
      </c>
      <c r="I105" s="320">
        <v>4.68</v>
      </c>
      <c r="J105" s="25">
        <v>5.8999999999999997E-2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1.7330000000000001</v>
      </c>
      <c r="E106" s="91">
        <v>0.17699999999999999</v>
      </c>
      <c r="F106" s="92">
        <v>0.01</v>
      </c>
      <c r="G106" s="317">
        <v>111.92</v>
      </c>
      <c r="H106" s="317">
        <v>5.1100000000000003</v>
      </c>
      <c r="I106" s="320">
        <v>5.1100000000000003</v>
      </c>
      <c r="J106" s="25">
        <v>4.8000000000000001E-2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1.7330000000000001</v>
      </c>
      <c r="E107" s="91">
        <v>0.17699999999999999</v>
      </c>
      <c r="F107" s="92">
        <v>0.01</v>
      </c>
      <c r="G107" s="317">
        <v>87.06</v>
      </c>
      <c r="H107" s="317">
        <v>5.1100000000000003</v>
      </c>
      <c r="I107" s="320">
        <v>5.1100000000000003</v>
      </c>
      <c r="J107" s="25">
        <v>4.8000000000000001E-2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1.7330000000000001</v>
      </c>
      <c r="E108" s="91">
        <v>0.17699999999999999</v>
      </c>
      <c r="F108" s="92">
        <v>0.01</v>
      </c>
      <c r="G108" s="317">
        <v>50.31</v>
      </c>
      <c r="H108" s="317">
        <v>5.1100000000000003</v>
      </c>
      <c r="I108" s="320">
        <v>5.1100000000000003</v>
      </c>
      <c r="J108" s="25">
        <v>4.8000000000000001E-2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1.7330000000000001</v>
      </c>
      <c r="E109" s="91">
        <v>0.17599999999999999</v>
      </c>
      <c r="F109" s="92">
        <v>8.9999999999999993E-3</v>
      </c>
      <c r="G109" s="317" t="s">
        <v>797</v>
      </c>
      <c r="H109" s="317">
        <v>5.1100000000000003</v>
      </c>
      <c r="I109" s="320">
        <v>5.1100000000000003</v>
      </c>
      <c r="J109" s="25">
        <v>4.8000000000000001E-2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1.7250000000000001</v>
      </c>
      <c r="E110" s="91">
        <v>0.16800000000000001</v>
      </c>
      <c r="F110" s="92">
        <v>1E-3</v>
      </c>
      <c r="G110" s="317" t="s">
        <v>797</v>
      </c>
      <c r="H110" s="317">
        <v>5.1100000000000003</v>
      </c>
      <c r="I110" s="320">
        <v>5.1100000000000003</v>
      </c>
      <c r="J110" s="25">
        <v>4.8000000000000001E-2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8.6300000000000008</v>
      </c>
      <c r="E111" s="94">
        <v>1.35</v>
      </c>
      <c r="F111" s="92">
        <v>0.80600000000000005</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2074</v>
      </c>
      <c r="D112" s="90">
        <v>-3.33</v>
      </c>
      <c r="E112" s="91">
        <v>-0.54500000000000004</v>
      </c>
      <c r="F112" s="92">
        <v>-0.04</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2074</v>
      </c>
      <c r="D113" s="90">
        <v>-3.202</v>
      </c>
      <c r="E113" s="91">
        <v>-0.48299999999999998</v>
      </c>
      <c r="F113" s="92">
        <v>-3.4000000000000002E-2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-3.33</v>
      </c>
      <c r="E114" s="91">
        <v>-0.54500000000000004</v>
      </c>
      <c r="F114" s="92">
        <v>-0.04</v>
      </c>
      <c r="G114" s="317" t="s">
        <v>797</v>
      </c>
      <c r="H114" s="318" t="s">
        <v>797</v>
      </c>
      <c r="I114" s="319" t="s">
        <v>797</v>
      </c>
      <c r="J114" s="25">
        <v>0.13600000000000001</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-3.202</v>
      </c>
      <c r="E115" s="91">
        <v>-0.48299999999999998</v>
      </c>
      <c r="F115" s="92">
        <v>-3.4000000000000002E-2</v>
      </c>
      <c r="G115" s="317" t="s">
        <v>797</v>
      </c>
      <c r="H115" s="318" t="s">
        <v>797</v>
      </c>
      <c r="I115" s="319" t="s">
        <v>797</v>
      </c>
      <c r="J115" s="25">
        <v>0.113</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-3.7170000000000001</v>
      </c>
      <c r="E116" s="91">
        <v>-0.40899999999999997</v>
      </c>
      <c r="F116" s="92">
        <v>-2.4E-2</v>
      </c>
      <c r="G116" s="317">
        <v>361.98</v>
      </c>
      <c r="H116" s="318" t="s">
        <v>797</v>
      </c>
      <c r="I116" s="319" t="s">
        <v>797</v>
      </c>
      <c r="J116" s="25">
        <v>0.155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2.4409999999999998</v>
      </c>
      <c r="E117" s="91">
        <v>0.39900000000000002</v>
      </c>
      <c r="F117" s="92">
        <v>2.9000000000000001E-2</v>
      </c>
      <c r="G117" s="317">
        <v>2.08</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2.4409999999999998</v>
      </c>
      <c r="E118" s="91">
        <v>0.39900000000000002</v>
      </c>
      <c r="F118" s="92">
        <v>2.9000000000000001E-2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2.3530000000000002</v>
      </c>
      <c r="E119" s="91">
        <v>0.38500000000000001</v>
      </c>
      <c r="F119" s="92">
        <v>2.8000000000000001E-2</v>
      </c>
      <c r="G119" s="317">
        <v>2.69</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2.3530000000000002</v>
      </c>
      <c r="E120" s="91">
        <v>0.38500000000000001</v>
      </c>
      <c r="F120" s="92">
        <v>2.8000000000000001E-2</v>
      </c>
      <c r="G120" s="317">
        <v>2.67</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2.3530000000000002</v>
      </c>
      <c r="E121" s="91">
        <v>0.38500000000000001</v>
      </c>
      <c r="F121" s="92">
        <v>2.8000000000000001E-2</v>
      </c>
      <c r="G121" s="317">
        <v>2.57</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2.3530000000000002</v>
      </c>
      <c r="E122" s="91">
        <v>0.38500000000000001</v>
      </c>
      <c r="F122" s="92">
        <v>2.8000000000000001E-2</v>
      </c>
      <c r="G122" s="317">
        <v>2.38</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2.3530000000000002</v>
      </c>
      <c r="E123" s="91">
        <v>0.38500000000000001</v>
      </c>
      <c r="F123" s="92">
        <v>2.8000000000000001E-2</v>
      </c>
      <c r="G123" s="317">
        <v>1.78</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2.3530000000000002</v>
      </c>
      <c r="E124" s="91">
        <v>0.38500000000000001</v>
      </c>
      <c r="F124" s="92">
        <v>2.8000000000000001E-2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1.607</v>
      </c>
      <c r="E125" s="91">
        <v>0.23300000000000001</v>
      </c>
      <c r="F125" s="92">
        <v>1.6E-2</v>
      </c>
      <c r="G125" s="317">
        <v>4.75</v>
      </c>
      <c r="H125" s="317">
        <v>2.12</v>
      </c>
      <c r="I125" s="320">
        <v>2.12</v>
      </c>
      <c r="J125" s="25">
        <v>0.05</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1.607</v>
      </c>
      <c r="E126" s="91">
        <v>0.23300000000000001</v>
      </c>
      <c r="F126" s="92">
        <v>1.6E-2</v>
      </c>
      <c r="G126" s="317">
        <v>3.18</v>
      </c>
      <c r="H126" s="317">
        <v>2.12</v>
      </c>
      <c r="I126" s="320">
        <v>2.12</v>
      </c>
      <c r="J126" s="25">
        <v>0.05</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1.607</v>
      </c>
      <c r="E127" s="91">
        <v>0.23300000000000001</v>
      </c>
      <c r="F127" s="92">
        <v>1.6E-2</v>
      </c>
      <c r="G127" s="317">
        <v>2.19</v>
      </c>
      <c r="H127" s="317">
        <v>2.12</v>
      </c>
      <c r="I127" s="320">
        <v>2.12</v>
      </c>
      <c r="J127" s="25">
        <v>0.05</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1.607</v>
      </c>
      <c r="E128" s="91">
        <v>0.23300000000000001</v>
      </c>
      <c r="F128" s="92">
        <v>1.6E-2</v>
      </c>
      <c r="G128" s="317">
        <v>0.26</v>
      </c>
      <c r="H128" s="317">
        <v>2.12</v>
      </c>
      <c r="I128" s="320">
        <v>2.12</v>
      </c>
      <c r="J128" s="25">
        <v>0.05</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1.6040000000000001</v>
      </c>
      <c r="E129" s="91">
        <v>0.22900000000000001</v>
      </c>
      <c r="F129" s="92">
        <v>1.2999999999999999E-2</v>
      </c>
      <c r="G129" s="317" t="s">
        <v>797</v>
      </c>
      <c r="H129" s="317">
        <v>2.12</v>
      </c>
      <c r="I129" s="320">
        <v>2.12</v>
      </c>
      <c r="J129" s="25">
        <v>0.05</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1.448</v>
      </c>
      <c r="E130" s="91">
        <v>0.159</v>
      </c>
      <c r="F130" s="92">
        <v>8.9999999999999993E-3</v>
      </c>
      <c r="G130" s="317">
        <v>17.739999999999998</v>
      </c>
      <c r="H130" s="317">
        <v>3.5</v>
      </c>
      <c r="I130" s="320">
        <v>3.5</v>
      </c>
      <c r="J130" s="25">
        <v>4.3999999999999997E-2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1.448</v>
      </c>
      <c r="E131" s="91">
        <v>0.159</v>
      </c>
      <c r="F131" s="92">
        <v>8.9999999999999993E-3</v>
      </c>
      <c r="G131" s="317">
        <v>15.2</v>
      </c>
      <c r="H131" s="317">
        <v>3.5</v>
      </c>
      <c r="I131" s="320">
        <v>3.5</v>
      </c>
      <c r="J131" s="25">
        <v>4.3999999999999997E-2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1.448</v>
      </c>
      <c r="E132" s="91">
        <v>0.159</v>
      </c>
      <c r="F132" s="92">
        <v>8.9999999999999993E-3</v>
      </c>
      <c r="G132" s="317">
        <v>13.58</v>
      </c>
      <c r="H132" s="317">
        <v>3.5</v>
      </c>
      <c r="I132" s="320">
        <v>3.5</v>
      </c>
      <c r="J132" s="25">
        <v>4.3999999999999997E-2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1.448</v>
      </c>
      <c r="E133" s="91">
        <v>0.159</v>
      </c>
      <c r="F133" s="92">
        <v>8.9999999999999993E-3</v>
      </c>
      <c r="G133" s="317">
        <v>10.44</v>
      </c>
      <c r="H133" s="317">
        <v>3.5</v>
      </c>
      <c r="I133" s="320">
        <v>3.5</v>
      </c>
      <c r="J133" s="25">
        <v>4.3999999999999997E-2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1.4430000000000001</v>
      </c>
      <c r="E134" s="91">
        <v>0.154</v>
      </c>
      <c r="F134" s="92">
        <v>4.0000000000000001E-3</v>
      </c>
      <c r="G134" s="317">
        <v>10.02</v>
      </c>
      <c r="H134" s="317">
        <v>3.5</v>
      </c>
      <c r="I134" s="320">
        <v>3.5</v>
      </c>
      <c r="J134" s="25">
        <v>4.3999999999999997E-2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1.296</v>
      </c>
      <c r="E135" s="91">
        <v>0.13200000000000001</v>
      </c>
      <c r="F135" s="92">
        <v>7.0000000000000001E-3</v>
      </c>
      <c r="G135" s="317">
        <v>83.65</v>
      </c>
      <c r="H135" s="317">
        <v>3.82</v>
      </c>
      <c r="I135" s="320">
        <v>3.82</v>
      </c>
      <c r="J135" s="25">
        <v>3.5999999999999997E-2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1.296</v>
      </c>
      <c r="E136" s="91">
        <v>0.13200000000000001</v>
      </c>
      <c r="F136" s="92">
        <v>7.0000000000000001E-3</v>
      </c>
      <c r="G136" s="317">
        <v>65.069999999999993</v>
      </c>
      <c r="H136" s="317">
        <v>3.82</v>
      </c>
      <c r="I136" s="320">
        <v>3.82</v>
      </c>
      <c r="J136" s="25">
        <v>3.5999999999999997E-2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1.296</v>
      </c>
      <c r="E137" s="91">
        <v>0.13200000000000001</v>
      </c>
      <c r="F137" s="92">
        <v>7.0000000000000001E-3</v>
      </c>
      <c r="G137" s="317">
        <v>37.6</v>
      </c>
      <c r="H137" s="317">
        <v>3.82</v>
      </c>
      <c r="I137" s="320">
        <v>3.82</v>
      </c>
      <c r="J137" s="25">
        <v>3.5999999999999997E-2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1.2949999999999999</v>
      </c>
      <c r="E138" s="91">
        <v>0.13200000000000001</v>
      </c>
      <c r="F138" s="92">
        <v>7.0000000000000001E-3</v>
      </c>
      <c r="G138" s="317" t="s">
        <v>797</v>
      </c>
      <c r="H138" s="317">
        <v>3.82</v>
      </c>
      <c r="I138" s="320">
        <v>3.82</v>
      </c>
      <c r="J138" s="25">
        <v>3.5999999999999997E-2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1.2889999999999999</v>
      </c>
      <c r="E139" s="91">
        <v>0.126</v>
      </c>
      <c r="F139" s="92">
        <v>1E-3</v>
      </c>
      <c r="G139" s="317" t="s">
        <v>797</v>
      </c>
      <c r="H139" s="317">
        <v>3.82</v>
      </c>
      <c r="I139" s="320">
        <v>3.82</v>
      </c>
      <c r="J139" s="25">
        <v>3.5999999999999997E-2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804</v>
      </c>
      <c r="D140" s="93">
        <v>6.45</v>
      </c>
      <c r="E140" s="94">
        <v>1.0089999999999999</v>
      </c>
      <c r="F140" s="92">
        <v>0.60199999999999998</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2074</v>
      </c>
      <c r="D141" s="90">
        <v>-2.4889999999999999</v>
      </c>
      <c r="E141" s="91">
        <v>-0.40699999999999997</v>
      </c>
      <c r="F141" s="92">
        <v>-0.03</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2074</v>
      </c>
      <c r="D142" s="90">
        <v>-2.3929999999999998</v>
      </c>
      <c r="E142" s="91">
        <v>-0.36099999999999999</v>
      </c>
      <c r="F142" s="92">
        <v>-2.5000000000000001E-2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-2.4889999999999999</v>
      </c>
      <c r="E143" s="91">
        <v>-0.40699999999999997</v>
      </c>
      <c r="F143" s="92">
        <v>-0.03</v>
      </c>
      <c r="G143" s="317" t="s">
        <v>797</v>
      </c>
      <c r="H143" s="318" t="s">
        <v>797</v>
      </c>
      <c r="I143" s="319" t="s">
        <v>797</v>
      </c>
      <c r="J143" s="25">
        <v>0.10100000000000001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-2.3929999999999998</v>
      </c>
      <c r="E144" s="91">
        <v>-0.36099999999999999</v>
      </c>
      <c r="F144" s="92">
        <v>-2.5000000000000001E-2</v>
      </c>
      <c r="G144" s="317" t="s">
        <v>797</v>
      </c>
      <c r="H144" s="318" t="s">
        <v>797</v>
      </c>
      <c r="I144" s="319" t="s">
        <v>797</v>
      </c>
      <c r="J144" s="25">
        <v>8.5000000000000006E-2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-2.778</v>
      </c>
      <c r="E145" s="91">
        <v>-0.30499999999999999</v>
      </c>
      <c r="F145" s="92">
        <v>-1.7999999999999999E-2</v>
      </c>
      <c r="G145" s="317">
        <v>270.55</v>
      </c>
      <c r="H145" s="318" t="s">
        <v>797</v>
      </c>
      <c r="I145" s="319" t="s">
        <v>797</v>
      </c>
      <c r="J145" s="25">
        <v>0.11600000000000001</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1.7649999999999999</v>
      </c>
      <c r="E146" s="91">
        <v>0.28899999999999998</v>
      </c>
      <c r="F146" s="92">
        <v>2.1000000000000001E-2</v>
      </c>
      <c r="G146" s="317">
        <v>1.5</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1.7649999999999999</v>
      </c>
      <c r="E147" s="91">
        <v>0.28899999999999998</v>
      </c>
      <c r="F147" s="92">
        <v>2.1000000000000001E-2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1.702</v>
      </c>
      <c r="E148" s="91">
        <v>0.27800000000000002</v>
      </c>
      <c r="F148" s="92">
        <v>0.02</v>
      </c>
      <c r="G148" s="317">
        <v>1.94</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1.702</v>
      </c>
      <c r="E149" s="91">
        <v>0.27800000000000002</v>
      </c>
      <c r="F149" s="92">
        <v>0.02</v>
      </c>
      <c r="G149" s="317">
        <v>1.93</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1.702</v>
      </c>
      <c r="E150" s="91">
        <v>0.27800000000000002</v>
      </c>
      <c r="F150" s="92">
        <v>0.02</v>
      </c>
      <c r="G150" s="317">
        <v>1.86</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1.702</v>
      </c>
      <c r="E151" s="91">
        <v>0.27800000000000002</v>
      </c>
      <c r="F151" s="92">
        <v>0.02</v>
      </c>
      <c r="G151" s="317">
        <v>1.72</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1.702</v>
      </c>
      <c r="E152" s="91">
        <v>0.27800000000000002</v>
      </c>
      <c r="F152" s="92">
        <v>0.02</v>
      </c>
      <c r="G152" s="317">
        <v>1.29</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1.702</v>
      </c>
      <c r="E153" s="91">
        <v>0.27800000000000002</v>
      </c>
      <c r="F153" s="92">
        <v>0.02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1.1619999999999999</v>
      </c>
      <c r="E154" s="91">
        <v>0.16800000000000001</v>
      </c>
      <c r="F154" s="92">
        <v>1.2E-2</v>
      </c>
      <c r="G154" s="317">
        <v>3.43</v>
      </c>
      <c r="H154" s="317">
        <v>1.53</v>
      </c>
      <c r="I154" s="320">
        <v>1.53</v>
      </c>
      <c r="J154" s="25">
        <v>3.5999999999999997E-2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1.1619999999999999</v>
      </c>
      <c r="E155" s="91">
        <v>0.16800000000000001</v>
      </c>
      <c r="F155" s="92">
        <v>1.2E-2</v>
      </c>
      <c r="G155" s="317">
        <v>2.2999999999999998</v>
      </c>
      <c r="H155" s="317">
        <v>1.53</v>
      </c>
      <c r="I155" s="320">
        <v>1.53</v>
      </c>
      <c r="J155" s="25">
        <v>3.5999999999999997E-2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1.1619999999999999</v>
      </c>
      <c r="E156" s="91">
        <v>0.16800000000000001</v>
      </c>
      <c r="F156" s="92">
        <v>1.2E-2</v>
      </c>
      <c r="G156" s="317">
        <v>1.58</v>
      </c>
      <c r="H156" s="317">
        <v>1.53</v>
      </c>
      <c r="I156" s="320">
        <v>1.53</v>
      </c>
      <c r="J156" s="25">
        <v>3.5999999999999997E-2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1.1619999999999999</v>
      </c>
      <c r="E157" s="91">
        <v>0.16800000000000001</v>
      </c>
      <c r="F157" s="92">
        <v>1.2E-2</v>
      </c>
      <c r="G157" s="317">
        <v>0.19</v>
      </c>
      <c r="H157" s="317">
        <v>1.53</v>
      </c>
      <c r="I157" s="320">
        <v>1.53</v>
      </c>
      <c r="J157" s="25">
        <v>3.5999999999999997E-2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1.1599999999999999</v>
      </c>
      <c r="E158" s="91">
        <v>0.16600000000000001</v>
      </c>
      <c r="F158" s="92">
        <v>8.9999999999999993E-3</v>
      </c>
      <c r="G158" s="317" t="s">
        <v>797</v>
      </c>
      <c r="H158" s="317">
        <v>1.53</v>
      </c>
      <c r="I158" s="320">
        <v>1.53</v>
      </c>
      <c r="J158" s="25">
        <v>3.5999999999999997E-2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1.0469999999999999</v>
      </c>
      <c r="E159" s="91">
        <v>0.115</v>
      </c>
      <c r="F159" s="92">
        <v>7.0000000000000001E-3</v>
      </c>
      <c r="G159" s="317">
        <v>12.83</v>
      </c>
      <c r="H159" s="317">
        <v>2.5299999999999998</v>
      </c>
      <c r="I159" s="320">
        <v>2.5299999999999998</v>
      </c>
      <c r="J159" s="25">
        <v>3.2000000000000001E-2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1.0469999999999999</v>
      </c>
      <c r="E160" s="91">
        <v>0.115</v>
      </c>
      <c r="F160" s="92">
        <v>7.0000000000000001E-3</v>
      </c>
      <c r="G160" s="317">
        <v>10.99</v>
      </c>
      <c r="H160" s="317">
        <v>2.5299999999999998</v>
      </c>
      <c r="I160" s="320">
        <v>2.5299999999999998</v>
      </c>
      <c r="J160" s="25">
        <v>3.2000000000000001E-2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1.0469999999999999</v>
      </c>
      <c r="E161" s="91">
        <v>0.115</v>
      </c>
      <c r="F161" s="92">
        <v>7.0000000000000001E-3</v>
      </c>
      <c r="G161" s="317">
        <v>9.82</v>
      </c>
      <c r="H161" s="317">
        <v>2.5299999999999998</v>
      </c>
      <c r="I161" s="320">
        <v>2.5299999999999998</v>
      </c>
      <c r="J161" s="25">
        <v>3.2000000000000001E-2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1.0469999999999999</v>
      </c>
      <c r="E162" s="91">
        <v>0.115</v>
      </c>
      <c r="F162" s="92">
        <v>7.0000000000000001E-3</v>
      </c>
      <c r="G162" s="317">
        <v>7.55</v>
      </c>
      <c r="H162" s="317">
        <v>2.5299999999999998</v>
      </c>
      <c r="I162" s="320">
        <v>2.5299999999999998</v>
      </c>
      <c r="J162" s="25">
        <v>3.2000000000000001E-2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1.0429999999999999</v>
      </c>
      <c r="E163" s="91">
        <v>0.111</v>
      </c>
      <c r="F163" s="92">
        <v>3.0000000000000001E-3</v>
      </c>
      <c r="G163" s="317">
        <v>7.25</v>
      </c>
      <c r="H163" s="317">
        <v>2.5299999999999998</v>
      </c>
      <c r="I163" s="320">
        <v>2.5299999999999998</v>
      </c>
      <c r="J163" s="25">
        <v>3.2000000000000001E-2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0.93700000000000006</v>
      </c>
      <c r="E164" s="91">
        <v>9.6000000000000002E-2</v>
      </c>
      <c r="F164" s="92">
        <v>5.0000000000000001E-3</v>
      </c>
      <c r="G164" s="317">
        <v>60.5</v>
      </c>
      <c r="H164" s="317">
        <v>2.76</v>
      </c>
      <c r="I164" s="320">
        <v>2.76</v>
      </c>
      <c r="J164" s="25">
        <v>2.5999999999999999E-2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0.93700000000000006</v>
      </c>
      <c r="E165" s="91">
        <v>9.6000000000000002E-2</v>
      </c>
      <c r="F165" s="92">
        <v>5.0000000000000001E-3</v>
      </c>
      <c r="G165" s="317">
        <v>47.06</v>
      </c>
      <c r="H165" s="317">
        <v>2.76</v>
      </c>
      <c r="I165" s="320">
        <v>2.76</v>
      </c>
      <c r="J165" s="25">
        <v>2.5999999999999999E-2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0.93700000000000006</v>
      </c>
      <c r="E166" s="91">
        <v>9.6000000000000002E-2</v>
      </c>
      <c r="F166" s="92">
        <v>5.0000000000000001E-3</v>
      </c>
      <c r="G166" s="317">
        <v>27.19</v>
      </c>
      <c r="H166" s="317">
        <v>2.76</v>
      </c>
      <c r="I166" s="320">
        <v>2.76</v>
      </c>
      <c r="J166" s="25">
        <v>2.5999999999999999E-2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0.93700000000000006</v>
      </c>
      <c r="E167" s="91">
        <v>9.5000000000000001E-2</v>
      </c>
      <c r="F167" s="92">
        <v>5.0000000000000001E-3</v>
      </c>
      <c r="G167" s="317" t="s">
        <v>797</v>
      </c>
      <c r="H167" s="317">
        <v>2.76</v>
      </c>
      <c r="I167" s="320">
        <v>2.76</v>
      </c>
      <c r="J167" s="25">
        <v>2.5999999999999999E-2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0.93200000000000005</v>
      </c>
      <c r="E168" s="91">
        <v>9.0999999999999998E-2</v>
      </c>
      <c r="F168" s="92">
        <v>1E-3</v>
      </c>
      <c r="G168" s="317" t="s">
        <v>797</v>
      </c>
      <c r="H168" s="317">
        <v>2.76</v>
      </c>
      <c r="I168" s="320">
        <v>2.76</v>
      </c>
      <c r="J168" s="25">
        <v>2.5999999999999999E-2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4.665</v>
      </c>
      <c r="E169" s="94">
        <v>0.73</v>
      </c>
      <c r="F169" s="92">
        <v>0.436</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2074</v>
      </c>
      <c r="D170" s="90">
        <v>-1.8</v>
      </c>
      <c r="E170" s="91">
        <v>-0.29499999999999998</v>
      </c>
      <c r="F170" s="92">
        <v>-2.1999999999999999E-2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2074</v>
      </c>
      <c r="D171" s="90">
        <v>-1.7310000000000001</v>
      </c>
      <c r="E171" s="91">
        <v>-0.26100000000000001</v>
      </c>
      <c r="F171" s="92">
        <v>-1.7999999999999999E-2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v>
      </c>
      <c r="E172" s="91">
        <v>-0.29499999999999998</v>
      </c>
      <c r="F172" s="92">
        <v>-2.1999999999999999E-2</v>
      </c>
      <c r="G172" s="317" t="s">
        <v>797</v>
      </c>
      <c r="H172" s="318" t="s">
        <v>797</v>
      </c>
      <c r="I172" s="319" t="s">
        <v>797</v>
      </c>
      <c r="J172" s="25">
        <v>7.2999999999999995E-2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-1.7310000000000001</v>
      </c>
      <c r="E173" s="91">
        <v>-0.26100000000000001</v>
      </c>
      <c r="F173" s="92">
        <v>-1.7999999999999999E-2</v>
      </c>
      <c r="G173" s="317" t="s">
        <v>797</v>
      </c>
      <c r="H173" s="318" t="s">
        <v>797</v>
      </c>
      <c r="I173" s="319" t="s">
        <v>797</v>
      </c>
      <c r="J173" s="25">
        <v>6.0999999999999999E-2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-2.0089999999999999</v>
      </c>
      <c r="E174" s="91">
        <v>-0.221</v>
      </c>
      <c r="F174" s="92">
        <v>-1.2999999999999999E-2</v>
      </c>
      <c r="G174" s="317">
        <v>195.66</v>
      </c>
      <c r="H174" s="318" t="s">
        <v>797</v>
      </c>
      <c r="I174" s="319" t="s">
        <v>797</v>
      </c>
      <c r="J174" s="25">
        <v>8.4000000000000005E-2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0.497</v>
      </c>
      <c r="E175" s="91">
        <v>8.1000000000000003E-2</v>
      </c>
      <c r="F175" s="92">
        <v>6.0000000000000001E-3</v>
      </c>
      <c r="G175" s="317">
        <v>0.42</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0.497</v>
      </c>
      <c r="E176" s="91">
        <v>8.1000000000000003E-2</v>
      </c>
      <c r="F176" s="92">
        <v>6.0000000000000001E-3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0.47899999999999998</v>
      </c>
      <c r="E177" s="91">
        <v>7.8E-2</v>
      </c>
      <c r="F177" s="92">
        <v>6.0000000000000001E-3</v>
      </c>
      <c r="G177" s="317">
        <v>0.55000000000000004</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0.47899999999999998</v>
      </c>
      <c r="E178" s="91">
        <v>7.8E-2</v>
      </c>
      <c r="F178" s="92">
        <v>6.0000000000000001E-3</v>
      </c>
      <c r="G178" s="317">
        <v>0.54</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0.47899999999999998</v>
      </c>
      <c r="E179" s="91">
        <v>7.8E-2</v>
      </c>
      <c r="F179" s="92">
        <v>6.0000000000000001E-3</v>
      </c>
      <c r="G179" s="317">
        <v>0.52</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0.47899999999999998</v>
      </c>
      <c r="E180" s="91">
        <v>7.8E-2</v>
      </c>
      <c r="F180" s="92">
        <v>6.0000000000000001E-3</v>
      </c>
      <c r="G180" s="317">
        <v>0.48</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0.47899999999999998</v>
      </c>
      <c r="E181" s="91">
        <v>7.8E-2</v>
      </c>
      <c r="F181" s="92">
        <v>6.0000000000000001E-3</v>
      </c>
      <c r="G181" s="317">
        <v>0.36</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0.47899999999999998</v>
      </c>
      <c r="E182" s="91">
        <v>7.8E-2</v>
      </c>
      <c r="F182" s="92">
        <v>6.0000000000000001E-3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0.32700000000000001</v>
      </c>
      <c r="E183" s="91">
        <v>4.7E-2</v>
      </c>
      <c r="F183" s="92">
        <v>3.0000000000000001E-3</v>
      </c>
      <c r="G183" s="317">
        <v>0.97</v>
      </c>
      <c r="H183" s="317">
        <v>0.43</v>
      </c>
      <c r="I183" s="320">
        <v>0.43</v>
      </c>
      <c r="J183" s="25">
        <v>0.01</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0.32700000000000001</v>
      </c>
      <c r="E184" s="91">
        <v>4.7E-2</v>
      </c>
      <c r="F184" s="92">
        <v>3.0000000000000001E-3</v>
      </c>
      <c r="G184" s="317">
        <v>0.65</v>
      </c>
      <c r="H184" s="317">
        <v>0.43</v>
      </c>
      <c r="I184" s="320">
        <v>0.43</v>
      </c>
      <c r="J184" s="25">
        <v>0.01</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0.32700000000000001</v>
      </c>
      <c r="E185" s="91">
        <v>4.7E-2</v>
      </c>
      <c r="F185" s="92">
        <v>3.0000000000000001E-3</v>
      </c>
      <c r="G185" s="317">
        <v>0.45</v>
      </c>
      <c r="H185" s="317">
        <v>0.43</v>
      </c>
      <c r="I185" s="320">
        <v>0.43</v>
      </c>
      <c r="J185" s="25">
        <v>0.01</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0.32700000000000001</v>
      </c>
      <c r="E186" s="91">
        <v>4.7E-2</v>
      </c>
      <c r="F186" s="92">
        <v>3.0000000000000001E-3</v>
      </c>
      <c r="G186" s="317">
        <v>0.05</v>
      </c>
      <c r="H186" s="317">
        <v>0.43</v>
      </c>
      <c r="I186" s="320">
        <v>0.43</v>
      </c>
      <c r="J186" s="25">
        <v>0.01</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0.32700000000000001</v>
      </c>
      <c r="E187" s="91">
        <v>4.7E-2</v>
      </c>
      <c r="F187" s="92">
        <v>3.0000000000000001E-3</v>
      </c>
      <c r="G187" s="317" t="s">
        <v>797</v>
      </c>
      <c r="H187" s="317">
        <v>0.43</v>
      </c>
      <c r="I187" s="320">
        <v>0.43</v>
      </c>
      <c r="J187" s="25">
        <v>0.01</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0.29499999999999998</v>
      </c>
      <c r="E188" s="91">
        <v>3.2000000000000001E-2</v>
      </c>
      <c r="F188" s="92">
        <v>2E-3</v>
      </c>
      <c r="G188" s="317">
        <v>3.62</v>
      </c>
      <c r="H188" s="317">
        <v>0.71</v>
      </c>
      <c r="I188" s="320">
        <v>0.71</v>
      </c>
      <c r="J188" s="25">
        <v>8.9999999999999993E-3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0.29499999999999998</v>
      </c>
      <c r="E189" s="91">
        <v>3.2000000000000001E-2</v>
      </c>
      <c r="F189" s="92">
        <v>2E-3</v>
      </c>
      <c r="G189" s="317">
        <v>3.1</v>
      </c>
      <c r="H189" s="317">
        <v>0.71</v>
      </c>
      <c r="I189" s="320">
        <v>0.71</v>
      </c>
      <c r="J189" s="25">
        <v>8.9999999999999993E-3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0.29499999999999998</v>
      </c>
      <c r="E190" s="91">
        <v>3.2000000000000001E-2</v>
      </c>
      <c r="F190" s="92">
        <v>2E-3</v>
      </c>
      <c r="G190" s="317">
        <v>2.77</v>
      </c>
      <c r="H190" s="317">
        <v>0.71</v>
      </c>
      <c r="I190" s="320">
        <v>0.71</v>
      </c>
      <c r="J190" s="25">
        <v>8.9999999999999993E-3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0.29499999999999998</v>
      </c>
      <c r="E191" s="91">
        <v>3.2000000000000001E-2</v>
      </c>
      <c r="F191" s="92">
        <v>2E-3</v>
      </c>
      <c r="G191" s="317">
        <v>2.13</v>
      </c>
      <c r="H191" s="317">
        <v>0.71</v>
      </c>
      <c r="I191" s="320">
        <v>0.71</v>
      </c>
      <c r="J191" s="25">
        <v>8.9999999999999993E-3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0.29399999999999998</v>
      </c>
      <c r="E192" s="91">
        <v>3.1E-2</v>
      </c>
      <c r="F192" s="92">
        <v>1E-3</v>
      </c>
      <c r="G192" s="317">
        <v>2.04</v>
      </c>
      <c r="H192" s="317">
        <v>0.71</v>
      </c>
      <c r="I192" s="320">
        <v>0.71</v>
      </c>
      <c r="J192" s="25">
        <v>8.9999999999999993E-3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0.26400000000000001</v>
      </c>
      <c r="E193" s="91">
        <v>2.7E-2</v>
      </c>
      <c r="F193" s="92">
        <v>1E-3</v>
      </c>
      <c r="G193" s="317">
        <v>17.04</v>
      </c>
      <c r="H193" s="317">
        <v>0.78</v>
      </c>
      <c r="I193" s="320">
        <v>0.78</v>
      </c>
      <c r="J193" s="25">
        <v>7.0000000000000001E-3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0.26400000000000001</v>
      </c>
      <c r="E194" s="91">
        <v>2.7E-2</v>
      </c>
      <c r="F194" s="92">
        <v>1E-3</v>
      </c>
      <c r="G194" s="317">
        <v>13.26</v>
      </c>
      <c r="H194" s="317">
        <v>0.78</v>
      </c>
      <c r="I194" s="320">
        <v>0.78</v>
      </c>
      <c r="J194" s="25">
        <v>7.0000000000000001E-3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0.26400000000000001</v>
      </c>
      <c r="E195" s="91">
        <v>2.7E-2</v>
      </c>
      <c r="F195" s="92">
        <v>1E-3</v>
      </c>
      <c r="G195" s="317">
        <v>7.66</v>
      </c>
      <c r="H195" s="317">
        <v>0.78</v>
      </c>
      <c r="I195" s="320">
        <v>0.78</v>
      </c>
      <c r="J195" s="25">
        <v>7.0000000000000001E-3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0.26400000000000001</v>
      </c>
      <c r="E196" s="91">
        <v>2.7E-2</v>
      </c>
      <c r="F196" s="92">
        <v>1E-3</v>
      </c>
      <c r="G196" s="317" t="s">
        <v>797</v>
      </c>
      <c r="H196" s="317">
        <v>0.78</v>
      </c>
      <c r="I196" s="320">
        <v>0.78</v>
      </c>
      <c r="J196" s="25">
        <v>7.0000000000000001E-3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0.26300000000000001</v>
      </c>
      <c r="E197" s="91">
        <v>2.5999999999999999E-2</v>
      </c>
      <c r="F197" s="92" t="s">
        <v>797</v>
      </c>
      <c r="G197" s="317" t="s">
        <v>797</v>
      </c>
      <c r="H197" s="317">
        <v>0.78</v>
      </c>
      <c r="I197" s="320">
        <v>0.78</v>
      </c>
      <c r="J197" s="25">
        <v>7.0000000000000001E-3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1.3140000000000001</v>
      </c>
      <c r="E198" s="94">
        <v>0.20599999999999999</v>
      </c>
      <c r="F198" s="92">
        <v>0.123</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2074</v>
      </c>
      <c r="D199" s="90">
        <v>-0.50700000000000001</v>
      </c>
      <c r="E199" s="91">
        <v>-8.3000000000000004E-2</v>
      </c>
      <c r="F199" s="92">
        <v>-6.0000000000000001E-3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2074</v>
      </c>
      <c r="D200" s="90">
        <v>-0.48799999999999999</v>
      </c>
      <c r="E200" s="91">
        <v>-7.3999999999999996E-2</v>
      </c>
      <c r="F200" s="92">
        <v>-5.0000000000000001E-3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-0.50700000000000001</v>
      </c>
      <c r="E201" s="91">
        <v>-8.3000000000000004E-2</v>
      </c>
      <c r="F201" s="92">
        <v>-6.0000000000000001E-3</v>
      </c>
      <c r="G201" s="317" t="s">
        <v>797</v>
      </c>
      <c r="H201" s="318" t="s">
        <v>797</v>
      </c>
      <c r="I201" s="319" t="s">
        <v>797</v>
      </c>
      <c r="J201" s="25">
        <v>2.1000000000000001E-2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-0.48799999999999999</v>
      </c>
      <c r="E202" s="91">
        <v>-7.3999999999999996E-2</v>
      </c>
      <c r="F202" s="92">
        <v>-5.0000000000000001E-3</v>
      </c>
      <c r="G202" s="317" t="s">
        <v>797</v>
      </c>
      <c r="H202" s="318" t="s">
        <v>797</v>
      </c>
      <c r="I202" s="319" t="s">
        <v>797</v>
      </c>
      <c r="J202" s="25">
        <v>1.7000000000000001E-2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-0.56599999999999995</v>
      </c>
      <c r="E203" s="91">
        <v>-6.2E-2</v>
      </c>
      <c r="F203" s="92">
        <v>-4.0000000000000001E-3</v>
      </c>
      <c r="G203" s="317">
        <v>55.12</v>
      </c>
      <c r="H203" s="318" t="s">
        <v>797</v>
      </c>
      <c r="I203" s="319" t="s">
        <v>797</v>
      </c>
      <c r="J203" s="25">
        <v>2.4E-2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A2:J2"/>
    <mergeCell ref="A4:D4"/>
    <mergeCell ref="F4:J4"/>
    <mergeCell ref="F5:G5"/>
    <mergeCell ref="F6:G6"/>
    <mergeCell ref="L4:R5"/>
    <mergeCell ref="F8:G8"/>
    <mergeCell ref="F9:G9"/>
    <mergeCell ref="F10:G10"/>
    <mergeCell ref="B10:D10"/>
    <mergeCell ref="H10:J10"/>
    <mergeCell ref="F7:G7"/>
  </mergeCells>
  <conditionalFormatting sqref="K14:Q203">
    <cfRule type="cellIs" dxfId="50" priority="2" operator="equal">
      <formula>0</formula>
    </cfRule>
    <cfRule type="cellIs" dxfId="49" priority="3" operator="lessThan">
      <formula>0</formula>
    </cfRule>
    <cfRule type="cellIs" dxfId="48" priority="4" operator="greaterThan">
      <formula>0</formula>
    </cfRule>
  </conditionalFormatting>
  <conditionalFormatting sqref="K14:R203">
    <cfRule type="expression" dxfId="47" priority="1">
      <formula>$K14&lt;&gt;""</formula>
    </cfRule>
  </conditionalFormatting>
  <hyperlinks>
    <hyperlink ref="A1" location="Overview!A1" display="Back to Overview" xr:uid="{6D096F48-F13C-497A-93F4-7CF068377DBB}"/>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1"/>
      <c r="F1" s="1"/>
      <c r="G1" s="1"/>
      <c r="H1" s="1"/>
      <c r="I1" s="3"/>
      <c r="J1" s="1"/>
    </row>
    <row r="2" spans="1:17" ht="31.5" customHeight="1" x14ac:dyDescent="0.2">
      <c r="A2" s="454" t="str">
        <f>Overview!B4&amp;" - Effective from "&amp;TEXT(Overview!$D$4,"d mmmm yyyy")&amp;" - Final LDNO tariffs in UKPN SPN Area (GSP Group_J)"</f>
        <v>Leep Electricity Networks Limited - Effective from 1 April 2027 - Final LDNO tariffs in UKPN SPN Area (GSP Group_J)</v>
      </c>
      <c r="B2" s="454"/>
      <c r="C2" s="454"/>
      <c r="D2" s="454"/>
      <c r="E2" s="454"/>
      <c r="F2" s="454"/>
      <c r="G2" s="454"/>
      <c r="H2" s="454"/>
      <c r="I2" s="454"/>
      <c r="J2" s="454"/>
    </row>
    <row r="3" spans="1:17" ht="8.25" customHeight="1" x14ac:dyDescent="0.2">
      <c r="A3" s="46"/>
      <c r="B3" s="46"/>
      <c r="C3" s="46"/>
      <c r="D3" s="46"/>
      <c r="E3" s="46"/>
      <c r="F3" s="46"/>
      <c r="G3" s="46"/>
      <c r="H3" s="46"/>
      <c r="I3" s="46"/>
      <c r="J3" s="46"/>
    </row>
    <row r="4" spans="1:17" ht="27" customHeight="1" x14ac:dyDescent="0.2">
      <c r="A4" s="384" t="s">
        <v>290</v>
      </c>
      <c r="B4" s="384"/>
      <c r="C4" s="384"/>
      <c r="D4" s="384"/>
      <c r="E4" s="50"/>
      <c r="F4" s="384" t="s">
        <v>289</v>
      </c>
      <c r="G4" s="384"/>
      <c r="H4" s="384"/>
      <c r="I4" s="384"/>
      <c r="J4" s="384"/>
      <c r="K4" s="3"/>
    </row>
    <row r="5" spans="1:17" ht="32.25" customHeight="1" x14ac:dyDescent="0.2">
      <c r="A5" s="39" t="s">
        <v>13</v>
      </c>
      <c r="B5" s="256" t="s">
        <v>281</v>
      </c>
      <c r="C5" s="180" t="s">
        <v>282</v>
      </c>
      <c r="D5" s="41" t="s">
        <v>283</v>
      </c>
      <c r="E5" s="45"/>
      <c r="F5" s="381"/>
      <c r="G5" s="382"/>
      <c r="H5" s="43" t="s">
        <v>287</v>
      </c>
      <c r="I5" s="44" t="s">
        <v>288</v>
      </c>
      <c r="J5" s="41" t="s">
        <v>283</v>
      </c>
      <c r="K5" s="3"/>
      <c r="L5" s="3"/>
    </row>
    <row r="6" spans="1:17" ht="54.75" customHeight="1" x14ac:dyDescent="0.2">
      <c r="A6" s="42" t="str">
        <f>'Annex 1 LV and HV charges_J'!A6</f>
        <v>Monday to Friday 
(Including Bank Holidays)
All Year</v>
      </c>
      <c r="B6" s="248" t="str">
        <f>'Annex 1 LV and HV charges_J'!B6</f>
        <v>16:00 - 19:00</v>
      </c>
      <c r="C6" s="248" t="str">
        <f>'Annex 1 LV and HV charges_J'!C6</f>
        <v>07:00 - 16:00
19:00 - 23:00</v>
      </c>
      <c r="D6" s="95" t="str">
        <f>'Annex 1 LV and HV charges_J'!E6</f>
        <v>00:00 - 07:00
23:00 - 24:00</v>
      </c>
      <c r="E6" s="45"/>
      <c r="F6" s="377" t="str">
        <f>'Annex 1 LV and HV charges_J'!G6</f>
        <v>Monday to Friday 
(Including Bank Holidays)
November to February Inclusive</v>
      </c>
      <c r="G6" s="378">
        <f>'Annex 1 LV and HV charges_J'!H6</f>
        <v>0</v>
      </c>
      <c r="H6" s="248" t="str">
        <f>'Annex 1 LV and HV charges_J'!I6</f>
        <v>16:00 - 19:00</v>
      </c>
      <c r="I6" s="248" t="str">
        <f>'Annex 1 LV and HV charges_J'!J6</f>
        <v>07:00 - 16:00
19:00 - 23:00</v>
      </c>
      <c r="J6" s="95" t="str">
        <f>'Annex 1 LV and HV charges_J'!K6</f>
        <v>00:00 - 07:00
23:00 - 24:00</v>
      </c>
      <c r="K6" s="3"/>
      <c r="L6" s="3"/>
    </row>
    <row r="7" spans="1:17" ht="50.25" customHeight="1" x14ac:dyDescent="0.2">
      <c r="A7" s="42" t="str">
        <f>'Annex 1 LV and HV charges_J'!A7</f>
        <v>Saturday and Sunday
All Year</v>
      </c>
      <c r="B7" s="250" t="str">
        <f>'Annex 1 LV and HV charges_J'!B7</f>
        <v/>
      </c>
      <c r="C7" s="181" t="str">
        <f>'Annex 1 LV and HV charges_J'!C7</f>
        <v/>
      </c>
      <c r="D7" s="248" t="str">
        <f>'Annex 1 LV and HV charges_J'!E7</f>
        <v>00:00 - 24:00</v>
      </c>
      <c r="E7" s="45"/>
      <c r="F7" s="377" t="str">
        <f>'Annex 1 LV and HV charges_J'!G7</f>
        <v>Monday to Friday 
(Including Bank Holidays)
March to October Inclusive</v>
      </c>
      <c r="G7" s="378">
        <f>'Annex 1 LV and HV charges_J'!H7</f>
        <v>0</v>
      </c>
      <c r="H7" s="250" t="str">
        <f>'Annex 1 LV and HV charges_J'!I7</f>
        <v/>
      </c>
      <c r="I7" s="248" t="str">
        <f>'Annex 1 LV and HV charges_J'!J7</f>
        <v>07:00 - 23:00</v>
      </c>
      <c r="J7" s="95" t="str">
        <f>'Annex 1 LV and HV charges_J'!K7</f>
        <v>00:00 - 07:00
23:00 - 24:00</v>
      </c>
      <c r="K7" s="3"/>
      <c r="L7" s="3"/>
    </row>
    <row r="8" spans="1:17" ht="55.5" customHeight="1" x14ac:dyDescent="0.2">
      <c r="A8" s="257" t="str">
        <f>'Annex 1 LV and HV charges_J'!A8</f>
        <v>Notes</v>
      </c>
      <c r="B8" s="377" t="str">
        <f>'Annex 1 LV and HV charges_J'!B8</f>
        <v>All the above times are in UK Clock time</v>
      </c>
      <c r="C8" s="404">
        <f>'Annex 1 LV and HV charges_J'!C8</f>
        <v>0</v>
      </c>
      <c r="D8" s="378">
        <f>'Annex 1 LV and HV charges_J'!D8</f>
        <v>0</v>
      </c>
      <c r="E8" s="45"/>
      <c r="F8" s="377" t="str">
        <f>'Annex 1 LV and HV charges_J'!G8</f>
        <v>Saturday and Sunday
All Year</v>
      </c>
      <c r="G8" s="378">
        <f>'Annex 1 LV and HV charges_J'!H8</f>
        <v>0</v>
      </c>
      <c r="H8" s="250" t="str">
        <f>'Annex 1 LV and HV charges_J'!I8</f>
        <v/>
      </c>
      <c r="I8" s="250" t="str">
        <f>'Annex 1 LV and HV charges_J'!J8</f>
        <v/>
      </c>
      <c r="J8" s="248" t="str">
        <f>'Annex 1 LV and HV charges_J'!K8</f>
        <v>00:00 - 24:00</v>
      </c>
      <c r="K8" s="3"/>
      <c r="L8" s="3"/>
    </row>
    <row r="9" spans="1:17" s="40" customFormat="1" ht="34.5" customHeight="1" x14ac:dyDescent="0.2">
      <c r="B9" s="45"/>
      <c r="C9" s="45"/>
      <c r="D9" s="45"/>
      <c r="E9" s="47"/>
      <c r="F9" s="417" t="str">
        <f>'Annex 1 LV and HV charges_J'!G9</f>
        <v>Notes</v>
      </c>
      <c r="G9" s="417">
        <f>'Annex 1 LV and HV charges_J'!H9</f>
        <v>0</v>
      </c>
      <c r="H9" s="377" t="str">
        <f>'Annex 1 LV and HV charges_J'!I9</f>
        <v>All the above times are in UK Clock time</v>
      </c>
      <c r="I9" s="404">
        <f>'Annex 1 LV and HV charges_J'!J9</f>
        <v>0</v>
      </c>
      <c r="J9" s="378">
        <f>'Annex 1 LV and HV charges_J'!K9</f>
        <v>0</v>
      </c>
      <c r="K9" s="30"/>
    </row>
    <row r="10" spans="1:17" s="40" customFormat="1" ht="12" customHeight="1" x14ac:dyDescent="0.2">
      <c r="A10" s="45"/>
      <c r="B10" s="45"/>
      <c r="C10" s="45"/>
      <c r="D10" s="45"/>
      <c r="E10" s="45"/>
      <c r="F10" s="48"/>
      <c r="G10" s="48"/>
      <c r="H10" s="49"/>
      <c r="I10" s="49"/>
      <c r="J10" s="49"/>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802</v>
      </c>
      <c r="D14" s="90">
        <v>13.726000000000001</v>
      </c>
      <c r="E14" s="91">
        <v>0.627</v>
      </c>
      <c r="F14" s="92">
        <v>0.215</v>
      </c>
      <c r="G14" s="317">
        <v>8.92</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13.726000000000001</v>
      </c>
      <c r="E15" s="91">
        <v>0.627</v>
      </c>
      <c r="F15" s="92">
        <v>0.215</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803</v>
      </c>
      <c r="D16" s="90">
        <v>10.941000000000001</v>
      </c>
      <c r="E16" s="91">
        <v>0.5</v>
      </c>
      <c r="F16" s="92">
        <v>0.17100000000000001</v>
      </c>
      <c r="G16" s="317">
        <v>6.2</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10.941000000000001</v>
      </c>
      <c r="E17" s="91">
        <v>0.5</v>
      </c>
      <c r="F17" s="92">
        <v>0.17100000000000001</v>
      </c>
      <c r="G17" s="317">
        <v>8.8800000000000008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10.941000000000001</v>
      </c>
      <c r="E18" s="91">
        <v>0.5</v>
      </c>
      <c r="F18" s="92">
        <v>0.17100000000000001</v>
      </c>
      <c r="G18" s="317">
        <v>13.97</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10.941000000000001</v>
      </c>
      <c r="E19" s="91">
        <v>0.5</v>
      </c>
      <c r="F19" s="92">
        <v>0.17100000000000001</v>
      </c>
      <c r="G19" s="317">
        <v>21.88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10.941000000000001</v>
      </c>
      <c r="E20" s="91">
        <v>0.5</v>
      </c>
      <c r="F20" s="92">
        <v>0.17100000000000001</v>
      </c>
      <c r="G20" s="317">
        <v>49.47</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10.941000000000001</v>
      </c>
      <c r="E21" s="91">
        <v>0.5</v>
      </c>
      <c r="F21" s="92">
        <v>0.17100000000000001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8.1159999999999997</v>
      </c>
      <c r="E22" s="91">
        <v>0.34699999999999998</v>
      </c>
      <c r="F22" s="92">
        <v>0.121</v>
      </c>
      <c r="G22" s="317">
        <v>14.41</v>
      </c>
      <c r="H22" s="317">
        <v>5.96</v>
      </c>
      <c r="I22" s="320">
        <v>5.96</v>
      </c>
      <c r="J22" s="25">
        <v>0.27100000000000002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8.1159999999999997</v>
      </c>
      <c r="E23" s="91">
        <v>0.34699999999999998</v>
      </c>
      <c r="F23" s="92">
        <v>0.121</v>
      </c>
      <c r="G23" s="317">
        <v>119.28</v>
      </c>
      <c r="H23" s="317">
        <v>5.96</v>
      </c>
      <c r="I23" s="320">
        <v>5.96</v>
      </c>
      <c r="J23" s="25">
        <v>0.27100000000000002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8.1159999999999997</v>
      </c>
      <c r="E24" s="91">
        <v>0.34699999999999998</v>
      </c>
      <c r="F24" s="92">
        <v>0.121</v>
      </c>
      <c r="G24" s="317">
        <v>197.1</v>
      </c>
      <c r="H24" s="317">
        <v>5.96</v>
      </c>
      <c r="I24" s="320">
        <v>5.96</v>
      </c>
      <c r="J24" s="25">
        <v>0.27100000000000002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8.1159999999999997</v>
      </c>
      <c r="E25" s="91">
        <v>0.34699999999999998</v>
      </c>
      <c r="F25" s="92">
        <v>0.121</v>
      </c>
      <c r="G25" s="317">
        <v>283.85000000000002</v>
      </c>
      <c r="H25" s="317">
        <v>5.96</v>
      </c>
      <c r="I25" s="320">
        <v>5.96</v>
      </c>
      <c r="J25" s="25">
        <v>0.27100000000000002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8.1159999999999997</v>
      </c>
      <c r="E26" s="91">
        <v>0.34699999999999998</v>
      </c>
      <c r="F26" s="92">
        <v>0.121</v>
      </c>
      <c r="G26" s="317">
        <v>628.95000000000005</v>
      </c>
      <c r="H26" s="317">
        <v>5.96</v>
      </c>
      <c r="I26" s="320">
        <v>5.96</v>
      </c>
      <c r="J26" s="25">
        <v>0.27100000000000002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38.362000000000002</v>
      </c>
      <c r="E27" s="94">
        <v>2.1640000000000001</v>
      </c>
      <c r="F27" s="92">
        <v>1.7549999999999999</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805</v>
      </c>
      <c r="D28" s="90">
        <v>-13.185</v>
      </c>
      <c r="E28" s="91">
        <v>-0.60199999999999998</v>
      </c>
      <c r="F28" s="92">
        <v>-0.20599999999999999</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-13.185</v>
      </c>
      <c r="E29" s="91">
        <v>-0.60199999999999998</v>
      </c>
      <c r="F29" s="92">
        <v>-0.20599999999999999</v>
      </c>
      <c r="G29" s="317" t="s">
        <v>797</v>
      </c>
      <c r="H29" s="318" t="s">
        <v>797</v>
      </c>
      <c r="I29" s="319" t="s">
        <v>797</v>
      </c>
      <c r="J29" s="25">
        <v>0.46400000000000002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10.577999999999999</v>
      </c>
      <c r="E30" s="91">
        <v>0.48299999999999998</v>
      </c>
      <c r="F30" s="92">
        <v>0.16600000000000001</v>
      </c>
      <c r="G30" s="317">
        <v>6.87</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10.577999999999999</v>
      </c>
      <c r="E31" s="91">
        <v>0.48299999999999998</v>
      </c>
      <c r="F31" s="92">
        <v>0.16600000000000001</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8.4320000000000004</v>
      </c>
      <c r="E32" s="91">
        <v>0.38500000000000001</v>
      </c>
      <c r="F32" s="92">
        <v>0.13200000000000001</v>
      </c>
      <c r="G32" s="317">
        <v>4.78</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8.4320000000000004</v>
      </c>
      <c r="E33" s="91">
        <v>0.38500000000000001</v>
      </c>
      <c r="F33" s="92">
        <v>0.13200000000000001</v>
      </c>
      <c r="G33" s="317">
        <v>6.84</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8.4320000000000004</v>
      </c>
      <c r="E34" s="91">
        <v>0.38500000000000001</v>
      </c>
      <c r="F34" s="92">
        <v>0.13200000000000001</v>
      </c>
      <c r="G34" s="317">
        <v>10.76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8.4320000000000004</v>
      </c>
      <c r="E35" s="91">
        <v>0.38500000000000001</v>
      </c>
      <c r="F35" s="92">
        <v>0.13200000000000001</v>
      </c>
      <c r="G35" s="317">
        <v>16.86</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8.4320000000000004</v>
      </c>
      <c r="E36" s="91">
        <v>0.38500000000000001</v>
      </c>
      <c r="F36" s="92">
        <v>0.13200000000000001</v>
      </c>
      <c r="G36" s="317">
        <v>38.130000000000003</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8.4320000000000004</v>
      </c>
      <c r="E37" s="91">
        <v>0.38500000000000001</v>
      </c>
      <c r="F37" s="92">
        <v>0.13200000000000001</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6.2549999999999999</v>
      </c>
      <c r="E38" s="91">
        <v>0.26700000000000002</v>
      </c>
      <c r="F38" s="92">
        <v>9.2999999999999999E-2</v>
      </c>
      <c r="G38" s="317">
        <v>11.11</v>
      </c>
      <c r="H38" s="317">
        <v>4.5999999999999996</v>
      </c>
      <c r="I38" s="320">
        <v>4.5999999999999996</v>
      </c>
      <c r="J38" s="25">
        <v>0.20899999999999999</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6.2549999999999999</v>
      </c>
      <c r="E39" s="91">
        <v>0.26700000000000002</v>
      </c>
      <c r="F39" s="92">
        <v>9.2999999999999999E-2</v>
      </c>
      <c r="G39" s="317">
        <v>91.92</v>
      </c>
      <c r="H39" s="317">
        <v>4.5999999999999996</v>
      </c>
      <c r="I39" s="320">
        <v>4.5999999999999996</v>
      </c>
      <c r="J39" s="25">
        <v>0.20899999999999999</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6.2549999999999999</v>
      </c>
      <c r="E40" s="91">
        <v>0.26700000000000002</v>
      </c>
      <c r="F40" s="92">
        <v>9.2999999999999999E-2</v>
      </c>
      <c r="G40" s="317">
        <v>151.88999999999999</v>
      </c>
      <c r="H40" s="317">
        <v>4.5999999999999996</v>
      </c>
      <c r="I40" s="320">
        <v>4.5999999999999996</v>
      </c>
      <c r="J40" s="25">
        <v>0.20899999999999999</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6.2549999999999999</v>
      </c>
      <c r="E41" s="91">
        <v>0.26700000000000002</v>
      </c>
      <c r="F41" s="92">
        <v>9.2999999999999999E-2</v>
      </c>
      <c r="G41" s="317">
        <v>218.75</v>
      </c>
      <c r="H41" s="317">
        <v>4.5999999999999996</v>
      </c>
      <c r="I41" s="320">
        <v>4.5999999999999996</v>
      </c>
      <c r="J41" s="25">
        <v>0.20899999999999999</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6.2549999999999999</v>
      </c>
      <c r="E42" s="91">
        <v>0.26700000000000002</v>
      </c>
      <c r="F42" s="92">
        <v>9.2999999999999999E-2</v>
      </c>
      <c r="G42" s="317">
        <v>484.69</v>
      </c>
      <c r="H42" s="317">
        <v>4.5999999999999996</v>
      </c>
      <c r="I42" s="320">
        <v>4.5999999999999996</v>
      </c>
      <c r="J42" s="25">
        <v>0.20899999999999999</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6.3470000000000004</v>
      </c>
      <c r="E43" s="91">
        <v>0.23799999999999999</v>
      </c>
      <c r="F43" s="92">
        <v>8.5999999999999993E-2</v>
      </c>
      <c r="G43" s="317">
        <v>14.83</v>
      </c>
      <c r="H43" s="317">
        <v>6.04</v>
      </c>
      <c r="I43" s="320">
        <v>6.04</v>
      </c>
      <c r="J43" s="25">
        <v>0.20200000000000001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6.3470000000000004</v>
      </c>
      <c r="E44" s="91">
        <v>0.23799999999999999</v>
      </c>
      <c r="F44" s="92">
        <v>8.5999999999999993E-2</v>
      </c>
      <c r="G44" s="317">
        <v>143.03</v>
      </c>
      <c r="H44" s="317">
        <v>6.04</v>
      </c>
      <c r="I44" s="320">
        <v>6.04</v>
      </c>
      <c r="J44" s="25">
        <v>0.20200000000000001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6.3470000000000004</v>
      </c>
      <c r="E45" s="91">
        <v>0.23799999999999999</v>
      </c>
      <c r="F45" s="92">
        <v>8.5999999999999993E-2</v>
      </c>
      <c r="G45" s="317">
        <v>238.17</v>
      </c>
      <c r="H45" s="317">
        <v>6.04</v>
      </c>
      <c r="I45" s="320">
        <v>6.04</v>
      </c>
      <c r="J45" s="25">
        <v>0.20200000000000001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6.3470000000000004</v>
      </c>
      <c r="E46" s="91">
        <v>0.23799999999999999</v>
      </c>
      <c r="F46" s="92">
        <v>8.5999999999999993E-2</v>
      </c>
      <c r="G46" s="317">
        <v>344.23</v>
      </c>
      <c r="H46" s="317">
        <v>6.04</v>
      </c>
      <c r="I46" s="320">
        <v>6.04</v>
      </c>
      <c r="J46" s="25">
        <v>0.20200000000000001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6.3470000000000004</v>
      </c>
      <c r="E47" s="91">
        <v>0.23799999999999999</v>
      </c>
      <c r="F47" s="92">
        <v>8.5999999999999993E-2</v>
      </c>
      <c r="G47" s="317">
        <v>766.11</v>
      </c>
      <c r="H47" s="317">
        <v>6.04</v>
      </c>
      <c r="I47" s="320">
        <v>6.04</v>
      </c>
      <c r="J47" s="25">
        <v>0.20200000000000001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5.7839999999999998</v>
      </c>
      <c r="E48" s="91">
        <v>0.2</v>
      </c>
      <c r="F48" s="92">
        <v>7.3999999999999996E-2</v>
      </c>
      <c r="G48" s="317">
        <v>175.18</v>
      </c>
      <c r="H48" s="317">
        <v>6.06</v>
      </c>
      <c r="I48" s="320">
        <v>6.06</v>
      </c>
      <c r="J48" s="25">
        <v>0.185</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5.7839999999999998</v>
      </c>
      <c r="E49" s="91">
        <v>0.2</v>
      </c>
      <c r="F49" s="92">
        <v>7.3999999999999996E-2</v>
      </c>
      <c r="G49" s="317">
        <v>1250.23</v>
      </c>
      <c r="H49" s="317">
        <v>6.06</v>
      </c>
      <c r="I49" s="320">
        <v>6.06</v>
      </c>
      <c r="J49" s="25">
        <v>0.185</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5.7839999999999998</v>
      </c>
      <c r="E50" s="91">
        <v>0.2</v>
      </c>
      <c r="F50" s="92">
        <v>7.3999999999999996E-2</v>
      </c>
      <c r="G50" s="317">
        <v>2904.48</v>
      </c>
      <c r="H50" s="317">
        <v>6.06</v>
      </c>
      <c r="I50" s="320">
        <v>6.06</v>
      </c>
      <c r="J50" s="25">
        <v>0.185</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5.7839999999999998</v>
      </c>
      <c r="E51" s="91">
        <v>0.2</v>
      </c>
      <c r="F51" s="92">
        <v>7.3999999999999996E-2</v>
      </c>
      <c r="G51" s="317">
        <v>3718.67</v>
      </c>
      <c r="H51" s="317">
        <v>6.06</v>
      </c>
      <c r="I51" s="320">
        <v>6.06</v>
      </c>
      <c r="J51" s="25">
        <v>0.185</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5.7839999999999998</v>
      </c>
      <c r="E52" s="91">
        <v>0.2</v>
      </c>
      <c r="F52" s="92">
        <v>7.3999999999999996E-2</v>
      </c>
      <c r="G52" s="317">
        <v>10609.68</v>
      </c>
      <c r="H52" s="317">
        <v>6.06</v>
      </c>
      <c r="I52" s="320">
        <v>6.06</v>
      </c>
      <c r="J52" s="25">
        <v>0.185</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29.562999999999999</v>
      </c>
      <c r="E53" s="94">
        <v>1.6679999999999999</v>
      </c>
      <c r="F53" s="92">
        <v>1.353</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805</v>
      </c>
      <c r="D54" s="90">
        <v>-13.185</v>
      </c>
      <c r="E54" s="91">
        <v>-0.60199999999999998</v>
      </c>
      <c r="F54" s="92">
        <v>-0.20599999999999999</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-10.608000000000001</v>
      </c>
      <c r="E55" s="91">
        <v>-0.46300000000000002</v>
      </c>
      <c r="F55" s="92">
        <v>-0.161</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-13.185</v>
      </c>
      <c r="E56" s="91">
        <v>-0.60199999999999998</v>
      </c>
      <c r="F56" s="92">
        <v>-0.20599999999999999</v>
      </c>
      <c r="G56" s="317" t="s">
        <v>797</v>
      </c>
      <c r="H56" s="318" t="s">
        <v>797</v>
      </c>
      <c r="I56" s="319" t="s">
        <v>797</v>
      </c>
      <c r="J56" s="25">
        <v>0.46400000000000002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-10.608000000000001</v>
      </c>
      <c r="E57" s="91">
        <v>-0.46300000000000002</v>
      </c>
      <c r="F57" s="92">
        <v>-0.161</v>
      </c>
      <c r="G57" s="317" t="s">
        <v>797</v>
      </c>
      <c r="H57" s="318" t="s">
        <v>797</v>
      </c>
      <c r="I57" s="319" t="s">
        <v>797</v>
      </c>
      <c r="J57" s="25">
        <v>0.34799999999999998</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-7.4740000000000002</v>
      </c>
      <c r="E58" s="91">
        <v>-0.28000000000000003</v>
      </c>
      <c r="F58" s="92">
        <v>-0.10100000000000001</v>
      </c>
      <c r="G58" s="317" t="s">
        <v>797</v>
      </c>
      <c r="H58" s="318" t="s">
        <v>797</v>
      </c>
      <c r="I58" s="319" t="s">
        <v>797</v>
      </c>
      <c r="J58" s="25">
        <v>0.30199999999999999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7.7469999999999999</v>
      </c>
      <c r="E59" s="91">
        <v>0.35399999999999998</v>
      </c>
      <c r="F59" s="92">
        <v>0.121</v>
      </c>
      <c r="G59" s="317">
        <v>5.03</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7.7469999999999999</v>
      </c>
      <c r="E60" s="91">
        <v>0.35399999999999998</v>
      </c>
      <c r="F60" s="92">
        <v>0.121</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6.1749999999999998</v>
      </c>
      <c r="E61" s="91">
        <v>0.28199999999999997</v>
      </c>
      <c r="F61" s="92">
        <v>9.7000000000000003E-2</v>
      </c>
      <c r="G61" s="317">
        <v>3.5</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6.1749999999999998</v>
      </c>
      <c r="E62" s="91">
        <v>0.28199999999999997</v>
      </c>
      <c r="F62" s="92">
        <v>9.7000000000000003E-2</v>
      </c>
      <c r="G62" s="317">
        <v>5.01</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6.1749999999999998</v>
      </c>
      <c r="E63" s="91">
        <v>0.28199999999999997</v>
      </c>
      <c r="F63" s="92">
        <v>9.7000000000000003E-2</v>
      </c>
      <c r="G63" s="317">
        <v>7.88</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6.1749999999999998</v>
      </c>
      <c r="E64" s="91">
        <v>0.28199999999999997</v>
      </c>
      <c r="F64" s="92">
        <v>9.7000000000000003E-2</v>
      </c>
      <c r="G64" s="317">
        <v>12.35</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6.1749999999999998</v>
      </c>
      <c r="E65" s="91">
        <v>0.28199999999999997</v>
      </c>
      <c r="F65" s="92">
        <v>9.7000000000000003E-2</v>
      </c>
      <c r="G65" s="317">
        <v>27.92</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6.1749999999999998</v>
      </c>
      <c r="E66" s="91">
        <v>0.28199999999999997</v>
      </c>
      <c r="F66" s="92">
        <v>9.7000000000000003E-2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4.5810000000000004</v>
      </c>
      <c r="E67" s="91">
        <v>0.19600000000000001</v>
      </c>
      <c r="F67" s="92">
        <v>6.8000000000000005E-2</v>
      </c>
      <c r="G67" s="317">
        <v>8.14</v>
      </c>
      <c r="H67" s="317">
        <v>3.37</v>
      </c>
      <c r="I67" s="320">
        <v>3.37</v>
      </c>
      <c r="J67" s="25">
        <v>0.153</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4.5810000000000004</v>
      </c>
      <c r="E68" s="91">
        <v>0.19600000000000001</v>
      </c>
      <c r="F68" s="92">
        <v>6.8000000000000005E-2</v>
      </c>
      <c r="G68" s="317">
        <v>67.319999999999993</v>
      </c>
      <c r="H68" s="317">
        <v>3.37</v>
      </c>
      <c r="I68" s="320">
        <v>3.37</v>
      </c>
      <c r="J68" s="25">
        <v>0.153</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4.5810000000000004</v>
      </c>
      <c r="E69" s="91">
        <v>0.19600000000000001</v>
      </c>
      <c r="F69" s="92">
        <v>6.8000000000000005E-2</v>
      </c>
      <c r="G69" s="317">
        <v>111.25</v>
      </c>
      <c r="H69" s="317">
        <v>3.37</v>
      </c>
      <c r="I69" s="320">
        <v>3.37</v>
      </c>
      <c r="J69" s="25">
        <v>0.153</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4.5810000000000004</v>
      </c>
      <c r="E70" s="91">
        <v>0.19600000000000001</v>
      </c>
      <c r="F70" s="92">
        <v>6.8000000000000005E-2</v>
      </c>
      <c r="G70" s="317">
        <v>160.21</v>
      </c>
      <c r="H70" s="317">
        <v>3.37</v>
      </c>
      <c r="I70" s="320">
        <v>3.37</v>
      </c>
      <c r="J70" s="25">
        <v>0.153</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4.5810000000000004</v>
      </c>
      <c r="E71" s="91">
        <v>0.19600000000000001</v>
      </c>
      <c r="F71" s="92">
        <v>6.8000000000000005E-2</v>
      </c>
      <c r="G71" s="317">
        <v>354.99</v>
      </c>
      <c r="H71" s="317">
        <v>3.37</v>
      </c>
      <c r="I71" s="320">
        <v>3.37</v>
      </c>
      <c r="J71" s="25">
        <v>0.153</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4.5869999999999997</v>
      </c>
      <c r="E72" s="91">
        <v>0.17199999999999999</v>
      </c>
      <c r="F72" s="92">
        <v>6.2E-2</v>
      </c>
      <c r="G72" s="317">
        <v>10.72</v>
      </c>
      <c r="H72" s="317">
        <v>4.3600000000000003</v>
      </c>
      <c r="I72" s="320">
        <v>4.3600000000000003</v>
      </c>
      <c r="J72" s="25">
        <v>0.14599999999999999</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4.5869999999999997</v>
      </c>
      <c r="E73" s="91">
        <v>0.17199999999999999</v>
      </c>
      <c r="F73" s="92">
        <v>6.2E-2</v>
      </c>
      <c r="G73" s="317">
        <v>103.37</v>
      </c>
      <c r="H73" s="317">
        <v>4.3600000000000003</v>
      </c>
      <c r="I73" s="320">
        <v>4.3600000000000003</v>
      </c>
      <c r="J73" s="25">
        <v>0.14599999999999999</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4.5869999999999997</v>
      </c>
      <c r="E74" s="91">
        <v>0.17199999999999999</v>
      </c>
      <c r="F74" s="92">
        <v>6.2E-2</v>
      </c>
      <c r="G74" s="317">
        <v>172.13</v>
      </c>
      <c r="H74" s="317">
        <v>4.3600000000000003</v>
      </c>
      <c r="I74" s="320">
        <v>4.3600000000000003</v>
      </c>
      <c r="J74" s="25">
        <v>0.14599999999999999</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4.5869999999999997</v>
      </c>
      <c r="E75" s="91">
        <v>0.17199999999999999</v>
      </c>
      <c r="F75" s="92">
        <v>6.2E-2</v>
      </c>
      <c r="G75" s="317">
        <v>248.78</v>
      </c>
      <c r="H75" s="317">
        <v>4.3600000000000003</v>
      </c>
      <c r="I75" s="320">
        <v>4.3600000000000003</v>
      </c>
      <c r="J75" s="25">
        <v>0.14599999999999999</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4.5869999999999997</v>
      </c>
      <c r="E76" s="91">
        <v>0.17199999999999999</v>
      </c>
      <c r="F76" s="92">
        <v>6.2E-2</v>
      </c>
      <c r="G76" s="317">
        <v>553.67999999999995</v>
      </c>
      <c r="H76" s="317">
        <v>4.3600000000000003</v>
      </c>
      <c r="I76" s="320">
        <v>4.3600000000000003</v>
      </c>
      <c r="J76" s="25">
        <v>0.14599999999999999</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4.16</v>
      </c>
      <c r="E77" s="91">
        <v>0.14399999999999999</v>
      </c>
      <c r="F77" s="92">
        <v>5.3999999999999999E-2</v>
      </c>
      <c r="G77" s="317">
        <v>125.99</v>
      </c>
      <c r="H77" s="317">
        <v>4.3600000000000003</v>
      </c>
      <c r="I77" s="320">
        <v>4.3600000000000003</v>
      </c>
      <c r="J77" s="25">
        <v>0.13300000000000001</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4.16</v>
      </c>
      <c r="E78" s="91">
        <v>0.14399999999999999</v>
      </c>
      <c r="F78" s="92">
        <v>5.3999999999999999E-2</v>
      </c>
      <c r="G78" s="317">
        <v>899.15</v>
      </c>
      <c r="H78" s="317">
        <v>4.3600000000000003</v>
      </c>
      <c r="I78" s="320">
        <v>4.3600000000000003</v>
      </c>
      <c r="J78" s="25">
        <v>0.13300000000000001</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4.16</v>
      </c>
      <c r="E79" s="91">
        <v>0.14399999999999999</v>
      </c>
      <c r="F79" s="92">
        <v>5.3999999999999999E-2</v>
      </c>
      <c r="G79" s="317">
        <v>2088.87</v>
      </c>
      <c r="H79" s="317">
        <v>4.3600000000000003</v>
      </c>
      <c r="I79" s="320">
        <v>4.3600000000000003</v>
      </c>
      <c r="J79" s="25">
        <v>0.13300000000000001</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4.16</v>
      </c>
      <c r="E80" s="91">
        <v>0.14399999999999999</v>
      </c>
      <c r="F80" s="92">
        <v>5.3999999999999999E-2</v>
      </c>
      <c r="G80" s="317">
        <v>2674.42</v>
      </c>
      <c r="H80" s="317">
        <v>4.3600000000000003</v>
      </c>
      <c r="I80" s="320">
        <v>4.3600000000000003</v>
      </c>
      <c r="J80" s="25">
        <v>0.13300000000000001</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4.16</v>
      </c>
      <c r="E81" s="91">
        <v>0.14399999999999999</v>
      </c>
      <c r="F81" s="92">
        <v>5.3999999999999999E-2</v>
      </c>
      <c r="G81" s="317">
        <v>7630.36</v>
      </c>
      <c r="H81" s="317">
        <v>4.3600000000000003</v>
      </c>
      <c r="I81" s="320">
        <v>4.3600000000000003</v>
      </c>
      <c r="J81" s="25">
        <v>0.13300000000000001</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21.652000000000001</v>
      </c>
      <c r="E82" s="94">
        <v>1.2210000000000001</v>
      </c>
      <c r="F82" s="92">
        <v>0.99099999999999999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805</v>
      </c>
      <c r="D83" s="90">
        <v>-7.45</v>
      </c>
      <c r="E83" s="91">
        <v>-0.34</v>
      </c>
      <c r="F83" s="92">
        <v>-0.11700000000000001</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-6.6459999999999999</v>
      </c>
      <c r="E84" s="91">
        <v>-0.28999999999999998</v>
      </c>
      <c r="F84" s="92">
        <v>-0.10100000000000001</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-7.45</v>
      </c>
      <c r="E85" s="91">
        <v>-0.34</v>
      </c>
      <c r="F85" s="92">
        <v>-0.11700000000000001</v>
      </c>
      <c r="G85" s="317" t="s">
        <v>797</v>
      </c>
      <c r="H85" s="318" t="s">
        <v>797</v>
      </c>
      <c r="I85" s="319" t="s">
        <v>797</v>
      </c>
      <c r="J85" s="25">
        <v>0.26200000000000001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-6.6459999999999999</v>
      </c>
      <c r="E86" s="91">
        <v>-0.28999999999999998</v>
      </c>
      <c r="F86" s="92">
        <v>-0.10100000000000001</v>
      </c>
      <c r="G86" s="317" t="s">
        <v>797</v>
      </c>
      <c r="H86" s="318" t="s">
        <v>797</v>
      </c>
      <c r="I86" s="319" t="s">
        <v>797</v>
      </c>
      <c r="J86" s="25">
        <v>0.218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-7.4740000000000002</v>
      </c>
      <c r="E87" s="91">
        <v>-0.28000000000000003</v>
      </c>
      <c r="F87" s="92">
        <v>-0.10100000000000001</v>
      </c>
      <c r="G87" s="317">
        <v>14.11</v>
      </c>
      <c r="H87" s="318" t="s">
        <v>797</v>
      </c>
      <c r="I87" s="319" t="s">
        <v>797</v>
      </c>
      <c r="J87" s="25">
        <v>0.30199999999999999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6.258</v>
      </c>
      <c r="E88" s="91">
        <v>0.28599999999999998</v>
      </c>
      <c r="F88" s="92">
        <v>9.8000000000000004E-2</v>
      </c>
      <c r="G88" s="317">
        <v>4.07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6.258</v>
      </c>
      <c r="E89" s="91">
        <v>0.28599999999999998</v>
      </c>
      <c r="F89" s="92">
        <v>9.8000000000000004E-2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4.9880000000000004</v>
      </c>
      <c r="E90" s="91">
        <v>0.22800000000000001</v>
      </c>
      <c r="F90" s="92">
        <v>7.8E-2</v>
      </c>
      <c r="G90" s="317">
        <v>2.83</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4.9880000000000004</v>
      </c>
      <c r="E91" s="91">
        <v>0.22800000000000001</v>
      </c>
      <c r="F91" s="92">
        <v>7.8E-2</v>
      </c>
      <c r="G91" s="317">
        <v>4.05</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4.9880000000000004</v>
      </c>
      <c r="E92" s="91">
        <v>0.22800000000000001</v>
      </c>
      <c r="F92" s="92">
        <v>7.8E-2</v>
      </c>
      <c r="G92" s="317">
        <v>6.37</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4.9880000000000004</v>
      </c>
      <c r="E93" s="91">
        <v>0.22800000000000001</v>
      </c>
      <c r="F93" s="92">
        <v>7.8E-2</v>
      </c>
      <c r="G93" s="317">
        <v>9.98</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4.9880000000000004</v>
      </c>
      <c r="E94" s="91">
        <v>0.22800000000000001</v>
      </c>
      <c r="F94" s="92">
        <v>7.8E-2</v>
      </c>
      <c r="G94" s="317">
        <v>22.56</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4.9880000000000004</v>
      </c>
      <c r="E95" s="91">
        <v>0.22800000000000001</v>
      </c>
      <c r="F95" s="92">
        <v>7.8E-2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3.7</v>
      </c>
      <c r="E96" s="91">
        <v>0.158</v>
      </c>
      <c r="F96" s="92">
        <v>5.5E-2</v>
      </c>
      <c r="G96" s="317">
        <v>6.57</v>
      </c>
      <c r="H96" s="317">
        <v>2.72</v>
      </c>
      <c r="I96" s="320">
        <v>2.72</v>
      </c>
      <c r="J96" s="25">
        <v>0.124</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3.7</v>
      </c>
      <c r="E97" s="91">
        <v>0.158</v>
      </c>
      <c r="F97" s="92">
        <v>5.5E-2</v>
      </c>
      <c r="G97" s="317">
        <v>54.38</v>
      </c>
      <c r="H97" s="317">
        <v>2.72</v>
      </c>
      <c r="I97" s="320">
        <v>2.72</v>
      </c>
      <c r="J97" s="25">
        <v>0.124</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3.7</v>
      </c>
      <c r="E98" s="91">
        <v>0.158</v>
      </c>
      <c r="F98" s="92">
        <v>5.5E-2</v>
      </c>
      <c r="G98" s="317">
        <v>89.87</v>
      </c>
      <c r="H98" s="317">
        <v>2.72</v>
      </c>
      <c r="I98" s="320">
        <v>2.72</v>
      </c>
      <c r="J98" s="25">
        <v>0.124</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3.7</v>
      </c>
      <c r="E99" s="91">
        <v>0.158</v>
      </c>
      <c r="F99" s="92">
        <v>5.5E-2</v>
      </c>
      <c r="G99" s="317">
        <v>129.41999999999999</v>
      </c>
      <c r="H99" s="317">
        <v>2.72</v>
      </c>
      <c r="I99" s="320">
        <v>2.72</v>
      </c>
      <c r="J99" s="25">
        <v>0.124</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3.7</v>
      </c>
      <c r="E100" s="91">
        <v>0.158</v>
      </c>
      <c r="F100" s="92">
        <v>5.5E-2</v>
      </c>
      <c r="G100" s="317">
        <v>286.76</v>
      </c>
      <c r="H100" s="317">
        <v>2.72</v>
      </c>
      <c r="I100" s="320">
        <v>2.72</v>
      </c>
      <c r="J100" s="25">
        <v>0.124</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3.7050000000000001</v>
      </c>
      <c r="E101" s="91">
        <v>0.13900000000000001</v>
      </c>
      <c r="F101" s="92">
        <v>0.05</v>
      </c>
      <c r="G101" s="317">
        <v>8.66</v>
      </c>
      <c r="H101" s="317">
        <v>3.52</v>
      </c>
      <c r="I101" s="320">
        <v>3.52</v>
      </c>
      <c r="J101" s="25">
        <v>0.11799999999999999</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3.7050000000000001</v>
      </c>
      <c r="E102" s="91">
        <v>0.13900000000000001</v>
      </c>
      <c r="F102" s="92">
        <v>0.05</v>
      </c>
      <c r="G102" s="317">
        <v>83.5</v>
      </c>
      <c r="H102" s="317">
        <v>3.52</v>
      </c>
      <c r="I102" s="320">
        <v>3.52</v>
      </c>
      <c r="J102" s="25">
        <v>0.11799999999999999</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3.7050000000000001</v>
      </c>
      <c r="E103" s="91">
        <v>0.13900000000000001</v>
      </c>
      <c r="F103" s="92">
        <v>0.05</v>
      </c>
      <c r="G103" s="317">
        <v>139.04</v>
      </c>
      <c r="H103" s="317">
        <v>3.52</v>
      </c>
      <c r="I103" s="320">
        <v>3.52</v>
      </c>
      <c r="J103" s="25">
        <v>0.11799999999999999</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3.7050000000000001</v>
      </c>
      <c r="E104" s="91">
        <v>0.13900000000000001</v>
      </c>
      <c r="F104" s="92">
        <v>0.05</v>
      </c>
      <c r="G104" s="317">
        <v>200.96</v>
      </c>
      <c r="H104" s="317">
        <v>3.52</v>
      </c>
      <c r="I104" s="320">
        <v>3.52</v>
      </c>
      <c r="J104" s="25">
        <v>0.11799999999999999</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3.7050000000000001</v>
      </c>
      <c r="E105" s="91">
        <v>0.13900000000000001</v>
      </c>
      <c r="F105" s="92">
        <v>0.05</v>
      </c>
      <c r="G105" s="317">
        <v>447.26</v>
      </c>
      <c r="H105" s="317">
        <v>3.52</v>
      </c>
      <c r="I105" s="320">
        <v>3.52</v>
      </c>
      <c r="J105" s="25">
        <v>0.11799999999999999</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3.36</v>
      </c>
      <c r="E106" s="91">
        <v>0.11600000000000001</v>
      </c>
      <c r="F106" s="92">
        <v>4.2999999999999997E-2</v>
      </c>
      <c r="G106" s="317">
        <v>101.77</v>
      </c>
      <c r="H106" s="317">
        <v>3.52</v>
      </c>
      <c r="I106" s="320">
        <v>3.52</v>
      </c>
      <c r="J106" s="25">
        <v>0.108</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3.36</v>
      </c>
      <c r="E107" s="91">
        <v>0.11600000000000001</v>
      </c>
      <c r="F107" s="92">
        <v>4.2999999999999997E-2</v>
      </c>
      <c r="G107" s="317">
        <v>726.33</v>
      </c>
      <c r="H107" s="317">
        <v>3.52</v>
      </c>
      <c r="I107" s="320">
        <v>3.52</v>
      </c>
      <c r="J107" s="25">
        <v>0.108</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3.36</v>
      </c>
      <c r="E108" s="91">
        <v>0.11600000000000001</v>
      </c>
      <c r="F108" s="92">
        <v>4.2999999999999997E-2</v>
      </c>
      <c r="G108" s="317">
        <v>1687.38</v>
      </c>
      <c r="H108" s="317">
        <v>3.52</v>
      </c>
      <c r="I108" s="320">
        <v>3.52</v>
      </c>
      <c r="J108" s="25">
        <v>0.108</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3.36</v>
      </c>
      <c r="E109" s="91">
        <v>0.11600000000000001</v>
      </c>
      <c r="F109" s="92">
        <v>4.2999999999999997E-2</v>
      </c>
      <c r="G109" s="317">
        <v>2160.39</v>
      </c>
      <c r="H109" s="317">
        <v>3.52</v>
      </c>
      <c r="I109" s="320">
        <v>3.52</v>
      </c>
      <c r="J109" s="25">
        <v>0.108</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3.36</v>
      </c>
      <c r="E110" s="91">
        <v>0.11600000000000001</v>
      </c>
      <c r="F110" s="92">
        <v>4.2999999999999997E-2</v>
      </c>
      <c r="G110" s="317">
        <v>6163.78</v>
      </c>
      <c r="H110" s="317">
        <v>3.52</v>
      </c>
      <c r="I110" s="320">
        <v>3.52</v>
      </c>
      <c r="J110" s="25">
        <v>0.108</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17.491</v>
      </c>
      <c r="E111" s="94">
        <v>0.98699999999999999</v>
      </c>
      <c r="F111" s="92">
        <v>0.8</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805</v>
      </c>
      <c r="D112" s="90">
        <v>-6.0179999999999998</v>
      </c>
      <c r="E112" s="91">
        <v>-0.27500000000000002</v>
      </c>
      <c r="F112" s="92">
        <v>-9.4E-2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-5.3689999999999998</v>
      </c>
      <c r="E113" s="91">
        <v>-0.23400000000000001</v>
      </c>
      <c r="F113" s="92">
        <v>-8.1000000000000003E-2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-6.0179999999999998</v>
      </c>
      <c r="E114" s="91">
        <v>-0.27500000000000002</v>
      </c>
      <c r="F114" s="92">
        <v>-9.4E-2</v>
      </c>
      <c r="G114" s="317" t="s">
        <v>797</v>
      </c>
      <c r="H114" s="318" t="s">
        <v>797</v>
      </c>
      <c r="I114" s="319" t="s">
        <v>797</v>
      </c>
      <c r="J114" s="25">
        <v>0.21199999999999999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-5.3689999999999998</v>
      </c>
      <c r="E115" s="91">
        <v>-0.23400000000000001</v>
      </c>
      <c r="F115" s="92">
        <v>-8.1000000000000003E-2</v>
      </c>
      <c r="G115" s="317" t="s">
        <v>797</v>
      </c>
      <c r="H115" s="318" t="s">
        <v>797</v>
      </c>
      <c r="I115" s="319" t="s">
        <v>797</v>
      </c>
      <c r="J115" s="25">
        <v>0.17599999999999999</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-6.0369999999999999</v>
      </c>
      <c r="E116" s="91">
        <v>-0.22600000000000001</v>
      </c>
      <c r="F116" s="92">
        <v>-8.2000000000000003E-2</v>
      </c>
      <c r="G116" s="317">
        <v>11.4</v>
      </c>
      <c r="H116" s="318" t="s">
        <v>797</v>
      </c>
      <c r="I116" s="319" t="s">
        <v>797</v>
      </c>
      <c r="J116" s="25">
        <v>0.24399999999999999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5.2050000000000001</v>
      </c>
      <c r="E117" s="91">
        <v>0.23799999999999999</v>
      </c>
      <c r="F117" s="92">
        <v>8.1000000000000003E-2</v>
      </c>
      <c r="G117" s="317">
        <v>3.38</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5.2050000000000001</v>
      </c>
      <c r="E118" s="91">
        <v>0.23799999999999999</v>
      </c>
      <c r="F118" s="92">
        <v>8.1000000000000003E-2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4.149</v>
      </c>
      <c r="E119" s="91">
        <v>0.189</v>
      </c>
      <c r="F119" s="92">
        <v>6.5000000000000002E-2</v>
      </c>
      <c r="G119" s="317">
        <v>2.35</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4.149</v>
      </c>
      <c r="E120" s="91">
        <v>0.189</v>
      </c>
      <c r="F120" s="92">
        <v>6.5000000000000002E-2</v>
      </c>
      <c r="G120" s="317">
        <v>3.37</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4.149</v>
      </c>
      <c r="E121" s="91">
        <v>0.189</v>
      </c>
      <c r="F121" s="92">
        <v>6.5000000000000002E-2</v>
      </c>
      <c r="G121" s="317">
        <v>5.3</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4.149</v>
      </c>
      <c r="E122" s="91">
        <v>0.189</v>
      </c>
      <c r="F122" s="92">
        <v>6.5000000000000002E-2</v>
      </c>
      <c r="G122" s="317">
        <v>8.3000000000000007</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4.149</v>
      </c>
      <c r="E123" s="91">
        <v>0.189</v>
      </c>
      <c r="F123" s="92">
        <v>6.5000000000000002E-2</v>
      </c>
      <c r="G123" s="317">
        <v>18.760000000000002</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4.149</v>
      </c>
      <c r="E124" s="91">
        <v>0.189</v>
      </c>
      <c r="F124" s="92">
        <v>6.5000000000000002E-2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3.077</v>
      </c>
      <c r="E125" s="91">
        <v>0.13100000000000001</v>
      </c>
      <c r="F125" s="92">
        <v>4.5999999999999999E-2</v>
      </c>
      <c r="G125" s="317">
        <v>5.47</v>
      </c>
      <c r="H125" s="317">
        <v>2.2599999999999998</v>
      </c>
      <c r="I125" s="320">
        <v>2.2599999999999998</v>
      </c>
      <c r="J125" s="25">
        <v>0.10299999999999999</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3.077</v>
      </c>
      <c r="E126" s="91">
        <v>0.13100000000000001</v>
      </c>
      <c r="F126" s="92">
        <v>4.5999999999999999E-2</v>
      </c>
      <c r="G126" s="317">
        <v>45.23</v>
      </c>
      <c r="H126" s="317">
        <v>2.2599999999999998</v>
      </c>
      <c r="I126" s="320">
        <v>2.2599999999999998</v>
      </c>
      <c r="J126" s="25">
        <v>0.10299999999999999</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3.077</v>
      </c>
      <c r="E127" s="91">
        <v>0.13100000000000001</v>
      </c>
      <c r="F127" s="92">
        <v>4.5999999999999999E-2</v>
      </c>
      <c r="G127" s="317">
        <v>74.739999999999995</v>
      </c>
      <c r="H127" s="317">
        <v>2.2599999999999998</v>
      </c>
      <c r="I127" s="320">
        <v>2.2599999999999998</v>
      </c>
      <c r="J127" s="25">
        <v>0.10299999999999999</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3.077</v>
      </c>
      <c r="E128" s="91">
        <v>0.13100000000000001</v>
      </c>
      <c r="F128" s="92">
        <v>4.5999999999999999E-2</v>
      </c>
      <c r="G128" s="317">
        <v>107.63</v>
      </c>
      <c r="H128" s="317">
        <v>2.2599999999999998</v>
      </c>
      <c r="I128" s="320">
        <v>2.2599999999999998</v>
      </c>
      <c r="J128" s="25">
        <v>0.10299999999999999</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3.077</v>
      </c>
      <c r="E129" s="91">
        <v>0.13100000000000001</v>
      </c>
      <c r="F129" s="92">
        <v>4.5999999999999999E-2</v>
      </c>
      <c r="G129" s="317">
        <v>238.48</v>
      </c>
      <c r="H129" s="317">
        <v>2.2599999999999998</v>
      </c>
      <c r="I129" s="320">
        <v>2.2599999999999998</v>
      </c>
      <c r="J129" s="25">
        <v>0.10299999999999999</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3.081</v>
      </c>
      <c r="E130" s="91">
        <v>0.11600000000000001</v>
      </c>
      <c r="F130" s="92">
        <v>4.2000000000000003E-2</v>
      </c>
      <c r="G130" s="317">
        <v>7.2</v>
      </c>
      <c r="H130" s="317">
        <v>2.93</v>
      </c>
      <c r="I130" s="320">
        <v>2.93</v>
      </c>
      <c r="J130" s="25">
        <v>9.8000000000000004E-2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3.081</v>
      </c>
      <c r="E131" s="91">
        <v>0.11600000000000001</v>
      </c>
      <c r="F131" s="92">
        <v>4.2000000000000003E-2</v>
      </c>
      <c r="G131" s="317">
        <v>69.44</v>
      </c>
      <c r="H131" s="317">
        <v>2.93</v>
      </c>
      <c r="I131" s="320">
        <v>2.93</v>
      </c>
      <c r="J131" s="25">
        <v>9.8000000000000004E-2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3.081</v>
      </c>
      <c r="E132" s="91">
        <v>0.11600000000000001</v>
      </c>
      <c r="F132" s="92">
        <v>4.2000000000000003E-2</v>
      </c>
      <c r="G132" s="317">
        <v>115.64</v>
      </c>
      <c r="H132" s="317">
        <v>2.93</v>
      </c>
      <c r="I132" s="320">
        <v>2.93</v>
      </c>
      <c r="J132" s="25">
        <v>9.8000000000000004E-2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3.081</v>
      </c>
      <c r="E133" s="91">
        <v>0.11600000000000001</v>
      </c>
      <c r="F133" s="92">
        <v>4.2000000000000003E-2</v>
      </c>
      <c r="G133" s="317">
        <v>167.13</v>
      </c>
      <c r="H133" s="317">
        <v>2.93</v>
      </c>
      <c r="I133" s="320">
        <v>2.93</v>
      </c>
      <c r="J133" s="25">
        <v>9.8000000000000004E-2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3.081</v>
      </c>
      <c r="E134" s="91">
        <v>0.11600000000000001</v>
      </c>
      <c r="F134" s="92">
        <v>4.2000000000000003E-2</v>
      </c>
      <c r="G134" s="317">
        <v>371.96</v>
      </c>
      <c r="H134" s="317">
        <v>2.93</v>
      </c>
      <c r="I134" s="320">
        <v>2.93</v>
      </c>
      <c r="J134" s="25">
        <v>9.8000000000000004E-2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2.7949999999999999</v>
      </c>
      <c r="E135" s="91">
        <v>9.6000000000000002E-2</v>
      </c>
      <c r="F135" s="92">
        <v>3.5999999999999997E-2</v>
      </c>
      <c r="G135" s="317">
        <v>84.64</v>
      </c>
      <c r="H135" s="317">
        <v>2.93</v>
      </c>
      <c r="I135" s="320">
        <v>2.93</v>
      </c>
      <c r="J135" s="25">
        <v>8.8999999999999996E-2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2.7949999999999999</v>
      </c>
      <c r="E136" s="91">
        <v>9.6000000000000002E-2</v>
      </c>
      <c r="F136" s="92">
        <v>3.5999999999999997E-2</v>
      </c>
      <c r="G136" s="317">
        <v>604.04</v>
      </c>
      <c r="H136" s="317">
        <v>2.93</v>
      </c>
      <c r="I136" s="320">
        <v>2.93</v>
      </c>
      <c r="J136" s="25">
        <v>8.8999999999999996E-2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2.7949999999999999</v>
      </c>
      <c r="E137" s="91">
        <v>9.6000000000000002E-2</v>
      </c>
      <c r="F137" s="92">
        <v>3.5999999999999997E-2</v>
      </c>
      <c r="G137" s="317">
        <v>1403.3</v>
      </c>
      <c r="H137" s="317">
        <v>2.93</v>
      </c>
      <c r="I137" s="320">
        <v>2.93</v>
      </c>
      <c r="J137" s="25">
        <v>8.8999999999999996E-2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2.7949999999999999</v>
      </c>
      <c r="E138" s="91">
        <v>9.6000000000000002E-2</v>
      </c>
      <c r="F138" s="92">
        <v>3.5999999999999997E-2</v>
      </c>
      <c r="G138" s="317">
        <v>1796.67</v>
      </c>
      <c r="H138" s="317">
        <v>2.93</v>
      </c>
      <c r="I138" s="320">
        <v>2.93</v>
      </c>
      <c r="J138" s="25">
        <v>8.8999999999999996E-2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2.7949999999999999</v>
      </c>
      <c r="E139" s="91">
        <v>9.6000000000000002E-2</v>
      </c>
      <c r="F139" s="92">
        <v>3.5999999999999997E-2</v>
      </c>
      <c r="G139" s="317">
        <v>5126.05</v>
      </c>
      <c r="H139" s="317">
        <v>2.93</v>
      </c>
      <c r="I139" s="320">
        <v>2.93</v>
      </c>
      <c r="J139" s="25">
        <v>8.8999999999999996E-2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804</v>
      </c>
      <c r="D140" s="93">
        <v>14.545999999999999</v>
      </c>
      <c r="E140" s="94">
        <v>0.82099999999999995</v>
      </c>
      <c r="F140" s="92">
        <v>0.66600000000000004</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805</v>
      </c>
      <c r="D141" s="90">
        <v>-5.0049999999999999</v>
      </c>
      <c r="E141" s="91">
        <v>-0.22900000000000001</v>
      </c>
      <c r="F141" s="92">
        <v>-7.8E-2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-4.4649999999999999</v>
      </c>
      <c r="E142" s="91">
        <v>-0.19500000000000001</v>
      </c>
      <c r="F142" s="92">
        <v>-6.8000000000000005E-2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-5.0049999999999999</v>
      </c>
      <c r="E143" s="91">
        <v>-0.22900000000000001</v>
      </c>
      <c r="F143" s="92">
        <v>-7.8E-2</v>
      </c>
      <c r="G143" s="317" t="s">
        <v>797</v>
      </c>
      <c r="H143" s="318" t="s">
        <v>797</v>
      </c>
      <c r="I143" s="319" t="s">
        <v>797</v>
      </c>
      <c r="J143" s="25">
        <v>0.17599999999999999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-4.4649999999999999</v>
      </c>
      <c r="E144" s="91">
        <v>-0.19500000000000001</v>
      </c>
      <c r="F144" s="92">
        <v>-6.8000000000000005E-2</v>
      </c>
      <c r="G144" s="317" t="s">
        <v>797</v>
      </c>
      <c r="H144" s="318" t="s">
        <v>797</v>
      </c>
      <c r="I144" s="319" t="s">
        <v>797</v>
      </c>
      <c r="J144" s="25">
        <v>0.14599999999999999</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-5.0209999999999999</v>
      </c>
      <c r="E145" s="91">
        <v>-0.188</v>
      </c>
      <c r="F145" s="92">
        <v>-6.8000000000000005E-2</v>
      </c>
      <c r="G145" s="317">
        <v>9.48</v>
      </c>
      <c r="H145" s="318" t="s">
        <v>797</v>
      </c>
      <c r="I145" s="319" t="s">
        <v>797</v>
      </c>
      <c r="J145" s="25">
        <v>0.20300000000000001</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3.6539999999999999</v>
      </c>
      <c r="E146" s="91">
        <v>0.16700000000000001</v>
      </c>
      <c r="F146" s="92">
        <v>5.7000000000000002E-2</v>
      </c>
      <c r="G146" s="317">
        <v>2.37</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3.6539999999999999</v>
      </c>
      <c r="E147" s="91">
        <v>0.16700000000000001</v>
      </c>
      <c r="F147" s="92">
        <v>5.7000000000000002E-2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2.9119999999999999</v>
      </c>
      <c r="E148" s="91">
        <v>0.13300000000000001</v>
      </c>
      <c r="F148" s="92">
        <v>4.5999999999999999E-2</v>
      </c>
      <c r="G148" s="317">
        <v>1.65</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2.9119999999999999</v>
      </c>
      <c r="E149" s="91">
        <v>0.13300000000000001</v>
      </c>
      <c r="F149" s="92">
        <v>4.5999999999999999E-2</v>
      </c>
      <c r="G149" s="317">
        <v>2.36</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2.9119999999999999</v>
      </c>
      <c r="E150" s="91">
        <v>0.13300000000000001</v>
      </c>
      <c r="F150" s="92">
        <v>4.5999999999999999E-2</v>
      </c>
      <c r="G150" s="317">
        <v>3.72</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2.9119999999999999</v>
      </c>
      <c r="E151" s="91">
        <v>0.13300000000000001</v>
      </c>
      <c r="F151" s="92">
        <v>4.5999999999999999E-2</v>
      </c>
      <c r="G151" s="317">
        <v>5.82</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2.9119999999999999</v>
      </c>
      <c r="E152" s="91">
        <v>0.13300000000000001</v>
      </c>
      <c r="F152" s="92">
        <v>4.5999999999999999E-2</v>
      </c>
      <c r="G152" s="317">
        <v>13.17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2.9119999999999999</v>
      </c>
      <c r="E153" s="91">
        <v>0.13300000000000001</v>
      </c>
      <c r="F153" s="92">
        <v>4.5999999999999999E-2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2.16</v>
      </c>
      <c r="E154" s="91">
        <v>9.1999999999999998E-2</v>
      </c>
      <c r="F154" s="92">
        <v>3.2000000000000001E-2</v>
      </c>
      <c r="G154" s="317">
        <v>3.84</v>
      </c>
      <c r="H154" s="317">
        <v>1.59</v>
      </c>
      <c r="I154" s="320">
        <v>1.59</v>
      </c>
      <c r="J154" s="25">
        <v>7.1999999999999995E-2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2.16</v>
      </c>
      <c r="E155" s="91">
        <v>9.1999999999999998E-2</v>
      </c>
      <c r="F155" s="92">
        <v>3.2000000000000001E-2</v>
      </c>
      <c r="G155" s="317">
        <v>31.75</v>
      </c>
      <c r="H155" s="317">
        <v>1.59</v>
      </c>
      <c r="I155" s="320">
        <v>1.59</v>
      </c>
      <c r="J155" s="25">
        <v>7.1999999999999995E-2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2.16</v>
      </c>
      <c r="E156" s="91">
        <v>9.1999999999999998E-2</v>
      </c>
      <c r="F156" s="92">
        <v>3.2000000000000001E-2</v>
      </c>
      <c r="G156" s="317">
        <v>52.46</v>
      </c>
      <c r="H156" s="317">
        <v>1.59</v>
      </c>
      <c r="I156" s="320">
        <v>1.59</v>
      </c>
      <c r="J156" s="25">
        <v>7.1999999999999995E-2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2.16</v>
      </c>
      <c r="E157" s="91">
        <v>9.1999999999999998E-2</v>
      </c>
      <c r="F157" s="92">
        <v>3.2000000000000001E-2</v>
      </c>
      <c r="G157" s="317">
        <v>75.56</v>
      </c>
      <c r="H157" s="317">
        <v>1.59</v>
      </c>
      <c r="I157" s="320">
        <v>1.59</v>
      </c>
      <c r="J157" s="25">
        <v>7.1999999999999995E-2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2.16</v>
      </c>
      <c r="E158" s="91">
        <v>9.1999999999999998E-2</v>
      </c>
      <c r="F158" s="92">
        <v>3.2000000000000001E-2</v>
      </c>
      <c r="G158" s="317">
        <v>167.41</v>
      </c>
      <c r="H158" s="317">
        <v>1.59</v>
      </c>
      <c r="I158" s="320">
        <v>1.59</v>
      </c>
      <c r="J158" s="25">
        <v>7.1999999999999995E-2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2.1629999999999998</v>
      </c>
      <c r="E159" s="91">
        <v>8.1000000000000003E-2</v>
      </c>
      <c r="F159" s="92">
        <v>2.9000000000000001E-2</v>
      </c>
      <c r="G159" s="317">
        <v>5.05</v>
      </c>
      <c r="H159" s="317">
        <v>2.06</v>
      </c>
      <c r="I159" s="320">
        <v>2.06</v>
      </c>
      <c r="J159" s="25">
        <v>6.9000000000000006E-2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2.1629999999999998</v>
      </c>
      <c r="E160" s="91">
        <v>8.1000000000000003E-2</v>
      </c>
      <c r="F160" s="92">
        <v>2.9000000000000001E-2</v>
      </c>
      <c r="G160" s="317">
        <v>48.75</v>
      </c>
      <c r="H160" s="317">
        <v>2.06</v>
      </c>
      <c r="I160" s="320">
        <v>2.06</v>
      </c>
      <c r="J160" s="25">
        <v>6.9000000000000006E-2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2.1629999999999998</v>
      </c>
      <c r="E161" s="91">
        <v>8.1000000000000003E-2</v>
      </c>
      <c r="F161" s="92">
        <v>2.9000000000000001E-2</v>
      </c>
      <c r="G161" s="317">
        <v>81.180000000000007</v>
      </c>
      <c r="H161" s="317">
        <v>2.06</v>
      </c>
      <c r="I161" s="320">
        <v>2.06</v>
      </c>
      <c r="J161" s="25">
        <v>6.9000000000000006E-2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2.1629999999999998</v>
      </c>
      <c r="E162" s="91">
        <v>8.1000000000000003E-2</v>
      </c>
      <c r="F162" s="92">
        <v>2.9000000000000001E-2</v>
      </c>
      <c r="G162" s="317">
        <v>117.32</v>
      </c>
      <c r="H162" s="317">
        <v>2.06</v>
      </c>
      <c r="I162" s="320">
        <v>2.06</v>
      </c>
      <c r="J162" s="25">
        <v>6.9000000000000006E-2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2.1629999999999998</v>
      </c>
      <c r="E163" s="91">
        <v>8.1000000000000003E-2</v>
      </c>
      <c r="F163" s="92">
        <v>2.9000000000000001E-2</v>
      </c>
      <c r="G163" s="317">
        <v>261.12</v>
      </c>
      <c r="H163" s="317">
        <v>2.06</v>
      </c>
      <c r="I163" s="320">
        <v>2.06</v>
      </c>
      <c r="J163" s="25">
        <v>6.9000000000000006E-2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1.962</v>
      </c>
      <c r="E164" s="91">
        <v>6.8000000000000005E-2</v>
      </c>
      <c r="F164" s="92">
        <v>2.5000000000000001E-2</v>
      </c>
      <c r="G164" s="317">
        <v>59.42</v>
      </c>
      <c r="H164" s="317">
        <v>2.06</v>
      </c>
      <c r="I164" s="320">
        <v>2.06</v>
      </c>
      <c r="J164" s="25">
        <v>6.3E-2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1.962</v>
      </c>
      <c r="E165" s="91">
        <v>6.8000000000000005E-2</v>
      </c>
      <c r="F165" s="92">
        <v>2.5000000000000001E-2</v>
      </c>
      <c r="G165" s="317">
        <v>424.04</v>
      </c>
      <c r="H165" s="317">
        <v>2.06</v>
      </c>
      <c r="I165" s="320">
        <v>2.06</v>
      </c>
      <c r="J165" s="25">
        <v>6.3E-2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1.962</v>
      </c>
      <c r="E166" s="91">
        <v>6.8000000000000005E-2</v>
      </c>
      <c r="F166" s="92">
        <v>2.5000000000000001E-2</v>
      </c>
      <c r="G166" s="317">
        <v>985.11</v>
      </c>
      <c r="H166" s="317">
        <v>2.06</v>
      </c>
      <c r="I166" s="320">
        <v>2.06</v>
      </c>
      <c r="J166" s="25">
        <v>6.3E-2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1.962</v>
      </c>
      <c r="E167" s="91">
        <v>6.8000000000000005E-2</v>
      </c>
      <c r="F167" s="92">
        <v>2.5000000000000001E-2</v>
      </c>
      <c r="G167" s="317">
        <v>1261.26</v>
      </c>
      <c r="H167" s="317">
        <v>2.06</v>
      </c>
      <c r="I167" s="320">
        <v>2.06</v>
      </c>
      <c r="J167" s="25">
        <v>6.3E-2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1.962</v>
      </c>
      <c r="E168" s="91">
        <v>6.8000000000000005E-2</v>
      </c>
      <c r="F168" s="92">
        <v>2.5000000000000001E-2</v>
      </c>
      <c r="G168" s="317">
        <v>3598.48</v>
      </c>
      <c r="H168" s="317">
        <v>2.06</v>
      </c>
      <c r="I168" s="320">
        <v>2.06</v>
      </c>
      <c r="J168" s="25">
        <v>6.3E-2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10.211</v>
      </c>
      <c r="E169" s="94">
        <v>0.57599999999999996</v>
      </c>
      <c r="F169" s="92">
        <v>0.46700000000000003</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805</v>
      </c>
      <c r="D170" s="90">
        <v>-3.5139999999999998</v>
      </c>
      <c r="E170" s="91">
        <v>-0.16</v>
      </c>
      <c r="F170" s="92">
        <v>-5.5E-2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-3.1339999999999999</v>
      </c>
      <c r="E171" s="91">
        <v>-0.13700000000000001</v>
      </c>
      <c r="F171" s="92">
        <v>-4.7E-2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-3.5139999999999998</v>
      </c>
      <c r="E172" s="91">
        <v>-0.16</v>
      </c>
      <c r="F172" s="92">
        <v>-5.5E-2</v>
      </c>
      <c r="G172" s="317" t="s">
        <v>797</v>
      </c>
      <c r="H172" s="318" t="s">
        <v>797</v>
      </c>
      <c r="I172" s="319" t="s">
        <v>797</v>
      </c>
      <c r="J172" s="25">
        <v>0.124</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-3.1339999999999999</v>
      </c>
      <c r="E173" s="91">
        <v>-0.13700000000000001</v>
      </c>
      <c r="F173" s="92">
        <v>-4.7E-2</v>
      </c>
      <c r="G173" s="317" t="s">
        <v>797</v>
      </c>
      <c r="H173" s="318" t="s">
        <v>797</v>
      </c>
      <c r="I173" s="319" t="s">
        <v>797</v>
      </c>
      <c r="J173" s="25">
        <v>0.10299999999999999</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-3.5249999999999999</v>
      </c>
      <c r="E174" s="91">
        <v>-0.13200000000000001</v>
      </c>
      <c r="F174" s="92">
        <v>-4.8000000000000001E-2</v>
      </c>
      <c r="G174" s="317">
        <v>6.66</v>
      </c>
      <c r="H174" s="318" t="s">
        <v>797</v>
      </c>
      <c r="I174" s="319" t="s">
        <v>797</v>
      </c>
      <c r="J174" s="25">
        <v>0.14199999999999999</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1.24</v>
      </c>
      <c r="E175" s="91">
        <v>5.7000000000000002E-2</v>
      </c>
      <c r="F175" s="92">
        <v>1.9E-2</v>
      </c>
      <c r="G175" s="317">
        <v>0.81</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1.24</v>
      </c>
      <c r="E176" s="91">
        <v>5.7000000000000002E-2</v>
      </c>
      <c r="F176" s="92">
        <v>1.9E-2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0.98899999999999999</v>
      </c>
      <c r="E177" s="91">
        <v>4.4999999999999998E-2</v>
      </c>
      <c r="F177" s="92">
        <v>1.4999999999999999E-2</v>
      </c>
      <c r="G177" s="317">
        <v>0.56000000000000005</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0.98899999999999999</v>
      </c>
      <c r="E178" s="91">
        <v>4.4999999999999998E-2</v>
      </c>
      <c r="F178" s="92">
        <v>1.4999999999999999E-2</v>
      </c>
      <c r="G178" s="317">
        <v>0.8</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0.98899999999999999</v>
      </c>
      <c r="E179" s="91">
        <v>4.4999999999999998E-2</v>
      </c>
      <c r="F179" s="92">
        <v>1.4999999999999999E-2</v>
      </c>
      <c r="G179" s="317">
        <v>1.26</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0.98899999999999999</v>
      </c>
      <c r="E180" s="91">
        <v>4.4999999999999998E-2</v>
      </c>
      <c r="F180" s="92">
        <v>1.4999999999999999E-2</v>
      </c>
      <c r="G180" s="317">
        <v>1.98</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0.98899999999999999</v>
      </c>
      <c r="E181" s="91">
        <v>4.4999999999999998E-2</v>
      </c>
      <c r="F181" s="92">
        <v>1.4999999999999999E-2</v>
      </c>
      <c r="G181" s="317">
        <v>4.47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0.98899999999999999</v>
      </c>
      <c r="E182" s="91">
        <v>4.4999999999999998E-2</v>
      </c>
      <c r="F182" s="92">
        <v>1.4999999999999999E-2</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0.73299999999999998</v>
      </c>
      <c r="E183" s="91">
        <v>3.1E-2</v>
      </c>
      <c r="F183" s="92">
        <v>1.0999999999999999E-2</v>
      </c>
      <c r="G183" s="317">
        <v>1.3</v>
      </c>
      <c r="H183" s="317">
        <v>0.54</v>
      </c>
      <c r="I183" s="320">
        <v>0.54</v>
      </c>
      <c r="J183" s="25">
        <v>2.4E-2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0.73299999999999998</v>
      </c>
      <c r="E184" s="91">
        <v>3.1E-2</v>
      </c>
      <c r="F184" s="92">
        <v>1.0999999999999999E-2</v>
      </c>
      <c r="G184" s="317">
        <v>10.78</v>
      </c>
      <c r="H184" s="317">
        <v>0.54</v>
      </c>
      <c r="I184" s="320">
        <v>0.54</v>
      </c>
      <c r="J184" s="25">
        <v>2.4E-2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0.73299999999999998</v>
      </c>
      <c r="E185" s="91">
        <v>3.1E-2</v>
      </c>
      <c r="F185" s="92">
        <v>1.0999999999999999E-2</v>
      </c>
      <c r="G185" s="317">
        <v>17.809999999999999</v>
      </c>
      <c r="H185" s="317">
        <v>0.54</v>
      </c>
      <c r="I185" s="320">
        <v>0.54</v>
      </c>
      <c r="J185" s="25">
        <v>2.4E-2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0.73299999999999998</v>
      </c>
      <c r="E186" s="91">
        <v>3.1E-2</v>
      </c>
      <c r="F186" s="92">
        <v>1.0999999999999999E-2</v>
      </c>
      <c r="G186" s="317">
        <v>25.65</v>
      </c>
      <c r="H186" s="317">
        <v>0.54</v>
      </c>
      <c r="I186" s="320">
        <v>0.54</v>
      </c>
      <c r="J186" s="25">
        <v>2.4E-2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0.73299999999999998</v>
      </c>
      <c r="E187" s="91">
        <v>3.1E-2</v>
      </c>
      <c r="F187" s="92">
        <v>1.0999999999999999E-2</v>
      </c>
      <c r="G187" s="317">
        <v>56.83</v>
      </c>
      <c r="H187" s="317">
        <v>0.54</v>
      </c>
      <c r="I187" s="320">
        <v>0.54</v>
      </c>
      <c r="J187" s="25">
        <v>2.4E-2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0.73399999999999999</v>
      </c>
      <c r="E188" s="91">
        <v>2.8000000000000001E-2</v>
      </c>
      <c r="F188" s="92">
        <v>0.01</v>
      </c>
      <c r="G188" s="317">
        <v>1.72</v>
      </c>
      <c r="H188" s="317">
        <v>0.7</v>
      </c>
      <c r="I188" s="320">
        <v>0.7</v>
      </c>
      <c r="J188" s="25">
        <v>2.3E-2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0.73399999999999999</v>
      </c>
      <c r="E189" s="91">
        <v>2.8000000000000001E-2</v>
      </c>
      <c r="F189" s="92">
        <v>0.01</v>
      </c>
      <c r="G189" s="317">
        <v>16.55</v>
      </c>
      <c r="H189" s="317">
        <v>0.7</v>
      </c>
      <c r="I189" s="320">
        <v>0.7</v>
      </c>
      <c r="J189" s="25">
        <v>2.3E-2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0.73399999999999999</v>
      </c>
      <c r="E190" s="91">
        <v>2.8000000000000001E-2</v>
      </c>
      <c r="F190" s="92">
        <v>0.01</v>
      </c>
      <c r="G190" s="317">
        <v>27.55</v>
      </c>
      <c r="H190" s="317">
        <v>0.7</v>
      </c>
      <c r="I190" s="320">
        <v>0.7</v>
      </c>
      <c r="J190" s="25">
        <v>2.3E-2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0.73399999999999999</v>
      </c>
      <c r="E191" s="91">
        <v>2.8000000000000001E-2</v>
      </c>
      <c r="F191" s="92">
        <v>0.01</v>
      </c>
      <c r="G191" s="317">
        <v>39.82</v>
      </c>
      <c r="H191" s="317">
        <v>0.7</v>
      </c>
      <c r="I191" s="320">
        <v>0.7</v>
      </c>
      <c r="J191" s="25">
        <v>2.3E-2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0.73399999999999999</v>
      </c>
      <c r="E192" s="91">
        <v>2.8000000000000001E-2</v>
      </c>
      <c r="F192" s="92">
        <v>0.01</v>
      </c>
      <c r="G192" s="317">
        <v>88.63</v>
      </c>
      <c r="H192" s="317">
        <v>0.7</v>
      </c>
      <c r="I192" s="320">
        <v>0.7</v>
      </c>
      <c r="J192" s="25">
        <v>2.3E-2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0.66600000000000004</v>
      </c>
      <c r="E193" s="91">
        <v>2.3E-2</v>
      </c>
      <c r="F193" s="92">
        <v>8.9999999999999993E-3</v>
      </c>
      <c r="G193" s="317">
        <v>20.170000000000002</v>
      </c>
      <c r="H193" s="317">
        <v>0.7</v>
      </c>
      <c r="I193" s="320">
        <v>0.7</v>
      </c>
      <c r="J193" s="25">
        <v>2.1000000000000001E-2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0.66600000000000004</v>
      </c>
      <c r="E194" s="91">
        <v>2.3E-2</v>
      </c>
      <c r="F194" s="92">
        <v>8.9999999999999993E-3</v>
      </c>
      <c r="G194" s="317">
        <v>143.94</v>
      </c>
      <c r="H194" s="317">
        <v>0.7</v>
      </c>
      <c r="I194" s="320">
        <v>0.7</v>
      </c>
      <c r="J194" s="25">
        <v>2.1000000000000001E-2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0.66600000000000004</v>
      </c>
      <c r="E195" s="91">
        <v>2.3E-2</v>
      </c>
      <c r="F195" s="92">
        <v>8.9999999999999993E-3</v>
      </c>
      <c r="G195" s="317">
        <v>334.39</v>
      </c>
      <c r="H195" s="317">
        <v>0.7</v>
      </c>
      <c r="I195" s="320">
        <v>0.7</v>
      </c>
      <c r="J195" s="25">
        <v>2.1000000000000001E-2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0.66600000000000004</v>
      </c>
      <c r="E196" s="91">
        <v>2.3E-2</v>
      </c>
      <c r="F196" s="92">
        <v>8.9999999999999993E-3</v>
      </c>
      <c r="G196" s="317">
        <v>428.13</v>
      </c>
      <c r="H196" s="317">
        <v>0.7</v>
      </c>
      <c r="I196" s="320">
        <v>0.7</v>
      </c>
      <c r="J196" s="25">
        <v>2.1000000000000001E-2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0.66600000000000004</v>
      </c>
      <c r="E197" s="91">
        <v>2.3E-2</v>
      </c>
      <c r="F197" s="92">
        <v>8.9999999999999993E-3</v>
      </c>
      <c r="G197" s="317">
        <v>1221.48</v>
      </c>
      <c r="H197" s="317">
        <v>0.7</v>
      </c>
      <c r="I197" s="320">
        <v>0.7</v>
      </c>
      <c r="J197" s="25">
        <v>2.1000000000000001E-2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3.4660000000000002</v>
      </c>
      <c r="E198" s="94">
        <v>0.19600000000000001</v>
      </c>
      <c r="F198" s="92">
        <v>0.159</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805</v>
      </c>
      <c r="D199" s="90">
        <v>-1.1930000000000001</v>
      </c>
      <c r="E199" s="91">
        <v>-5.3999999999999999E-2</v>
      </c>
      <c r="F199" s="92">
        <v>-1.9E-2</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-1.0640000000000001</v>
      </c>
      <c r="E200" s="91">
        <v>-4.5999999999999999E-2</v>
      </c>
      <c r="F200" s="92">
        <v>-1.6E-2</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-1.1930000000000001</v>
      </c>
      <c r="E201" s="91">
        <v>-5.3999999999999999E-2</v>
      </c>
      <c r="F201" s="92">
        <v>-1.9E-2</v>
      </c>
      <c r="G201" s="317" t="s">
        <v>797</v>
      </c>
      <c r="H201" s="318" t="s">
        <v>797</v>
      </c>
      <c r="I201" s="319" t="s">
        <v>797</v>
      </c>
      <c r="J201" s="25">
        <v>4.2000000000000003E-2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-1.0640000000000001</v>
      </c>
      <c r="E202" s="91">
        <v>-4.5999999999999999E-2</v>
      </c>
      <c r="F202" s="92">
        <v>-1.6E-2</v>
      </c>
      <c r="G202" s="317" t="s">
        <v>797</v>
      </c>
      <c r="H202" s="318" t="s">
        <v>797</v>
      </c>
      <c r="I202" s="319" t="s">
        <v>797</v>
      </c>
      <c r="J202" s="25">
        <v>3.5000000000000003E-2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-1.196</v>
      </c>
      <c r="E203" s="91">
        <v>-4.4999999999999998E-2</v>
      </c>
      <c r="F203" s="92">
        <v>-1.6E-2</v>
      </c>
      <c r="G203" s="317">
        <v>2.2599999999999998</v>
      </c>
      <c r="H203" s="318" t="s">
        <v>797</v>
      </c>
      <c r="I203" s="319" t="s">
        <v>797</v>
      </c>
      <c r="J203" s="25">
        <v>4.8000000000000001E-2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46" priority="2" operator="equal">
      <formula>0</formula>
    </cfRule>
    <cfRule type="cellIs" dxfId="45" priority="3" operator="lessThan">
      <formula>0</formula>
    </cfRule>
    <cfRule type="cellIs" dxfId="44" priority="4" operator="greaterThan">
      <formula>0</formula>
    </cfRule>
  </conditionalFormatting>
  <conditionalFormatting sqref="K14:R203">
    <cfRule type="expression" dxfId="43" priority="1">
      <formula>$K14&lt;&gt;""</formula>
    </cfRule>
  </conditionalFormatting>
  <hyperlinks>
    <hyperlink ref="A1" location="Overview!A1" display="Back to Overview" xr:uid="{A2016596-B9ED-4092-A7B0-54EE87DD654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C1" s="2"/>
      <c r="D1" s="2"/>
      <c r="H1" s="2"/>
      <c r="I1" s="3"/>
      <c r="J1" s="1"/>
    </row>
    <row r="2" spans="1:17" ht="42" customHeight="1" x14ac:dyDescent="0.2">
      <c r="A2" s="454" t="str">
        <f>Overview!B4&amp;" - Effective from "&amp;TEXT(Overview!$D$4,"d mmmm yyyy")&amp;" - Final LDNO tariffs in WPD South Wales Area (GSP Group_K)"</f>
        <v>Leep Electricity Networks Limited - Effective from 1 April 2027 - Final LDNO tariffs in WPD South Wales Area (GSP Group_K)</v>
      </c>
      <c r="B2" s="454"/>
      <c r="C2" s="454"/>
      <c r="D2" s="454"/>
      <c r="E2" s="454"/>
      <c r="F2" s="454"/>
      <c r="G2" s="454"/>
      <c r="H2" s="454"/>
      <c r="I2" s="454"/>
      <c r="J2" s="454"/>
    </row>
    <row r="3" spans="1:17" ht="8.25" customHeight="1" x14ac:dyDescent="0.2">
      <c r="A3" s="46"/>
      <c r="B3" s="46"/>
      <c r="C3" s="46"/>
      <c r="D3" s="46"/>
      <c r="E3" s="46"/>
      <c r="F3" s="46"/>
      <c r="G3" s="46"/>
      <c r="H3" s="46"/>
      <c r="I3" s="46"/>
      <c r="J3" s="46"/>
      <c r="K3" s="3"/>
    </row>
    <row r="4" spans="1:17" ht="36" customHeight="1" x14ac:dyDescent="0.2">
      <c r="A4" s="384" t="s">
        <v>290</v>
      </c>
      <c r="B4" s="384"/>
      <c r="C4" s="384"/>
      <c r="D4" s="384"/>
      <c r="E4" s="50"/>
      <c r="F4" s="384" t="s">
        <v>289</v>
      </c>
      <c r="G4" s="384"/>
      <c r="H4" s="384"/>
      <c r="I4" s="384"/>
      <c r="J4" s="384"/>
      <c r="K4" s="3"/>
      <c r="L4" s="3"/>
    </row>
    <row r="5" spans="1:17" ht="53.25" customHeight="1" x14ac:dyDescent="0.2">
      <c r="A5" s="39" t="s">
        <v>13</v>
      </c>
      <c r="B5" s="256" t="s">
        <v>281</v>
      </c>
      <c r="C5" s="269" t="s">
        <v>282</v>
      </c>
      <c r="D5" s="41" t="s">
        <v>283</v>
      </c>
      <c r="E5" s="45"/>
      <c r="F5" s="381"/>
      <c r="G5" s="382"/>
      <c r="H5" s="43" t="s">
        <v>287</v>
      </c>
      <c r="I5" s="44" t="s">
        <v>288</v>
      </c>
      <c r="J5" s="41" t="s">
        <v>283</v>
      </c>
      <c r="K5" s="45"/>
      <c r="L5" s="3"/>
      <c r="M5" s="3"/>
    </row>
    <row r="6" spans="1:17" ht="36.75" customHeight="1" x14ac:dyDescent="0.2">
      <c r="A6" s="267" t="str">
        <f>'Annex 1 LV and HV charges_K'!A6</f>
        <v>Monday to Friday 
(Including Bank Holidays)
All Year</v>
      </c>
      <c r="B6" s="105" t="str">
        <f>'Annex 1 LV and HV charges_K'!B6</f>
        <v>17:00 to 19:30</v>
      </c>
      <c r="C6" s="262" t="str">
        <f>'Annex 1 LV and HV charges_K'!C6</f>
        <v>07:30 to 17:00
19:30 to 22:00</v>
      </c>
      <c r="D6" s="106" t="str">
        <f>'Annex 1 LV and HV charges_K'!E6</f>
        <v>00:00 to 07:30
22:00 to 24:00</v>
      </c>
      <c r="E6" s="45"/>
      <c r="F6" s="429" t="str">
        <f>'Annex 1 LV and HV charges_K'!G6</f>
        <v>Monday to Friday 
(Including Bank Holidays)
Nov to Feb Inclusive (excluding 22nd Dec to 4th Jan inclusive)</v>
      </c>
      <c r="G6" s="429">
        <f>'Annex 1 LV and HV charges_K'!H6</f>
        <v>0</v>
      </c>
      <c r="H6" s="105" t="str">
        <f>'Annex 1 LV and HV charges_K'!I6</f>
        <v>17:00 to 19:30</v>
      </c>
      <c r="I6" s="107" t="str">
        <f>'Annex 1 LV and HV charges_K'!J6</f>
        <v>07:30 to 17:00
19:30 to 22:00</v>
      </c>
      <c r="J6" s="107" t="str">
        <f>'Annex 1 LV and HV charges_K'!K6</f>
        <v>00:00 to 07:30
22:00 to 24:00</v>
      </c>
      <c r="K6" s="45"/>
      <c r="L6" s="3"/>
      <c r="M6" s="3"/>
    </row>
    <row r="7" spans="1:17" ht="49.5" customHeight="1" x14ac:dyDescent="0.2">
      <c r="A7" s="267" t="str">
        <f>'Annex 1 LV and HV charges_K'!A7</f>
        <v>Saturday and Sunday
All Year</v>
      </c>
      <c r="B7" s="108" t="str">
        <f>'Annex 1 LV and HV charges_K'!B7</f>
        <v/>
      </c>
      <c r="C7" s="262" t="str">
        <f>'Annex 1 LV and HV charges_K'!C7</f>
        <v>12:00 to 13:00
16:00 to 21:00</v>
      </c>
      <c r="D7" s="107" t="str">
        <f>'Annex 1 LV and HV charges_K'!E7</f>
        <v>00:00 to 12:00
13:00 to 16:00 
21:00 to 24:00</v>
      </c>
      <c r="E7" s="45"/>
      <c r="F7" s="429" t="str">
        <f>'Annex 1 LV and HV charges_K'!G7</f>
        <v>Monday to Friday 
(Including Bank Holidays)
Mar to Oct Inclusive (plus 22nd Dec to 4th Jan inclusive)</v>
      </c>
      <c r="G7" s="429">
        <f>'Annex 1 LV and HV charges_K'!H7</f>
        <v>0</v>
      </c>
      <c r="H7" s="108" t="str">
        <f>'Annex 1 LV and HV charges_K'!I7</f>
        <v/>
      </c>
      <c r="I7" s="107" t="str">
        <f>'Annex 1 LV and HV charges_K'!J7</f>
        <v>07:30 to 22:00</v>
      </c>
      <c r="J7" s="107" t="str">
        <f>'Annex 1 LV and HV charges_K'!K7</f>
        <v>00:00 to 07:30
22:00 to 24:00</v>
      </c>
      <c r="K7" s="45"/>
      <c r="L7" s="3"/>
      <c r="M7" s="3"/>
    </row>
    <row r="8" spans="1:17" ht="51.75" customHeight="1" x14ac:dyDescent="0.2">
      <c r="A8" s="253" t="str">
        <f>'Annex 1 LV and HV charges_K'!A8</f>
        <v>Notes</v>
      </c>
      <c r="B8" s="375" t="str">
        <f>'Annex 1 LV and HV charges_K'!B8</f>
        <v>All the above times are in UK Clock time</v>
      </c>
      <c r="C8" s="375">
        <f>'Annex 1 LV and HV charges_K'!C8</f>
        <v>0</v>
      </c>
      <c r="D8" s="375">
        <f>'Annex 1 LV and HV charges_K'!D8</f>
        <v>0</v>
      </c>
      <c r="E8" s="45"/>
      <c r="F8" s="429" t="str">
        <f>'Annex 1 LV and HV charges_K'!G8</f>
        <v>Saturday and Sunday
All year</v>
      </c>
      <c r="G8" s="429">
        <f>'Annex 1 LV and HV charges_K'!H8</f>
        <v>0</v>
      </c>
      <c r="H8" s="108" t="str">
        <f>'Annex 1 LV and HV charges_K'!I8</f>
        <v/>
      </c>
      <c r="I8" s="107" t="str">
        <f>'Annex 1 LV and HV charges_K'!J8</f>
        <v>12:00 to 13:00
16:00 to 21:00</v>
      </c>
      <c r="J8" s="107" t="str">
        <f>'Annex 1 LV and HV charges_K'!K8</f>
        <v>00:00 to 12:00
13:00 to 16:00
21:00 to 24:00</v>
      </c>
      <c r="K8" s="45"/>
      <c r="L8" s="3"/>
      <c r="M8" s="3"/>
    </row>
    <row r="9" spans="1:17" s="40" customFormat="1" ht="22.5" customHeight="1" x14ac:dyDescent="0.2">
      <c r="A9" s="184"/>
      <c r="B9" s="255"/>
      <c r="C9" s="185"/>
      <c r="D9" s="255"/>
      <c r="E9" s="47"/>
      <c r="F9" s="413" t="str">
        <f>'Annex 1 LV and HV charges_K'!G9</f>
        <v>Notes</v>
      </c>
      <c r="G9" s="413">
        <f>'Annex 1 LV and HV charges_K'!H9</f>
        <v>0</v>
      </c>
      <c r="H9" s="391" t="str">
        <f>'Annex 1 LV and HV charges_K'!I9</f>
        <v>All the above times are in UK Clock time</v>
      </c>
      <c r="I9" s="392">
        <f>'Annex 1 LV and HV charges_K'!J9</f>
        <v>0</v>
      </c>
      <c r="J9" s="393">
        <f>'Annex 1 LV and HV charges_K'!K9</f>
        <v>0</v>
      </c>
      <c r="K9" s="45"/>
      <c r="L9" s="30"/>
      <c r="M9" s="30"/>
    </row>
    <row r="10" spans="1:17" s="40" customFormat="1" ht="18" x14ac:dyDescent="0.2">
      <c r="A10" s="118"/>
      <c r="B10" s="481"/>
      <c r="C10" s="482"/>
      <c r="D10" s="483"/>
      <c r="E10" s="186"/>
      <c r="F10" s="491"/>
      <c r="G10" s="492"/>
      <c r="H10" s="187"/>
      <c r="I10" s="255"/>
      <c r="J10" s="255"/>
      <c r="K10" s="45"/>
      <c r="L10" s="30"/>
      <c r="M10" s="30"/>
    </row>
    <row r="11" spans="1:17" s="40" customFormat="1" ht="18" x14ac:dyDescent="0.2">
      <c r="A11" s="45"/>
      <c r="B11" s="45"/>
      <c r="C11" s="45"/>
      <c r="D11" s="45"/>
      <c r="E11" s="45"/>
      <c r="F11" s="488"/>
      <c r="G11" s="489"/>
      <c r="H11" s="490"/>
      <c r="I11" s="412"/>
      <c r="J11" s="412"/>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802</v>
      </c>
      <c r="D14" s="90">
        <v>12.164999999999999</v>
      </c>
      <c r="E14" s="91">
        <v>1.1220000000000001</v>
      </c>
      <c r="F14" s="92">
        <v>0.218</v>
      </c>
      <c r="G14" s="317">
        <v>10.3</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2031</v>
      </c>
      <c r="D15" s="90">
        <v>12.164999999999999</v>
      </c>
      <c r="E15" s="91">
        <v>1.1220000000000001</v>
      </c>
      <c r="F15" s="92">
        <v>0.218</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803</v>
      </c>
      <c r="D16" s="90">
        <v>12.590999999999999</v>
      </c>
      <c r="E16" s="91">
        <v>1.1619999999999999</v>
      </c>
      <c r="F16" s="92">
        <v>0.22600000000000001</v>
      </c>
      <c r="G16" s="317">
        <v>10.37</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803</v>
      </c>
      <c r="D17" s="90">
        <v>12.590999999999999</v>
      </c>
      <c r="E17" s="91">
        <v>1.1619999999999999</v>
      </c>
      <c r="F17" s="92">
        <v>0.22600000000000001</v>
      </c>
      <c r="G17" s="317">
        <v>14.27</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803</v>
      </c>
      <c r="D18" s="90">
        <v>12.590999999999999</v>
      </c>
      <c r="E18" s="91">
        <v>1.1619999999999999</v>
      </c>
      <c r="F18" s="92">
        <v>0.22600000000000001</v>
      </c>
      <c r="G18" s="317">
        <v>21.17</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803</v>
      </c>
      <c r="D19" s="90">
        <v>12.590999999999999</v>
      </c>
      <c r="E19" s="91">
        <v>1.1619999999999999</v>
      </c>
      <c r="F19" s="92">
        <v>0.22600000000000001</v>
      </c>
      <c r="G19" s="317">
        <v>33.1</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803</v>
      </c>
      <c r="D20" s="90">
        <v>12.590999999999999</v>
      </c>
      <c r="E20" s="91">
        <v>1.1619999999999999</v>
      </c>
      <c r="F20" s="92">
        <v>0.22600000000000001</v>
      </c>
      <c r="G20" s="317">
        <v>68.989999999999995</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2032</v>
      </c>
      <c r="D21" s="90">
        <v>12.590999999999999</v>
      </c>
      <c r="E21" s="91">
        <v>1.1619999999999999</v>
      </c>
      <c r="F21" s="92">
        <v>0.22600000000000001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8.093</v>
      </c>
      <c r="E22" s="91">
        <v>0.70499999999999996</v>
      </c>
      <c r="F22" s="92">
        <v>0.14699999999999999</v>
      </c>
      <c r="G22" s="317">
        <v>11.82</v>
      </c>
      <c r="H22" s="317">
        <v>7.02</v>
      </c>
      <c r="I22" s="320">
        <v>7.02</v>
      </c>
      <c r="J22" s="25">
        <v>0.19600000000000001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8.093</v>
      </c>
      <c r="E23" s="91">
        <v>0.70499999999999996</v>
      </c>
      <c r="F23" s="92">
        <v>0.14699999999999999</v>
      </c>
      <c r="G23" s="317">
        <v>113.44</v>
      </c>
      <c r="H23" s="317">
        <v>7.02</v>
      </c>
      <c r="I23" s="320">
        <v>7.02</v>
      </c>
      <c r="J23" s="25">
        <v>0.19600000000000001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8.093</v>
      </c>
      <c r="E24" s="91">
        <v>0.70499999999999996</v>
      </c>
      <c r="F24" s="92">
        <v>0.14699999999999999</v>
      </c>
      <c r="G24" s="317">
        <v>207.45</v>
      </c>
      <c r="H24" s="317">
        <v>7.02</v>
      </c>
      <c r="I24" s="320">
        <v>7.02</v>
      </c>
      <c r="J24" s="25">
        <v>0.19600000000000001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8.093</v>
      </c>
      <c r="E25" s="91">
        <v>0.70499999999999996</v>
      </c>
      <c r="F25" s="92">
        <v>0.14699999999999999</v>
      </c>
      <c r="G25" s="317">
        <v>342.01</v>
      </c>
      <c r="H25" s="317">
        <v>7.02</v>
      </c>
      <c r="I25" s="320">
        <v>7.02</v>
      </c>
      <c r="J25" s="25">
        <v>0.19600000000000001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8.093</v>
      </c>
      <c r="E26" s="91">
        <v>0.70499999999999996</v>
      </c>
      <c r="F26" s="92">
        <v>0.14699999999999999</v>
      </c>
      <c r="G26" s="317">
        <v>788.77</v>
      </c>
      <c r="H26" s="317">
        <v>7.02</v>
      </c>
      <c r="I26" s="320">
        <v>7.02</v>
      </c>
      <c r="J26" s="25">
        <v>0.19600000000000001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804</v>
      </c>
      <c r="D27" s="93">
        <v>39.786999999999999</v>
      </c>
      <c r="E27" s="94">
        <v>2.427</v>
      </c>
      <c r="F27" s="92">
        <v>1.49</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-12.614000000000001</v>
      </c>
      <c r="E28" s="91">
        <v>-1.1639999999999999</v>
      </c>
      <c r="F28" s="92">
        <v>-0.22600000000000001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-12.614000000000001</v>
      </c>
      <c r="E29" s="91">
        <v>-1.1639999999999999</v>
      </c>
      <c r="F29" s="92">
        <v>-0.22600000000000001</v>
      </c>
      <c r="G29" s="317" t="s">
        <v>797</v>
      </c>
      <c r="H29" s="318" t="s">
        <v>797</v>
      </c>
      <c r="I29" s="319" t="s">
        <v>797</v>
      </c>
      <c r="J29" s="25">
        <v>0.376</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802</v>
      </c>
      <c r="D30" s="90">
        <v>7.468</v>
      </c>
      <c r="E30" s="91">
        <v>0.68899999999999995</v>
      </c>
      <c r="F30" s="92">
        <v>0.13400000000000001</v>
      </c>
      <c r="G30" s="317">
        <v>6.32</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2031</v>
      </c>
      <c r="D31" s="90">
        <v>7.468</v>
      </c>
      <c r="E31" s="91">
        <v>0.68899999999999995</v>
      </c>
      <c r="F31" s="92">
        <v>0.13400000000000001</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803</v>
      </c>
      <c r="D32" s="90">
        <v>7.7290000000000001</v>
      </c>
      <c r="E32" s="91">
        <v>0.71299999999999997</v>
      </c>
      <c r="F32" s="92">
        <v>0.13900000000000001</v>
      </c>
      <c r="G32" s="317">
        <v>6.37</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803</v>
      </c>
      <c r="D33" s="90">
        <v>7.7290000000000001</v>
      </c>
      <c r="E33" s="91">
        <v>0.71299999999999997</v>
      </c>
      <c r="F33" s="92">
        <v>0.13900000000000001</v>
      </c>
      <c r="G33" s="317">
        <v>8.76</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803</v>
      </c>
      <c r="D34" s="90">
        <v>7.7290000000000001</v>
      </c>
      <c r="E34" s="91">
        <v>0.71299999999999997</v>
      </c>
      <c r="F34" s="92">
        <v>0.13900000000000001</v>
      </c>
      <c r="G34" s="317">
        <v>13</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803</v>
      </c>
      <c r="D35" s="90">
        <v>7.7290000000000001</v>
      </c>
      <c r="E35" s="91">
        <v>0.71299999999999997</v>
      </c>
      <c r="F35" s="92">
        <v>0.13900000000000001</v>
      </c>
      <c r="G35" s="317">
        <v>20.32</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803</v>
      </c>
      <c r="D36" s="90">
        <v>7.7290000000000001</v>
      </c>
      <c r="E36" s="91">
        <v>0.71299999999999997</v>
      </c>
      <c r="F36" s="92">
        <v>0.13900000000000001</v>
      </c>
      <c r="G36" s="317">
        <v>42.35</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2032</v>
      </c>
      <c r="D37" s="90">
        <v>7.7290000000000001</v>
      </c>
      <c r="E37" s="91">
        <v>0.71299999999999997</v>
      </c>
      <c r="F37" s="92">
        <v>0.13900000000000001</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4.968</v>
      </c>
      <c r="E38" s="91">
        <v>0.433</v>
      </c>
      <c r="F38" s="92">
        <v>9.0999999999999998E-2</v>
      </c>
      <c r="G38" s="317">
        <v>7.25</v>
      </c>
      <c r="H38" s="317">
        <v>4.3099999999999996</v>
      </c>
      <c r="I38" s="320">
        <v>4.3099999999999996</v>
      </c>
      <c r="J38" s="25">
        <v>0.12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4.968</v>
      </c>
      <c r="E39" s="91">
        <v>0.433</v>
      </c>
      <c r="F39" s="92">
        <v>9.0999999999999998E-2</v>
      </c>
      <c r="G39" s="317">
        <v>69.64</v>
      </c>
      <c r="H39" s="317">
        <v>4.3099999999999996</v>
      </c>
      <c r="I39" s="320">
        <v>4.3099999999999996</v>
      </c>
      <c r="J39" s="25">
        <v>0.12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4.968</v>
      </c>
      <c r="E40" s="91">
        <v>0.433</v>
      </c>
      <c r="F40" s="92">
        <v>9.0999999999999998E-2</v>
      </c>
      <c r="G40" s="317">
        <v>127.34</v>
      </c>
      <c r="H40" s="317">
        <v>4.3099999999999996</v>
      </c>
      <c r="I40" s="320">
        <v>4.3099999999999996</v>
      </c>
      <c r="J40" s="25">
        <v>0.12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4.968</v>
      </c>
      <c r="E41" s="91">
        <v>0.433</v>
      </c>
      <c r="F41" s="92">
        <v>9.0999999999999998E-2</v>
      </c>
      <c r="G41" s="317">
        <v>209.95</v>
      </c>
      <c r="H41" s="317">
        <v>4.3099999999999996</v>
      </c>
      <c r="I41" s="320">
        <v>4.3099999999999996</v>
      </c>
      <c r="J41" s="25">
        <v>0.12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4.968</v>
      </c>
      <c r="E42" s="91">
        <v>0.433</v>
      </c>
      <c r="F42" s="92">
        <v>9.0999999999999998E-2</v>
      </c>
      <c r="G42" s="317">
        <v>484.2</v>
      </c>
      <c r="H42" s="317">
        <v>4.3099999999999996</v>
      </c>
      <c r="I42" s="320">
        <v>4.3099999999999996</v>
      </c>
      <c r="J42" s="25">
        <v>0.12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5.2460000000000004</v>
      </c>
      <c r="E43" s="91">
        <v>0.38500000000000001</v>
      </c>
      <c r="F43" s="92">
        <v>0.1</v>
      </c>
      <c r="G43" s="317">
        <v>9.2100000000000009</v>
      </c>
      <c r="H43" s="317">
        <v>6.58</v>
      </c>
      <c r="I43" s="320">
        <v>6.58</v>
      </c>
      <c r="J43" s="25">
        <v>0.11899999999999999</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5.2460000000000004</v>
      </c>
      <c r="E44" s="91">
        <v>0.38500000000000001</v>
      </c>
      <c r="F44" s="92">
        <v>0.1</v>
      </c>
      <c r="G44" s="317">
        <v>110.74</v>
      </c>
      <c r="H44" s="317">
        <v>6.58</v>
      </c>
      <c r="I44" s="320">
        <v>6.58</v>
      </c>
      <c r="J44" s="25">
        <v>0.11899999999999999</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5.2460000000000004</v>
      </c>
      <c r="E45" s="91">
        <v>0.38500000000000001</v>
      </c>
      <c r="F45" s="92">
        <v>0.1</v>
      </c>
      <c r="G45" s="317">
        <v>204.65</v>
      </c>
      <c r="H45" s="317">
        <v>6.58</v>
      </c>
      <c r="I45" s="320">
        <v>6.58</v>
      </c>
      <c r="J45" s="25">
        <v>0.11899999999999999</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5.2460000000000004</v>
      </c>
      <c r="E46" s="91">
        <v>0.38500000000000001</v>
      </c>
      <c r="F46" s="92">
        <v>0.1</v>
      </c>
      <c r="G46" s="317">
        <v>339.08</v>
      </c>
      <c r="H46" s="317">
        <v>6.58</v>
      </c>
      <c r="I46" s="320">
        <v>6.58</v>
      </c>
      <c r="J46" s="25">
        <v>0.11899999999999999</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5.2460000000000004</v>
      </c>
      <c r="E47" s="91">
        <v>0.38500000000000001</v>
      </c>
      <c r="F47" s="92">
        <v>0.1</v>
      </c>
      <c r="G47" s="317">
        <v>785.4</v>
      </c>
      <c r="H47" s="317">
        <v>6.58</v>
      </c>
      <c r="I47" s="320">
        <v>6.58</v>
      </c>
      <c r="J47" s="25">
        <v>0.11899999999999999</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4.2160000000000002</v>
      </c>
      <c r="E48" s="91">
        <v>0.28199999999999997</v>
      </c>
      <c r="F48" s="92">
        <v>7.9000000000000001E-2</v>
      </c>
      <c r="G48" s="317">
        <v>102.86</v>
      </c>
      <c r="H48" s="317">
        <v>8.23</v>
      </c>
      <c r="I48" s="320">
        <v>8.23</v>
      </c>
      <c r="J48" s="25">
        <v>9.0999999999999998E-2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4.2160000000000002</v>
      </c>
      <c r="E49" s="91">
        <v>0.28199999999999997</v>
      </c>
      <c r="F49" s="92">
        <v>7.9000000000000001E-2</v>
      </c>
      <c r="G49" s="317">
        <v>973.36</v>
      </c>
      <c r="H49" s="317">
        <v>8.23</v>
      </c>
      <c r="I49" s="320">
        <v>8.23</v>
      </c>
      <c r="J49" s="25">
        <v>9.0999999999999998E-2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4.2160000000000002</v>
      </c>
      <c r="E50" s="91">
        <v>0.28199999999999997</v>
      </c>
      <c r="F50" s="92">
        <v>7.9000000000000001E-2</v>
      </c>
      <c r="G50" s="317">
        <v>2371.02</v>
      </c>
      <c r="H50" s="317">
        <v>8.23</v>
      </c>
      <c r="I50" s="320">
        <v>8.23</v>
      </c>
      <c r="J50" s="25">
        <v>9.0999999999999998E-2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4.2160000000000002</v>
      </c>
      <c r="E51" s="91">
        <v>0.28199999999999997</v>
      </c>
      <c r="F51" s="92">
        <v>7.9000000000000001E-2</v>
      </c>
      <c r="G51" s="317">
        <v>4344.8999999999996</v>
      </c>
      <c r="H51" s="317">
        <v>8.23</v>
      </c>
      <c r="I51" s="320">
        <v>8.23</v>
      </c>
      <c r="J51" s="25">
        <v>9.0999999999999998E-2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4.2160000000000002</v>
      </c>
      <c r="E52" s="91">
        <v>0.28199999999999997</v>
      </c>
      <c r="F52" s="92">
        <v>7.9000000000000001E-2</v>
      </c>
      <c r="G52" s="317">
        <v>10035.52</v>
      </c>
      <c r="H52" s="317">
        <v>8.23</v>
      </c>
      <c r="I52" s="320">
        <v>8.23</v>
      </c>
      <c r="J52" s="25">
        <v>9.0999999999999998E-2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804</v>
      </c>
      <c r="D53" s="93">
        <v>24.423999999999999</v>
      </c>
      <c r="E53" s="94">
        <v>1.49</v>
      </c>
      <c r="F53" s="92">
        <v>0.91400000000000003</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-12.614000000000001</v>
      </c>
      <c r="E54" s="91">
        <v>-1.1639999999999999</v>
      </c>
      <c r="F54" s="92">
        <v>-0.22600000000000001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-10.955</v>
      </c>
      <c r="E55" s="91">
        <v>-0.97799999999999998</v>
      </c>
      <c r="F55" s="92">
        <v>-0.19800000000000001</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-12.614000000000001</v>
      </c>
      <c r="E56" s="91">
        <v>-1.1639999999999999</v>
      </c>
      <c r="F56" s="92">
        <v>-0.22600000000000001</v>
      </c>
      <c r="G56" s="317" t="s">
        <v>797</v>
      </c>
      <c r="H56" s="318" t="s">
        <v>797</v>
      </c>
      <c r="I56" s="319" t="s">
        <v>797</v>
      </c>
      <c r="J56" s="25">
        <v>0.376</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-10.955</v>
      </c>
      <c r="E57" s="91">
        <v>-0.97799999999999998</v>
      </c>
      <c r="F57" s="92">
        <v>-0.19800000000000001</v>
      </c>
      <c r="G57" s="317" t="s">
        <v>797</v>
      </c>
      <c r="H57" s="318" t="s">
        <v>797</v>
      </c>
      <c r="I57" s="319" t="s">
        <v>797</v>
      </c>
      <c r="J57" s="25">
        <v>0.28100000000000003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-6.5359999999999996</v>
      </c>
      <c r="E58" s="91">
        <v>-0.47899999999999998</v>
      </c>
      <c r="F58" s="92">
        <v>-0.124</v>
      </c>
      <c r="G58" s="317" t="s">
        <v>797</v>
      </c>
      <c r="H58" s="318" t="s">
        <v>797</v>
      </c>
      <c r="I58" s="319" t="s">
        <v>797</v>
      </c>
      <c r="J58" s="25">
        <v>0.23899999999999999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802</v>
      </c>
      <c r="D59" s="90">
        <v>4.6980000000000004</v>
      </c>
      <c r="E59" s="91">
        <v>0.433</v>
      </c>
      <c r="F59" s="92">
        <v>8.4000000000000005E-2</v>
      </c>
      <c r="G59" s="317">
        <v>3.98</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2031</v>
      </c>
      <c r="D60" s="90">
        <v>4.6980000000000004</v>
      </c>
      <c r="E60" s="91">
        <v>0.433</v>
      </c>
      <c r="F60" s="92">
        <v>8.4000000000000005E-2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803</v>
      </c>
      <c r="D61" s="90">
        <v>4.8620000000000001</v>
      </c>
      <c r="E61" s="91">
        <v>0.44900000000000001</v>
      </c>
      <c r="F61" s="92">
        <v>8.6999999999999994E-2</v>
      </c>
      <c r="G61" s="317">
        <v>4.01</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803</v>
      </c>
      <c r="D62" s="90">
        <v>4.8620000000000001</v>
      </c>
      <c r="E62" s="91">
        <v>0.44900000000000001</v>
      </c>
      <c r="F62" s="92">
        <v>8.6999999999999994E-2</v>
      </c>
      <c r="G62" s="317">
        <v>5.51</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803</v>
      </c>
      <c r="D63" s="90">
        <v>4.8620000000000001</v>
      </c>
      <c r="E63" s="91">
        <v>0.44900000000000001</v>
      </c>
      <c r="F63" s="92">
        <v>8.6999999999999994E-2</v>
      </c>
      <c r="G63" s="317">
        <v>8.18</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803</v>
      </c>
      <c r="D64" s="90">
        <v>4.8620000000000001</v>
      </c>
      <c r="E64" s="91">
        <v>0.44900000000000001</v>
      </c>
      <c r="F64" s="92">
        <v>8.6999999999999994E-2</v>
      </c>
      <c r="G64" s="317">
        <v>12.78</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803</v>
      </c>
      <c r="D65" s="90">
        <v>4.8620000000000001</v>
      </c>
      <c r="E65" s="91">
        <v>0.44900000000000001</v>
      </c>
      <c r="F65" s="92">
        <v>8.6999999999999994E-2</v>
      </c>
      <c r="G65" s="317">
        <v>26.64</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2032</v>
      </c>
      <c r="D66" s="90">
        <v>4.8620000000000001</v>
      </c>
      <c r="E66" s="91">
        <v>0.44900000000000001</v>
      </c>
      <c r="F66" s="92">
        <v>8.6999999999999994E-2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3.125</v>
      </c>
      <c r="E67" s="91">
        <v>0.27200000000000002</v>
      </c>
      <c r="F67" s="92">
        <v>5.7000000000000002E-2</v>
      </c>
      <c r="G67" s="317">
        <v>4.5599999999999996</v>
      </c>
      <c r="H67" s="317">
        <v>2.71</v>
      </c>
      <c r="I67" s="320">
        <v>2.71</v>
      </c>
      <c r="J67" s="25">
        <v>7.5999999999999998E-2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3.125</v>
      </c>
      <c r="E68" s="91">
        <v>0.27200000000000002</v>
      </c>
      <c r="F68" s="92">
        <v>5.7000000000000002E-2</v>
      </c>
      <c r="G68" s="317">
        <v>43.81</v>
      </c>
      <c r="H68" s="317">
        <v>2.71</v>
      </c>
      <c r="I68" s="320">
        <v>2.71</v>
      </c>
      <c r="J68" s="25">
        <v>7.5999999999999998E-2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3.125</v>
      </c>
      <c r="E69" s="91">
        <v>0.27200000000000002</v>
      </c>
      <c r="F69" s="92">
        <v>5.7000000000000002E-2</v>
      </c>
      <c r="G69" s="317">
        <v>80.11</v>
      </c>
      <c r="H69" s="317">
        <v>2.71</v>
      </c>
      <c r="I69" s="320">
        <v>2.71</v>
      </c>
      <c r="J69" s="25">
        <v>7.5999999999999998E-2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3.125</v>
      </c>
      <c r="E70" s="91">
        <v>0.27200000000000002</v>
      </c>
      <c r="F70" s="92">
        <v>5.7000000000000002E-2</v>
      </c>
      <c r="G70" s="317">
        <v>132.07</v>
      </c>
      <c r="H70" s="317">
        <v>2.71</v>
      </c>
      <c r="I70" s="320">
        <v>2.71</v>
      </c>
      <c r="J70" s="25">
        <v>7.5999999999999998E-2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3.125</v>
      </c>
      <c r="E71" s="91">
        <v>0.27200000000000002</v>
      </c>
      <c r="F71" s="92">
        <v>5.7000000000000002E-2</v>
      </c>
      <c r="G71" s="317">
        <v>304.60000000000002</v>
      </c>
      <c r="H71" s="317">
        <v>2.71</v>
      </c>
      <c r="I71" s="320">
        <v>2.71</v>
      </c>
      <c r="J71" s="25">
        <v>7.5999999999999998E-2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3.2149999999999999</v>
      </c>
      <c r="E72" s="91">
        <v>0.23599999999999999</v>
      </c>
      <c r="F72" s="92">
        <v>6.0999999999999999E-2</v>
      </c>
      <c r="G72" s="317">
        <v>5.65</v>
      </c>
      <c r="H72" s="317">
        <v>4.03</v>
      </c>
      <c r="I72" s="320">
        <v>4.03</v>
      </c>
      <c r="J72" s="25">
        <v>7.2999999999999995E-2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3.2149999999999999</v>
      </c>
      <c r="E73" s="91">
        <v>0.23599999999999999</v>
      </c>
      <c r="F73" s="92">
        <v>6.0999999999999999E-2</v>
      </c>
      <c r="G73" s="317">
        <v>67.87</v>
      </c>
      <c r="H73" s="317">
        <v>4.03</v>
      </c>
      <c r="I73" s="320">
        <v>4.03</v>
      </c>
      <c r="J73" s="25">
        <v>7.2999999999999995E-2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3.2149999999999999</v>
      </c>
      <c r="E74" s="91">
        <v>0.23599999999999999</v>
      </c>
      <c r="F74" s="92">
        <v>6.0999999999999999E-2</v>
      </c>
      <c r="G74" s="317">
        <v>125.43</v>
      </c>
      <c r="H74" s="317">
        <v>4.03</v>
      </c>
      <c r="I74" s="320">
        <v>4.03</v>
      </c>
      <c r="J74" s="25">
        <v>7.2999999999999995E-2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3.2149999999999999</v>
      </c>
      <c r="E75" s="91">
        <v>0.23599999999999999</v>
      </c>
      <c r="F75" s="92">
        <v>6.0999999999999999E-2</v>
      </c>
      <c r="G75" s="317">
        <v>207.81</v>
      </c>
      <c r="H75" s="317">
        <v>4.03</v>
      </c>
      <c r="I75" s="320">
        <v>4.03</v>
      </c>
      <c r="J75" s="25">
        <v>7.2999999999999995E-2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3.2149999999999999</v>
      </c>
      <c r="E76" s="91">
        <v>0.23599999999999999</v>
      </c>
      <c r="F76" s="92">
        <v>6.0999999999999999E-2</v>
      </c>
      <c r="G76" s="317">
        <v>481.35</v>
      </c>
      <c r="H76" s="317">
        <v>4.03</v>
      </c>
      <c r="I76" s="320">
        <v>4.03</v>
      </c>
      <c r="J76" s="25">
        <v>7.2999999999999995E-2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2.536</v>
      </c>
      <c r="E77" s="91">
        <v>0.17</v>
      </c>
      <c r="F77" s="92">
        <v>4.8000000000000001E-2</v>
      </c>
      <c r="G77" s="317">
        <v>61.86</v>
      </c>
      <c r="H77" s="317">
        <v>4.95</v>
      </c>
      <c r="I77" s="320">
        <v>4.95</v>
      </c>
      <c r="J77" s="25">
        <v>5.5E-2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2.536</v>
      </c>
      <c r="E78" s="91">
        <v>0.17</v>
      </c>
      <c r="F78" s="92">
        <v>4.8000000000000001E-2</v>
      </c>
      <c r="G78" s="317">
        <v>585.39</v>
      </c>
      <c r="H78" s="317">
        <v>4.95</v>
      </c>
      <c r="I78" s="320">
        <v>4.95</v>
      </c>
      <c r="J78" s="25">
        <v>5.5E-2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2.536</v>
      </c>
      <c r="E79" s="91">
        <v>0.17</v>
      </c>
      <c r="F79" s="92">
        <v>4.8000000000000001E-2</v>
      </c>
      <c r="G79" s="317">
        <v>1425.95</v>
      </c>
      <c r="H79" s="317">
        <v>4.95</v>
      </c>
      <c r="I79" s="320">
        <v>4.95</v>
      </c>
      <c r="J79" s="25">
        <v>5.5E-2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2.536</v>
      </c>
      <c r="E80" s="91">
        <v>0.17</v>
      </c>
      <c r="F80" s="92">
        <v>4.8000000000000001E-2</v>
      </c>
      <c r="G80" s="317">
        <v>2613.06</v>
      </c>
      <c r="H80" s="317">
        <v>4.95</v>
      </c>
      <c r="I80" s="320">
        <v>4.95</v>
      </c>
      <c r="J80" s="25">
        <v>5.5E-2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2.536</v>
      </c>
      <c r="E81" s="91">
        <v>0.17</v>
      </c>
      <c r="F81" s="92">
        <v>4.8000000000000001E-2</v>
      </c>
      <c r="G81" s="317">
        <v>6035.45</v>
      </c>
      <c r="H81" s="317">
        <v>4.95</v>
      </c>
      <c r="I81" s="320">
        <v>4.95</v>
      </c>
      <c r="J81" s="25">
        <v>5.5E-2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804</v>
      </c>
      <c r="D82" s="93">
        <v>15.364000000000001</v>
      </c>
      <c r="E82" s="94">
        <v>0.93700000000000006</v>
      </c>
      <c r="F82" s="92">
        <v>0.57499999999999996</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-4.9000000000000004</v>
      </c>
      <c r="E83" s="91">
        <v>-0.45200000000000001</v>
      </c>
      <c r="F83" s="92">
        <v>-8.7999999999999995E-2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-5.05</v>
      </c>
      <c r="E84" s="91">
        <v>-0.45100000000000001</v>
      </c>
      <c r="F84" s="92">
        <v>-9.0999999999999998E-2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-4.9000000000000004</v>
      </c>
      <c r="E85" s="91">
        <v>-0.45200000000000001</v>
      </c>
      <c r="F85" s="92">
        <v>-8.7999999999999995E-2</v>
      </c>
      <c r="G85" s="317" t="s">
        <v>797</v>
      </c>
      <c r="H85" s="318" t="s">
        <v>797</v>
      </c>
      <c r="I85" s="319" t="s">
        <v>797</v>
      </c>
      <c r="J85" s="25">
        <v>0.14599999999999999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-5.05</v>
      </c>
      <c r="E86" s="91">
        <v>-0.45100000000000001</v>
      </c>
      <c r="F86" s="92">
        <v>-9.0999999999999998E-2</v>
      </c>
      <c r="G86" s="317" t="s">
        <v>797</v>
      </c>
      <c r="H86" s="318" t="s">
        <v>797</v>
      </c>
      <c r="I86" s="319" t="s">
        <v>797</v>
      </c>
      <c r="J86" s="25">
        <v>0.129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-6.5359999999999996</v>
      </c>
      <c r="E87" s="91">
        <v>-0.47899999999999998</v>
      </c>
      <c r="F87" s="92">
        <v>-0.124</v>
      </c>
      <c r="G87" s="317">
        <v>83.99</v>
      </c>
      <c r="H87" s="318" t="s">
        <v>797</v>
      </c>
      <c r="I87" s="319" t="s">
        <v>797</v>
      </c>
      <c r="J87" s="25">
        <v>0.23899999999999999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802</v>
      </c>
      <c r="D88" s="90">
        <v>3.75</v>
      </c>
      <c r="E88" s="91">
        <v>0.34599999999999997</v>
      </c>
      <c r="F88" s="92">
        <v>6.7000000000000004E-2</v>
      </c>
      <c r="G88" s="317">
        <v>3.17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2031</v>
      </c>
      <c r="D89" s="90">
        <v>3.75</v>
      </c>
      <c r="E89" s="91">
        <v>0.34599999999999997</v>
      </c>
      <c r="F89" s="92">
        <v>6.7000000000000004E-2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803</v>
      </c>
      <c r="D90" s="90">
        <v>3.8809999999999998</v>
      </c>
      <c r="E90" s="91">
        <v>0.35799999999999998</v>
      </c>
      <c r="F90" s="92">
        <v>7.0000000000000007E-2</v>
      </c>
      <c r="G90" s="317">
        <v>3.2</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803</v>
      </c>
      <c r="D91" s="90">
        <v>3.8809999999999998</v>
      </c>
      <c r="E91" s="91">
        <v>0.35799999999999998</v>
      </c>
      <c r="F91" s="92">
        <v>7.0000000000000007E-2</v>
      </c>
      <c r="G91" s="317">
        <v>4.4000000000000004</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803</v>
      </c>
      <c r="D92" s="90">
        <v>3.8809999999999998</v>
      </c>
      <c r="E92" s="91">
        <v>0.35799999999999998</v>
      </c>
      <c r="F92" s="92">
        <v>7.0000000000000007E-2</v>
      </c>
      <c r="G92" s="317">
        <v>6.53</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803</v>
      </c>
      <c r="D93" s="90">
        <v>3.8809999999999998</v>
      </c>
      <c r="E93" s="91">
        <v>0.35799999999999998</v>
      </c>
      <c r="F93" s="92">
        <v>7.0000000000000007E-2</v>
      </c>
      <c r="G93" s="317">
        <v>10.199999999999999</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803</v>
      </c>
      <c r="D94" s="90">
        <v>3.8809999999999998</v>
      </c>
      <c r="E94" s="91">
        <v>0.35799999999999998</v>
      </c>
      <c r="F94" s="92">
        <v>7.0000000000000007E-2</v>
      </c>
      <c r="G94" s="317">
        <v>21.27</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2032</v>
      </c>
      <c r="D95" s="90">
        <v>3.8809999999999998</v>
      </c>
      <c r="E95" s="91">
        <v>0.35799999999999998</v>
      </c>
      <c r="F95" s="92">
        <v>7.0000000000000007E-2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2.4950000000000001</v>
      </c>
      <c r="E96" s="91">
        <v>0.217</v>
      </c>
      <c r="F96" s="92">
        <v>4.4999999999999998E-2</v>
      </c>
      <c r="G96" s="317">
        <v>3.64</v>
      </c>
      <c r="H96" s="317">
        <v>2.16</v>
      </c>
      <c r="I96" s="320">
        <v>2.16</v>
      </c>
      <c r="J96" s="25">
        <v>0.06</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2.4950000000000001</v>
      </c>
      <c r="E97" s="91">
        <v>0.217</v>
      </c>
      <c r="F97" s="92">
        <v>4.4999999999999998E-2</v>
      </c>
      <c r="G97" s="317">
        <v>34.97</v>
      </c>
      <c r="H97" s="317">
        <v>2.16</v>
      </c>
      <c r="I97" s="320">
        <v>2.16</v>
      </c>
      <c r="J97" s="25">
        <v>0.06</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2.4950000000000001</v>
      </c>
      <c r="E98" s="91">
        <v>0.217</v>
      </c>
      <c r="F98" s="92">
        <v>4.4999999999999998E-2</v>
      </c>
      <c r="G98" s="317">
        <v>63.95</v>
      </c>
      <c r="H98" s="317">
        <v>2.16</v>
      </c>
      <c r="I98" s="320">
        <v>2.16</v>
      </c>
      <c r="J98" s="25">
        <v>0.06</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2.4950000000000001</v>
      </c>
      <c r="E99" s="91">
        <v>0.217</v>
      </c>
      <c r="F99" s="92">
        <v>4.4999999999999998E-2</v>
      </c>
      <c r="G99" s="317">
        <v>105.43</v>
      </c>
      <c r="H99" s="317">
        <v>2.16</v>
      </c>
      <c r="I99" s="320">
        <v>2.16</v>
      </c>
      <c r="J99" s="25">
        <v>0.06</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2.4950000000000001</v>
      </c>
      <c r="E100" s="91">
        <v>0.217</v>
      </c>
      <c r="F100" s="92">
        <v>4.4999999999999998E-2</v>
      </c>
      <c r="G100" s="317">
        <v>243.14</v>
      </c>
      <c r="H100" s="317">
        <v>2.16</v>
      </c>
      <c r="I100" s="320">
        <v>2.16</v>
      </c>
      <c r="J100" s="25">
        <v>0.06</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2.5670000000000002</v>
      </c>
      <c r="E101" s="91">
        <v>0.188</v>
      </c>
      <c r="F101" s="92">
        <v>4.9000000000000002E-2</v>
      </c>
      <c r="G101" s="317">
        <v>4.51</v>
      </c>
      <c r="H101" s="317">
        <v>3.22</v>
      </c>
      <c r="I101" s="320">
        <v>3.22</v>
      </c>
      <c r="J101" s="25">
        <v>5.8000000000000003E-2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2.5670000000000002</v>
      </c>
      <c r="E102" s="91">
        <v>0.188</v>
      </c>
      <c r="F102" s="92">
        <v>4.9000000000000002E-2</v>
      </c>
      <c r="G102" s="317">
        <v>54.18</v>
      </c>
      <c r="H102" s="317">
        <v>3.22</v>
      </c>
      <c r="I102" s="320">
        <v>3.22</v>
      </c>
      <c r="J102" s="25">
        <v>5.8000000000000003E-2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2.5670000000000002</v>
      </c>
      <c r="E103" s="91">
        <v>0.188</v>
      </c>
      <c r="F103" s="92">
        <v>4.9000000000000002E-2</v>
      </c>
      <c r="G103" s="317">
        <v>100.12</v>
      </c>
      <c r="H103" s="317">
        <v>3.22</v>
      </c>
      <c r="I103" s="320">
        <v>3.22</v>
      </c>
      <c r="J103" s="25">
        <v>5.8000000000000003E-2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2.5670000000000002</v>
      </c>
      <c r="E104" s="91">
        <v>0.188</v>
      </c>
      <c r="F104" s="92">
        <v>4.9000000000000002E-2</v>
      </c>
      <c r="G104" s="317">
        <v>165.89</v>
      </c>
      <c r="H104" s="317">
        <v>3.22</v>
      </c>
      <c r="I104" s="320">
        <v>3.22</v>
      </c>
      <c r="J104" s="25">
        <v>5.8000000000000003E-2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2.5670000000000002</v>
      </c>
      <c r="E105" s="91">
        <v>0.188</v>
      </c>
      <c r="F105" s="92">
        <v>4.9000000000000002E-2</v>
      </c>
      <c r="G105" s="317">
        <v>384.23</v>
      </c>
      <c r="H105" s="317">
        <v>3.22</v>
      </c>
      <c r="I105" s="320">
        <v>3.22</v>
      </c>
      <c r="J105" s="25">
        <v>5.8000000000000003E-2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2.024</v>
      </c>
      <c r="E106" s="91">
        <v>0.13600000000000001</v>
      </c>
      <c r="F106" s="92">
        <v>3.7999999999999999E-2</v>
      </c>
      <c r="G106" s="317">
        <v>49.38</v>
      </c>
      <c r="H106" s="317">
        <v>3.95</v>
      </c>
      <c r="I106" s="320">
        <v>3.95</v>
      </c>
      <c r="J106" s="25">
        <v>4.3999999999999997E-2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2.024</v>
      </c>
      <c r="E107" s="91">
        <v>0.13600000000000001</v>
      </c>
      <c r="F107" s="92">
        <v>3.7999999999999999E-2</v>
      </c>
      <c r="G107" s="317">
        <v>467.28</v>
      </c>
      <c r="H107" s="317">
        <v>3.95</v>
      </c>
      <c r="I107" s="320">
        <v>3.95</v>
      </c>
      <c r="J107" s="25">
        <v>4.3999999999999997E-2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2.024</v>
      </c>
      <c r="E108" s="91">
        <v>0.13600000000000001</v>
      </c>
      <c r="F108" s="92">
        <v>3.7999999999999999E-2</v>
      </c>
      <c r="G108" s="317">
        <v>1138.25</v>
      </c>
      <c r="H108" s="317">
        <v>3.95</v>
      </c>
      <c r="I108" s="320">
        <v>3.95</v>
      </c>
      <c r="J108" s="25">
        <v>4.3999999999999997E-2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2.024</v>
      </c>
      <c r="E109" s="91">
        <v>0.13600000000000001</v>
      </c>
      <c r="F109" s="92">
        <v>3.7999999999999999E-2</v>
      </c>
      <c r="G109" s="317">
        <v>2085.85</v>
      </c>
      <c r="H109" s="317">
        <v>3.95</v>
      </c>
      <c r="I109" s="320">
        <v>3.95</v>
      </c>
      <c r="J109" s="25">
        <v>4.3999999999999997E-2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2.024</v>
      </c>
      <c r="E110" s="91">
        <v>0.13600000000000001</v>
      </c>
      <c r="F110" s="92">
        <v>3.7999999999999999E-2</v>
      </c>
      <c r="G110" s="317">
        <v>4817.74</v>
      </c>
      <c r="H110" s="317">
        <v>3.95</v>
      </c>
      <c r="I110" s="320">
        <v>3.95</v>
      </c>
      <c r="J110" s="25">
        <v>4.3999999999999997E-2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804</v>
      </c>
      <c r="D111" s="93">
        <v>12.263999999999999</v>
      </c>
      <c r="E111" s="94">
        <v>0.748</v>
      </c>
      <c r="F111" s="92">
        <v>0.45900000000000002</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-3.9119999999999999</v>
      </c>
      <c r="E112" s="91">
        <v>-0.36099999999999999</v>
      </c>
      <c r="F112" s="92">
        <v>-7.0000000000000007E-2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-4.0309999999999997</v>
      </c>
      <c r="E113" s="91">
        <v>-0.36</v>
      </c>
      <c r="F113" s="92">
        <v>-7.2999999999999995E-2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-3.9119999999999999</v>
      </c>
      <c r="E114" s="91">
        <v>-0.36099999999999999</v>
      </c>
      <c r="F114" s="92">
        <v>-7.0000000000000007E-2</v>
      </c>
      <c r="G114" s="317" t="s">
        <v>797</v>
      </c>
      <c r="H114" s="318" t="s">
        <v>797</v>
      </c>
      <c r="I114" s="319" t="s">
        <v>797</v>
      </c>
      <c r="J114" s="25">
        <v>0.11600000000000001</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-4.0309999999999997</v>
      </c>
      <c r="E115" s="91">
        <v>-0.36</v>
      </c>
      <c r="F115" s="92">
        <v>-7.2999999999999995E-2</v>
      </c>
      <c r="G115" s="317" t="s">
        <v>797</v>
      </c>
      <c r="H115" s="318" t="s">
        <v>797</v>
      </c>
      <c r="I115" s="319" t="s">
        <v>797</v>
      </c>
      <c r="J115" s="25">
        <v>0.10299999999999999</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-5.2169999999999996</v>
      </c>
      <c r="E116" s="91">
        <v>-0.38200000000000001</v>
      </c>
      <c r="F116" s="92">
        <v>-9.9000000000000005E-2</v>
      </c>
      <c r="G116" s="317">
        <v>67.040000000000006</v>
      </c>
      <c r="H116" s="318" t="s">
        <v>797</v>
      </c>
      <c r="I116" s="319" t="s">
        <v>797</v>
      </c>
      <c r="J116" s="25">
        <v>0.191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802</v>
      </c>
      <c r="D117" s="90">
        <v>3.145</v>
      </c>
      <c r="E117" s="91">
        <v>0.28999999999999998</v>
      </c>
      <c r="F117" s="92">
        <v>5.6000000000000001E-2</v>
      </c>
      <c r="G117" s="317">
        <v>2.66</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2031</v>
      </c>
      <c r="D118" s="90">
        <v>3.145</v>
      </c>
      <c r="E118" s="91">
        <v>0.28999999999999998</v>
      </c>
      <c r="F118" s="92">
        <v>5.6000000000000001E-2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803</v>
      </c>
      <c r="D119" s="90">
        <v>3.2549999999999999</v>
      </c>
      <c r="E119" s="91">
        <v>0.3</v>
      </c>
      <c r="F119" s="92">
        <v>5.8000000000000003E-2</v>
      </c>
      <c r="G119" s="317">
        <v>2.68</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803</v>
      </c>
      <c r="D120" s="90">
        <v>3.2549999999999999</v>
      </c>
      <c r="E120" s="91">
        <v>0.3</v>
      </c>
      <c r="F120" s="92">
        <v>5.8000000000000003E-2</v>
      </c>
      <c r="G120" s="317">
        <v>3.69</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803</v>
      </c>
      <c r="D121" s="90">
        <v>3.2549999999999999</v>
      </c>
      <c r="E121" s="91">
        <v>0.3</v>
      </c>
      <c r="F121" s="92">
        <v>5.8000000000000003E-2</v>
      </c>
      <c r="G121" s="317">
        <v>5.47</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803</v>
      </c>
      <c r="D122" s="90">
        <v>3.2549999999999999</v>
      </c>
      <c r="E122" s="91">
        <v>0.3</v>
      </c>
      <c r="F122" s="92">
        <v>5.8000000000000003E-2</v>
      </c>
      <c r="G122" s="317">
        <v>8.56</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803</v>
      </c>
      <c r="D123" s="90">
        <v>3.2549999999999999</v>
      </c>
      <c r="E123" s="91">
        <v>0.3</v>
      </c>
      <c r="F123" s="92">
        <v>5.8000000000000003E-2</v>
      </c>
      <c r="G123" s="317">
        <v>17.84</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2032</v>
      </c>
      <c r="D124" s="90">
        <v>3.2549999999999999</v>
      </c>
      <c r="E124" s="91">
        <v>0.3</v>
      </c>
      <c r="F124" s="92">
        <v>5.8000000000000003E-2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2.0920000000000001</v>
      </c>
      <c r="E125" s="91">
        <v>0.182</v>
      </c>
      <c r="F125" s="92">
        <v>3.7999999999999999E-2</v>
      </c>
      <c r="G125" s="317">
        <v>3.05</v>
      </c>
      <c r="H125" s="317">
        <v>1.81</v>
      </c>
      <c r="I125" s="320">
        <v>1.81</v>
      </c>
      <c r="J125" s="25">
        <v>5.0999999999999997E-2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2.0920000000000001</v>
      </c>
      <c r="E126" s="91">
        <v>0.182</v>
      </c>
      <c r="F126" s="92">
        <v>3.7999999999999999E-2</v>
      </c>
      <c r="G126" s="317">
        <v>29.33</v>
      </c>
      <c r="H126" s="317">
        <v>1.81</v>
      </c>
      <c r="I126" s="320">
        <v>1.81</v>
      </c>
      <c r="J126" s="25">
        <v>5.0999999999999997E-2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2.0920000000000001</v>
      </c>
      <c r="E127" s="91">
        <v>0.182</v>
      </c>
      <c r="F127" s="92">
        <v>3.7999999999999999E-2</v>
      </c>
      <c r="G127" s="317">
        <v>53.63</v>
      </c>
      <c r="H127" s="317">
        <v>1.81</v>
      </c>
      <c r="I127" s="320">
        <v>1.81</v>
      </c>
      <c r="J127" s="25">
        <v>5.0999999999999997E-2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2.0920000000000001</v>
      </c>
      <c r="E128" s="91">
        <v>0.182</v>
      </c>
      <c r="F128" s="92">
        <v>3.7999999999999999E-2</v>
      </c>
      <c r="G128" s="317">
        <v>88.42</v>
      </c>
      <c r="H128" s="317">
        <v>1.81</v>
      </c>
      <c r="I128" s="320">
        <v>1.81</v>
      </c>
      <c r="J128" s="25">
        <v>5.0999999999999997E-2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2.0920000000000001</v>
      </c>
      <c r="E129" s="91">
        <v>0.182</v>
      </c>
      <c r="F129" s="92">
        <v>3.7999999999999999E-2</v>
      </c>
      <c r="G129" s="317">
        <v>203.92</v>
      </c>
      <c r="H129" s="317">
        <v>1.81</v>
      </c>
      <c r="I129" s="320">
        <v>1.81</v>
      </c>
      <c r="J129" s="25">
        <v>5.0999999999999997E-2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2.153</v>
      </c>
      <c r="E130" s="91">
        <v>0.158</v>
      </c>
      <c r="F130" s="92">
        <v>4.1000000000000002E-2</v>
      </c>
      <c r="G130" s="317">
        <v>3.78</v>
      </c>
      <c r="H130" s="317">
        <v>2.7</v>
      </c>
      <c r="I130" s="320">
        <v>2.7</v>
      </c>
      <c r="J130" s="25">
        <v>4.9000000000000002E-2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2.153</v>
      </c>
      <c r="E131" s="91">
        <v>0.158</v>
      </c>
      <c r="F131" s="92">
        <v>4.1000000000000002E-2</v>
      </c>
      <c r="G131" s="317">
        <v>45.44</v>
      </c>
      <c r="H131" s="317">
        <v>2.7</v>
      </c>
      <c r="I131" s="320">
        <v>2.7</v>
      </c>
      <c r="J131" s="25">
        <v>4.9000000000000002E-2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2.153</v>
      </c>
      <c r="E132" s="91">
        <v>0.158</v>
      </c>
      <c r="F132" s="92">
        <v>4.1000000000000002E-2</v>
      </c>
      <c r="G132" s="317">
        <v>83.97</v>
      </c>
      <c r="H132" s="317">
        <v>2.7</v>
      </c>
      <c r="I132" s="320">
        <v>2.7</v>
      </c>
      <c r="J132" s="25">
        <v>4.9000000000000002E-2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2.153</v>
      </c>
      <c r="E133" s="91">
        <v>0.158</v>
      </c>
      <c r="F133" s="92">
        <v>4.1000000000000002E-2</v>
      </c>
      <c r="G133" s="317">
        <v>139.13</v>
      </c>
      <c r="H133" s="317">
        <v>2.7</v>
      </c>
      <c r="I133" s="320">
        <v>2.7</v>
      </c>
      <c r="J133" s="25">
        <v>4.9000000000000002E-2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2.153</v>
      </c>
      <c r="E134" s="91">
        <v>0.158</v>
      </c>
      <c r="F134" s="92">
        <v>4.1000000000000002E-2</v>
      </c>
      <c r="G134" s="317">
        <v>322.26</v>
      </c>
      <c r="H134" s="317">
        <v>2.7</v>
      </c>
      <c r="I134" s="320">
        <v>2.7</v>
      </c>
      <c r="J134" s="25">
        <v>4.9000000000000002E-2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1.698</v>
      </c>
      <c r="E135" s="91">
        <v>0.114</v>
      </c>
      <c r="F135" s="92">
        <v>3.2000000000000001E-2</v>
      </c>
      <c r="G135" s="317">
        <v>41.41</v>
      </c>
      <c r="H135" s="317">
        <v>3.32</v>
      </c>
      <c r="I135" s="320">
        <v>3.32</v>
      </c>
      <c r="J135" s="25">
        <v>3.6999999999999998E-2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1.698</v>
      </c>
      <c r="E136" s="91">
        <v>0.114</v>
      </c>
      <c r="F136" s="92">
        <v>3.2000000000000001E-2</v>
      </c>
      <c r="G136" s="317">
        <v>391.91</v>
      </c>
      <c r="H136" s="317">
        <v>3.32</v>
      </c>
      <c r="I136" s="320">
        <v>3.32</v>
      </c>
      <c r="J136" s="25">
        <v>3.6999999999999998E-2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1.698</v>
      </c>
      <c r="E137" s="91">
        <v>0.114</v>
      </c>
      <c r="F137" s="92">
        <v>3.2000000000000001E-2</v>
      </c>
      <c r="G137" s="317">
        <v>954.66</v>
      </c>
      <c r="H137" s="317">
        <v>3.32</v>
      </c>
      <c r="I137" s="320">
        <v>3.32</v>
      </c>
      <c r="J137" s="25">
        <v>3.6999999999999998E-2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1.698</v>
      </c>
      <c r="E138" s="91">
        <v>0.114</v>
      </c>
      <c r="F138" s="92">
        <v>3.2000000000000001E-2</v>
      </c>
      <c r="G138" s="317">
        <v>1749.42</v>
      </c>
      <c r="H138" s="317">
        <v>3.32</v>
      </c>
      <c r="I138" s="320">
        <v>3.32</v>
      </c>
      <c r="J138" s="25">
        <v>3.6999999999999998E-2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1.698</v>
      </c>
      <c r="E139" s="91">
        <v>0.114</v>
      </c>
      <c r="F139" s="92">
        <v>3.2000000000000001E-2</v>
      </c>
      <c r="G139" s="317">
        <v>4040.67</v>
      </c>
      <c r="H139" s="317">
        <v>3.32</v>
      </c>
      <c r="I139" s="320">
        <v>3.32</v>
      </c>
      <c r="J139" s="25">
        <v>3.6999999999999998E-2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804</v>
      </c>
      <c r="D140" s="93">
        <v>10.286</v>
      </c>
      <c r="E140" s="94">
        <v>0.627</v>
      </c>
      <c r="F140" s="92">
        <v>0.38500000000000001</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-3.2810000000000001</v>
      </c>
      <c r="E141" s="91">
        <v>-0.30299999999999999</v>
      </c>
      <c r="F141" s="92">
        <v>-5.8999999999999997E-2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-3.3809999999999998</v>
      </c>
      <c r="E142" s="91">
        <v>-0.30199999999999999</v>
      </c>
      <c r="F142" s="92">
        <v>-6.0999999999999999E-2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-3.2810000000000001</v>
      </c>
      <c r="E143" s="91">
        <v>-0.30299999999999999</v>
      </c>
      <c r="F143" s="92">
        <v>-5.8999999999999997E-2</v>
      </c>
      <c r="G143" s="317" t="s">
        <v>797</v>
      </c>
      <c r="H143" s="318" t="s">
        <v>797</v>
      </c>
      <c r="I143" s="319" t="s">
        <v>797</v>
      </c>
      <c r="J143" s="25">
        <v>9.8000000000000004E-2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-3.3809999999999998</v>
      </c>
      <c r="E144" s="91">
        <v>-0.30199999999999999</v>
      </c>
      <c r="F144" s="92">
        <v>-6.0999999999999999E-2</v>
      </c>
      <c r="G144" s="317" t="s">
        <v>797</v>
      </c>
      <c r="H144" s="318" t="s">
        <v>797</v>
      </c>
      <c r="I144" s="319" t="s">
        <v>797</v>
      </c>
      <c r="J144" s="25">
        <v>8.6999999999999994E-2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-4.375</v>
      </c>
      <c r="E145" s="91">
        <v>-0.32100000000000001</v>
      </c>
      <c r="F145" s="92">
        <v>-8.3000000000000004E-2</v>
      </c>
      <c r="G145" s="317">
        <v>56.23</v>
      </c>
      <c r="H145" s="318" t="s">
        <v>797</v>
      </c>
      <c r="I145" s="319" t="s">
        <v>797</v>
      </c>
      <c r="J145" s="25">
        <v>0.16</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1.786</v>
      </c>
      <c r="E146" s="91">
        <v>0.16500000000000001</v>
      </c>
      <c r="F146" s="92">
        <v>3.2000000000000001E-2</v>
      </c>
      <c r="G146" s="317">
        <v>1.51</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2031</v>
      </c>
      <c r="D147" s="90">
        <v>1.786</v>
      </c>
      <c r="E147" s="91">
        <v>0.16500000000000001</v>
      </c>
      <c r="F147" s="92">
        <v>3.2000000000000001E-2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1.849</v>
      </c>
      <c r="E148" s="91">
        <v>0.17100000000000001</v>
      </c>
      <c r="F148" s="92">
        <v>3.3000000000000002E-2</v>
      </c>
      <c r="G148" s="317">
        <v>1.52</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1.849</v>
      </c>
      <c r="E149" s="91">
        <v>0.17100000000000001</v>
      </c>
      <c r="F149" s="92">
        <v>3.3000000000000002E-2</v>
      </c>
      <c r="G149" s="317">
        <v>2.1</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1.849</v>
      </c>
      <c r="E150" s="91">
        <v>0.17100000000000001</v>
      </c>
      <c r="F150" s="92">
        <v>3.3000000000000002E-2</v>
      </c>
      <c r="G150" s="317">
        <v>3.11</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1.849</v>
      </c>
      <c r="E151" s="91">
        <v>0.17100000000000001</v>
      </c>
      <c r="F151" s="92">
        <v>3.3000000000000002E-2</v>
      </c>
      <c r="G151" s="317">
        <v>4.8600000000000003</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1.849</v>
      </c>
      <c r="E152" s="91">
        <v>0.17100000000000001</v>
      </c>
      <c r="F152" s="92">
        <v>3.3000000000000002E-2</v>
      </c>
      <c r="G152" s="317">
        <v>10.130000000000001</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2032</v>
      </c>
      <c r="D153" s="90">
        <v>1.849</v>
      </c>
      <c r="E153" s="91">
        <v>0.17100000000000001</v>
      </c>
      <c r="F153" s="92">
        <v>3.3000000000000002E-2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1.1879999999999999</v>
      </c>
      <c r="E154" s="91">
        <v>0.104</v>
      </c>
      <c r="F154" s="92">
        <v>2.1999999999999999E-2</v>
      </c>
      <c r="G154" s="317">
        <v>1.74</v>
      </c>
      <c r="H154" s="317">
        <v>1.03</v>
      </c>
      <c r="I154" s="320">
        <v>1.03</v>
      </c>
      <c r="J154" s="25">
        <v>2.9000000000000001E-2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1.1879999999999999</v>
      </c>
      <c r="E155" s="91">
        <v>0.104</v>
      </c>
      <c r="F155" s="92">
        <v>2.1999999999999999E-2</v>
      </c>
      <c r="G155" s="317">
        <v>16.66</v>
      </c>
      <c r="H155" s="317">
        <v>1.03</v>
      </c>
      <c r="I155" s="320">
        <v>1.03</v>
      </c>
      <c r="J155" s="25">
        <v>2.9000000000000001E-2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1.1879999999999999</v>
      </c>
      <c r="E156" s="91">
        <v>0.104</v>
      </c>
      <c r="F156" s="92">
        <v>2.1999999999999999E-2</v>
      </c>
      <c r="G156" s="317">
        <v>30.46</v>
      </c>
      <c r="H156" s="317">
        <v>1.03</v>
      </c>
      <c r="I156" s="320">
        <v>1.03</v>
      </c>
      <c r="J156" s="25">
        <v>2.9000000000000001E-2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1.1879999999999999</v>
      </c>
      <c r="E157" s="91">
        <v>0.104</v>
      </c>
      <c r="F157" s="92">
        <v>2.1999999999999999E-2</v>
      </c>
      <c r="G157" s="317">
        <v>50.22</v>
      </c>
      <c r="H157" s="317">
        <v>1.03</v>
      </c>
      <c r="I157" s="320">
        <v>1.03</v>
      </c>
      <c r="J157" s="25">
        <v>2.9000000000000001E-2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1.1879999999999999</v>
      </c>
      <c r="E158" s="91">
        <v>0.104</v>
      </c>
      <c r="F158" s="92">
        <v>2.1999999999999999E-2</v>
      </c>
      <c r="G158" s="317">
        <v>115.82</v>
      </c>
      <c r="H158" s="317">
        <v>1.03</v>
      </c>
      <c r="I158" s="320">
        <v>1.03</v>
      </c>
      <c r="J158" s="25">
        <v>2.9000000000000001E-2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1.2230000000000001</v>
      </c>
      <c r="E159" s="91">
        <v>0.09</v>
      </c>
      <c r="F159" s="92">
        <v>2.3E-2</v>
      </c>
      <c r="G159" s="317">
        <v>2.15</v>
      </c>
      <c r="H159" s="317">
        <v>1.53</v>
      </c>
      <c r="I159" s="320">
        <v>1.53</v>
      </c>
      <c r="J159" s="25">
        <v>2.8000000000000001E-2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1.2230000000000001</v>
      </c>
      <c r="E160" s="91">
        <v>0.09</v>
      </c>
      <c r="F160" s="92">
        <v>2.3E-2</v>
      </c>
      <c r="G160" s="317">
        <v>25.81</v>
      </c>
      <c r="H160" s="317">
        <v>1.53</v>
      </c>
      <c r="I160" s="320">
        <v>1.53</v>
      </c>
      <c r="J160" s="25">
        <v>2.8000000000000001E-2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1.2230000000000001</v>
      </c>
      <c r="E161" s="91">
        <v>0.09</v>
      </c>
      <c r="F161" s="92">
        <v>2.3E-2</v>
      </c>
      <c r="G161" s="317">
        <v>47.69</v>
      </c>
      <c r="H161" s="317">
        <v>1.53</v>
      </c>
      <c r="I161" s="320">
        <v>1.53</v>
      </c>
      <c r="J161" s="25">
        <v>2.8000000000000001E-2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1.2230000000000001</v>
      </c>
      <c r="E162" s="91">
        <v>0.09</v>
      </c>
      <c r="F162" s="92">
        <v>2.3E-2</v>
      </c>
      <c r="G162" s="317">
        <v>79.02</v>
      </c>
      <c r="H162" s="317">
        <v>1.53</v>
      </c>
      <c r="I162" s="320">
        <v>1.53</v>
      </c>
      <c r="J162" s="25">
        <v>2.8000000000000001E-2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1.2230000000000001</v>
      </c>
      <c r="E163" s="91">
        <v>0.09</v>
      </c>
      <c r="F163" s="92">
        <v>2.3E-2</v>
      </c>
      <c r="G163" s="317">
        <v>183.03</v>
      </c>
      <c r="H163" s="317">
        <v>1.53</v>
      </c>
      <c r="I163" s="320">
        <v>1.53</v>
      </c>
      <c r="J163" s="25">
        <v>2.8000000000000001E-2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0.96399999999999997</v>
      </c>
      <c r="E164" s="91">
        <v>6.5000000000000002E-2</v>
      </c>
      <c r="F164" s="92">
        <v>1.7999999999999999E-2</v>
      </c>
      <c r="G164" s="317">
        <v>23.52</v>
      </c>
      <c r="H164" s="317">
        <v>1.88</v>
      </c>
      <c r="I164" s="320">
        <v>1.88</v>
      </c>
      <c r="J164" s="25">
        <v>2.1000000000000001E-2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0.96399999999999997</v>
      </c>
      <c r="E165" s="91">
        <v>6.5000000000000002E-2</v>
      </c>
      <c r="F165" s="92">
        <v>1.7999999999999999E-2</v>
      </c>
      <c r="G165" s="317">
        <v>222.59</v>
      </c>
      <c r="H165" s="317">
        <v>1.88</v>
      </c>
      <c r="I165" s="320">
        <v>1.88</v>
      </c>
      <c r="J165" s="25">
        <v>2.1000000000000001E-2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0.96399999999999997</v>
      </c>
      <c r="E166" s="91">
        <v>6.5000000000000002E-2</v>
      </c>
      <c r="F166" s="92">
        <v>1.7999999999999999E-2</v>
      </c>
      <c r="G166" s="317">
        <v>542.20000000000005</v>
      </c>
      <c r="H166" s="317">
        <v>1.88</v>
      </c>
      <c r="I166" s="320">
        <v>1.88</v>
      </c>
      <c r="J166" s="25">
        <v>2.1000000000000001E-2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0.96399999999999997</v>
      </c>
      <c r="E167" s="91">
        <v>6.5000000000000002E-2</v>
      </c>
      <c r="F167" s="92">
        <v>1.7999999999999999E-2</v>
      </c>
      <c r="G167" s="317">
        <v>993.59</v>
      </c>
      <c r="H167" s="317">
        <v>1.88</v>
      </c>
      <c r="I167" s="320">
        <v>1.88</v>
      </c>
      <c r="J167" s="25">
        <v>2.1000000000000001E-2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0.96399999999999997</v>
      </c>
      <c r="E168" s="91">
        <v>6.5000000000000002E-2</v>
      </c>
      <c r="F168" s="92">
        <v>1.7999999999999999E-2</v>
      </c>
      <c r="G168" s="317">
        <v>2294.92</v>
      </c>
      <c r="H168" s="317">
        <v>1.88</v>
      </c>
      <c r="I168" s="320">
        <v>1.88</v>
      </c>
      <c r="J168" s="25">
        <v>2.1000000000000001E-2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5.8419999999999996</v>
      </c>
      <c r="E169" s="94">
        <v>0.35599999999999998</v>
      </c>
      <c r="F169" s="92">
        <v>0.219</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-1.863</v>
      </c>
      <c r="E170" s="91">
        <v>-0.17199999999999999</v>
      </c>
      <c r="F170" s="92">
        <v>-3.3000000000000002E-2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-1.92</v>
      </c>
      <c r="E171" s="91">
        <v>-0.17100000000000001</v>
      </c>
      <c r="F171" s="92">
        <v>-3.5000000000000003E-2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-1.863</v>
      </c>
      <c r="E172" s="91">
        <v>-0.17199999999999999</v>
      </c>
      <c r="F172" s="92">
        <v>-3.3000000000000002E-2</v>
      </c>
      <c r="G172" s="317" t="s">
        <v>797</v>
      </c>
      <c r="H172" s="318" t="s">
        <v>797</v>
      </c>
      <c r="I172" s="319" t="s">
        <v>797</v>
      </c>
      <c r="J172" s="25">
        <v>5.5E-2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-1.92</v>
      </c>
      <c r="E173" s="91">
        <v>-0.17100000000000001</v>
      </c>
      <c r="F173" s="92">
        <v>-3.5000000000000003E-2</v>
      </c>
      <c r="G173" s="317" t="s">
        <v>797</v>
      </c>
      <c r="H173" s="318" t="s">
        <v>797</v>
      </c>
      <c r="I173" s="319" t="s">
        <v>797</v>
      </c>
      <c r="J173" s="25">
        <v>4.9000000000000002E-2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-2.4849999999999999</v>
      </c>
      <c r="E174" s="91">
        <v>-0.182</v>
      </c>
      <c r="F174" s="92">
        <v>-4.7E-2</v>
      </c>
      <c r="G174" s="317">
        <v>31.94</v>
      </c>
      <c r="H174" s="318" t="s">
        <v>797</v>
      </c>
      <c r="I174" s="319" t="s">
        <v>797</v>
      </c>
      <c r="J174" s="25">
        <v>9.0999999999999998E-2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0.53200000000000003</v>
      </c>
      <c r="E175" s="91">
        <v>4.9000000000000002E-2</v>
      </c>
      <c r="F175" s="92">
        <v>0.01</v>
      </c>
      <c r="G175" s="317">
        <v>0.45</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2031</v>
      </c>
      <c r="D176" s="90">
        <v>0.53200000000000003</v>
      </c>
      <c r="E176" s="91">
        <v>4.9000000000000002E-2</v>
      </c>
      <c r="F176" s="92">
        <v>0.01</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0.55000000000000004</v>
      </c>
      <c r="E177" s="91">
        <v>5.0999999999999997E-2</v>
      </c>
      <c r="F177" s="92">
        <v>0.01</v>
      </c>
      <c r="G177" s="317">
        <v>0.45</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0.55000000000000004</v>
      </c>
      <c r="E178" s="91">
        <v>5.0999999999999997E-2</v>
      </c>
      <c r="F178" s="92">
        <v>0.01</v>
      </c>
      <c r="G178" s="317">
        <v>0.62</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0.55000000000000004</v>
      </c>
      <c r="E179" s="91">
        <v>5.0999999999999997E-2</v>
      </c>
      <c r="F179" s="92">
        <v>0.01</v>
      </c>
      <c r="G179" s="317">
        <v>0.93</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0.55000000000000004</v>
      </c>
      <c r="E180" s="91">
        <v>5.0999999999999997E-2</v>
      </c>
      <c r="F180" s="92">
        <v>0.01</v>
      </c>
      <c r="G180" s="317">
        <v>1.45</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0.55000000000000004</v>
      </c>
      <c r="E181" s="91">
        <v>5.0999999999999997E-2</v>
      </c>
      <c r="F181" s="92">
        <v>0.01</v>
      </c>
      <c r="G181" s="317">
        <v>3.01</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2032</v>
      </c>
      <c r="D182" s="90">
        <v>0.55000000000000004</v>
      </c>
      <c r="E182" s="91">
        <v>5.0999999999999997E-2</v>
      </c>
      <c r="F182" s="92">
        <v>0.01</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0.35399999999999998</v>
      </c>
      <c r="E183" s="91">
        <v>3.1E-2</v>
      </c>
      <c r="F183" s="92">
        <v>6.0000000000000001E-3</v>
      </c>
      <c r="G183" s="317">
        <v>0.52</v>
      </c>
      <c r="H183" s="317">
        <v>0.31</v>
      </c>
      <c r="I183" s="320">
        <v>0.31</v>
      </c>
      <c r="J183" s="25">
        <v>8.9999999999999993E-3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0.35399999999999998</v>
      </c>
      <c r="E184" s="91">
        <v>3.1E-2</v>
      </c>
      <c r="F184" s="92">
        <v>6.0000000000000001E-3</v>
      </c>
      <c r="G184" s="317">
        <v>4.96</v>
      </c>
      <c r="H184" s="317">
        <v>0.31</v>
      </c>
      <c r="I184" s="320">
        <v>0.31</v>
      </c>
      <c r="J184" s="25">
        <v>8.9999999999999993E-3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0.35399999999999998</v>
      </c>
      <c r="E185" s="91">
        <v>3.1E-2</v>
      </c>
      <c r="F185" s="92">
        <v>6.0000000000000001E-3</v>
      </c>
      <c r="G185" s="317">
        <v>9.06</v>
      </c>
      <c r="H185" s="317">
        <v>0.31</v>
      </c>
      <c r="I185" s="320">
        <v>0.31</v>
      </c>
      <c r="J185" s="25">
        <v>8.9999999999999993E-3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0.35399999999999998</v>
      </c>
      <c r="E186" s="91">
        <v>3.1E-2</v>
      </c>
      <c r="F186" s="92">
        <v>6.0000000000000001E-3</v>
      </c>
      <c r="G186" s="317">
        <v>14.94</v>
      </c>
      <c r="H186" s="317">
        <v>0.31</v>
      </c>
      <c r="I186" s="320">
        <v>0.31</v>
      </c>
      <c r="J186" s="25">
        <v>8.9999999999999993E-3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0.35399999999999998</v>
      </c>
      <c r="E187" s="91">
        <v>3.1E-2</v>
      </c>
      <c r="F187" s="92">
        <v>6.0000000000000001E-3</v>
      </c>
      <c r="G187" s="317">
        <v>34.47</v>
      </c>
      <c r="H187" s="317">
        <v>0.31</v>
      </c>
      <c r="I187" s="320">
        <v>0.31</v>
      </c>
      <c r="J187" s="25">
        <v>8.9999999999999993E-3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0.36399999999999999</v>
      </c>
      <c r="E188" s="91">
        <v>2.7E-2</v>
      </c>
      <c r="F188" s="92">
        <v>7.0000000000000001E-3</v>
      </c>
      <c r="G188" s="317">
        <v>0.64</v>
      </c>
      <c r="H188" s="317">
        <v>0.46</v>
      </c>
      <c r="I188" s="320">
        <v>0.46</v>
      </c>
      <c r="J188" s="25">
        <v>8.0000000000000002E-3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0.36399999999999999</v>
      </c>
      <c r="E189" s="91">
        <v>2.7E-2</v>
      </c>
      <c r="F189" s="92">
        <v>7.0000000000000001E-3</v>
      </c>
      <c r="G189" s="317">
        <v>7.68</v>
      </c>
      <c r="H189" s="317">
        <v>0.46</v>
      </c>
      <c r="I189" s="320">
        <v>0.46</v>
      </c>
      <c r="J189" s="25">
        <v>8.0000000000000002E-3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0.36399999999999999</v>
      </c>
      <c r="E190" s="91">
        <v>2.7E-2</v>
      </c>
      <c r="F190" s="92">
        <v>7.0000000000000001E-3</v>
      </c>
      <c r="G190" s="317">
        <v>14.19</v>
      </c>
      <c r="H190" s="317">
        <v>0.46</v>
      </c>
      <c r="I190" s="320">
        <v>0.46</v>
      </c>
      <c r="J190" s="25">
        <v>8.0000000000000002E-3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0.36399999999999999</v>
      </c>
      <c r="E191" s="91">
        <v>2.7E-2</v>
      </c>
      <c r="F191" s="92">
        <v>7.0000000000000001E-3</v>
      </c>
      <c r="G191" s="317">
        <v>23.52</v>
      </c>
      <c r="H191" s="317">
        <v>0.46</v>
      </c>
      <c r="I191" s="320">
        <v>0.46</v>
      </c>
      <c r="J191" s="25">
        <v>8.0000000000000002E-3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0.36399999999999999</v>
      </c>
      <c r="E192" s="91">
        <v>2.7E-2</v>
      </c>
      <c r="F192" s="92">
        <v>7.0000000000000001E-3</v>
      </c>
      <c r="G192" s="317">
        <v>54.47</v>
      </c>
      <c r="H192" s="317">
        <v>0.46</v>
      </c>
      <c r="I192" s="320">
        <v>0.46</v>
      </c>
      <c r="J192" s="25">
        <v>8.0000000000000002E-3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0.28699999999999998</v>
      </c>
      <c r="E193" s="91">
        <v>1.9E-2</v>
      </c>
      <c r="F193" s="92">
        <v>5.0000000000000001E-3</v>
      </c>
      <c r="G193" s="317">
        <v>7</v>
      </c>
      <c r="H193" s="317">
        <v>0.56000000000000005</v>
      </c>
      <c r="I193" s="320">
        <v>0.56000000000000005</v>
      </c>
      <c r="J193" s="25">
        <v>6.0000000000000001E-3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0.28699999999999998</v>
      </c>
      <c r="E194" s="91">
        <v>1.9E-2</v>
      </c>
      <c r="F194" s="92">
        <v>5.0000000000000001E-3</v>
      </c>
      <c r="G194" s="317">
        <v>66.239999999999995</v>
      </c>
      <c r="H194" s="317">
        <v>0.56000000000000005</v>
      </c>
      <c r="I194" s="320">
        <v>0.56000000000000005</v>
      </c>
      <c r="J194" s="25">
        <v>6.0000000000000001E-3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0.28699999999999998</v>
      </c>
      <c r="E195" s="91">
        <v>1.9E-2</v>
      </c>
      <c r="F195" s="92">
        <v>5.0000000000000001E-3</v>
      </c>
      <c r="G195" s="317">
        <v>161.35</v>
      </c>
      <c r="H195" s="317">
        <v>0.56000000000000005</v>
      </c>
      <c r="I195" s="320">
        <v>0.56000000000000005</v>
      </c>
      <c r="J195" s="25">
        <v>6.0000000000000001E-3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0.28699999999999998</v>
      </c>
      <c r="E196" s="91">
        <v>1.9E-2</v>
      </c>
      <c r="F196" s="92">
        <v>5.0000000000000001E-3</v>
      </c>
      <c r="G196" s="317">
        <v>295.68</v>
      </c>
      <c r="H196" s="317">
        <v>0.56000000000000005</v>
      </c>
      <c r="I196" s="320">
        <v>0.56000000000000005</v>
      </c>
      <c r="J196" s="25">
        <v>6.0000000000000001E-3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0.28699999999999998</v>
      </c>
      <c r="E197" s="91">
        <v>1.9E-2</v>
      </c>
      <c r="F197" s="92">
        <v>5.0000000000000001E-3</v>
      </c>
      <c r="G197" s="317">
        <v>682.95</v>
      </c>
      <c r="H197" s="317">
        <v>0.56000000000000005</v>
      </c>
      <c r="I197" s="320">
        <v>0.56000000000000005</v>
      </c>
      <c r="J197" s="25">
        <v>6.0000000000000001E-3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1.7390000000000001</v>
      </c>
      <c r="E198" s="94">
        <v>0.106</v>
      </c>
      <c r="F198" s="92">
        <v>6.5000000000000002E-2</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-0.55500000000000005</v>
      </c>
      <c r="E199" s="91">
        <v>-5.0999999999999997E-2</v>
      </c>
      <c r="F199" s="92">
        <v>-0.01</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-0.57099999999999995</v>
      </c>
      <c r="E200" s="91">
        <v>-5.0999999999999997E-2</v>
      </c>
      <c r="F200" s="92">
        <v>-0.01</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-0.55500000000000005</v>
      </c>
      <c r="E201" s="91">
        <v>-5.0999999999999997E-2</v>
      </c>
      <c r="F201" s="92">
        <v>-0.01</v>
      </c>
      <c r="G201" s="317" t="s">
        <v>797</v>
      </c>
      <c r="H201" s="318" t="s">
        <v>797</v>
      </c>
      <c r="I201" s="319" t="s">
        <v>797</v>
      </c>
      <c r="J201" s="25">
        <v>1.7000000000000001E-2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-0.57099999999999995</v>
      </c>
      <c r="E202" s="91">
        <v>-5.0999999999999997E-2</v>
      </c>
      <c r="F202" s="92">
        <v>-0.01</v>
      </c>
      <c r="G202" s="317" t="s">
        <v>797</v>
      </c>
      <c r="H202" s="318" t="s">
        <v>797</v>
      </c>
      <c r="I202" s="319" t="s">
        <v>797</v>
      </c>
      <c r="J202" s="25">
        <v>1.4999999999999999E-2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-0.74</v>
      </c>
      <c r="E203" s="91">
        <v>-5.3999999999999999E-2</v>
      </c>
      <c r="F203" s="92">
        <v>-1.4E-2</v>
      </c>
      <c r="G203" s="317">
        <v>9.5</v>
      </c>
      <c r="H203" s="318" t="s">
        <v>797</v>
      </c>
      <c r="I203" s="319" t="s">
        <v>797</v>
      </c>
      <c r="J203" s="25">
        <v>2.7E-2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conditionalFormatting sqref="K14:Q203">
    <cfRule type="cellIs" dxfId="42" priority="2" operator="equal">
      <formula>0</formula>
    </cfRule>
    <cfRule type="cellIs" dxfId="41" priority="3" operator="lessThan">
      <formula>0</formula>
    </cfRule>
    <cfRule type="cellIs" dxfId="40" priority="4" operator="greaterThan">
      <formula>0</formula>
    </cfRule>
  </conditionalFormatting>
  <conditionalFormatting sqref="K14:R203">
    <cfRule type="expression" dxfId="39" priority="1">
      <formula>$K14&lt;&gt;""</formula>
    </cfRule>
  </conditionalFormatting>
  <hyperlinks>
    <hyperlink ref="A1" location="Overview!A1" display="Back to Overview" xr:uid="{9044EB2C-275A-4775-98EF-4C269A177385}"/>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54" t="str">
        <f>Overview!B4&amp;" - Effective from "&amp;TEXT(Overview!$D$4,"d mmmm yyyy")&amp;" - Final LDNO tariffs in WPD South West Area (GSP Group_L)"</f>
        <v>Leep Electricity Networks Limited - Effective from 1 April 2027 - Final LDNO tariffs in WPD South West Area (GSP Group_L)</v>
      </c>
      <c r="B2" s="454"/>
      <c r="C2" s="454"/>
      <c r="D2" s="454"/>
      <c r="E2" s="454"/>
      <c r="F2" s="454"/>
      <c r="G2" s="454"/>
      <c r="H2" s="454"/>
      <c r="I2" s="454"/>
      <c r="J2" s="454"/>
    </row>
    <row r="3" spans="1:17" ht="8.25" customHeight="1" x14ac:dyDescent="0.2">
      <c r="A3" s="46"/>
      <c r="B3" s="46"/>
      <c r="C3" s="46"/>
      <c r="D3" s="46"/>
      <c r="E3" s="46"/>
      <c r="F3" s="46"/>
      <c r="G3" s="46"/>
      <c r="H3" s="46"/>
      <c r="I3" s="46"/>
      <c r="J3" s="46"/>
      <c r="K3" s="3"/>
    </row>
    <row r="4" spans="1:17" ht="18" customHeight="1" x14ac:dyDescent="0.2">
      <c r="A4" s="384" t="s">
        <v>290</v>
      </c>
      <c r="B4" s="384"/>
      <c r="C4" s="384"/>
      <c r="D4" s="384"/>
      <c r="E4" s="50"/>
      <c r="F4" s="384" t="s">
        <v>289</v>
      </c>
      <c r="G4" s="384"/>
      <c r="H4" s="384"/>
      <c r="I4" s="384"/>
      <c r="J4" s="384"/>
      <c r="K4" s="3"/>
      <c r="L4" s="3"/>
    </row>
    <row r="5" spans="1:17" ht="32.25" customHeight="1" x14ac:dyDescent="0.2">
      <c r="A5" s="39" t="s">
        <v>13</v>
      </c>
      <c r="B5" s="256" t="s">
        <v>281</v>
      </c>
      <c r="C5" s="269" t="s">
        <v>282</v>
      </c>
      <c r="D5" s="41" t="s">
        <v>283</v>
      </c>
      <c r="E5" s="45"/>
      <c r="F5" s="381"/>
      <c r="G5" s="382"/>
      <c r="H5" s="43" t="s">
        <v>287</v>
      </c>
      <c r="I5" s="44" t="s">
        <v>288</v>
      </c>
      <c r="J5" s="41" t="s">
        <v>283</v>
      </c>
      <c r="K5" s="45"/>
      <c r="L5" s="3"/>
      <c r="M5" s="3"/>
    </row>
    <row r="6" spans="1:17" ht="51" customHeight="1" x14ac:dyDescent="0.2">
      <c r="A6" s="267" t="str">
        <f>'Annex 1 LV and HV charges_L'!A6</f>
        <v>Monday to Friday 
(Including Bank Holidays)
All Year</v>
      </c>
      <c r="B6" s="105" t="str">
        <f>'Annex 1 LV and HV charges_L'!B6</f>
        <v>17:00 to 19:00</v>
      </c>
      <c r="C6" s="262" t="str">
        <f>'Annex 1 LV and HV charges_L'!C6</f>
        <v>07:30 to 17:00
19:00 to 21:30</v>
      </c>
      <c r="D6" s="106" t="str">
        <f>'Annex 1 LV and HV charges_L'!E6</f>
        <v>00:00 to 07:30
21:30 to 24:00</v>
      </c>
      <c r="E6" s="45"/>
      <c r="F6" s="429" t="str">
        <f>'Annex 1 LV and HV charges_L'!G6</f>
        <v>Monday to Friday 
(Including Bank Holidays)
Nov to Feb Inclusive (excluding 22nd Dec to 4th Jan inclusive)</v>
      </c>
      <c r="G6" s="429">
        <f>'Annex 1 LV and HV charges_L'!H6</f>
        <v>0</v>
      </c>
      <c r="H6" s="105" t="str">
        <f>'Annex 1 LV and HV charges_L'!I6</f>
        <v>17:00 to 19:00</v>
      </c>
      <c r="I6" s="107" t="str">
        <f>'Annex 1 LV and HV charges_L'!J6</f>
        <v>07:30 to 17:00
19:00 to 21:30</v>
      </c>
      <c r="J6" s="107" t="str">
        <f>'Annex 1 LV and HV charges_L'!K6</f>
        <v>00:00 to 07:30
21:30 to 24:00</v>
      </c>
      <c r="K6" s="45"/>
      <c r="L6" s="3"/>
      <c r="M6" s="3"/>
    </row>
    <row r="7" spans="1:17" ht="51" customHeight="1" x14ac:dyDescent="0.2">
      <c r="A7" s="267" t="str">
        <f>'Annex 1 LV and HV charges_L'!A7</f>
        <v>Saturday and Sunday
All Year</v>
      </c>
      <c r="B7" s="108" t="str">
        <f>'Annex 1 LV and HV charges_L'!B7</f>
        <v/>
      </c>
      <c r="C7" s="262" t="str">
        <f>'Annex 1 LV and HV charges_L'!C7</f>
        <v>16:30 to 19:30</v>
      </c>
      <c r="D7" s="107" t="str">
        <f>'Annex 1 LV and HV charges_L'!E7</f>
        <v>00:00 to 16:30
19:30 to 24:00</v>
      </c>
      <c r="E7" s="45"/>
      <c r="F7" s="429" t="str">
        <f>'Annex 1 LV and HV charges_L'!G7</f>
        <v>Monday to Friday 
(Including Bank Holidays)
Mar to Oct Inclusive  (plus 22nd Dec to 4th Jan inclusive)</v>
      </c>
      <c r="G7" s="429">
        <f>'Annex 1 LV and HV charges_L'!H7</f>
        <v>0</v>
      </c>
      <c r="H7" s="108" t="str">
        <f>'Annex 1 LV and HV charges_L'!I7</f>
        <v/>
      </c>
      <c r="I7" s="107" t="str">
        <f>'Annex 1 LV and HV charges_L'!J7</f>
        <v>07:30 to 21:30</v>
      </c>
      <c r="J7" s="107" t="str">
        <f>'Annex 1 LV and HV charges_L'!K7</f>
        <v>00:00 to 07:30
21:30 to 24:00</v>
      </c>
      <c r="K7" s="45"/>
      <c r="L7" s="3"/>
      <c r="M7" s="3"/>
    </row>
    <row r="8" spans="1:17" ht="51" customHeight="1" x14ac:dyDescent="0.2">
      <c r="A8" s="253" t="str">
        <f>'Annex 1 LV and HV charges_L'!A8</f>
        <v>Notes</v>
      </c>
      <c r="B8" s="375" t="str">
        <f>'Annex 1 LV and HV charges_L'!B8</f>
        <v>All the above times are in UK Clock time</v>
      </c>
      <c r="C8" s="375">
        <f>'Annex 1 LV and HV charges_L'!C8</f>
        <v>0</v>
      </c>
      <c r="D8" s="375">
        <f>'Annex 1 LV and HV charges_L'!D8</f>
        <v>0</v>
      </c>
      <c r="E8" s="45"/>
      <c r="F8" s="429" t="str">
        <f>'Annex 1 LV and HV charges_L'!G8</f>
        <v>Saturday and Sunday
All year</v>
      </c>
      <c r="G8" s="429">
        <f>'Annex 1 LV and HV charges_L'!H8</f>
        <v>0</v>
      </c>
      <c r="H8" s="108" t="str">
        <f>'Annex 1 LV and HV charges_L'!I8</f>
        <v/>
      </c>
      <c r="I8" s="107" t="str">
        <f>'Annex 1 LV and HV charges_L'!J8</f>
        <v>16:30 to 19:30</v>
      </c>
      <c r="J8" s="107" t="str">
        <f>'Annex 1 LV and HV charges_L'!K8</f>
        <v>00:00 to 16:30
19:30 to 24:00</v>
      </c>
      <c r="K8" s="45"/>
      <c r="L8" s="3"/>
      <c r="M8" s="3"/>
    </row>
    <row r="9" spans="1:17" s="40" customFormat="1" ht="29.25" customHeight="1" x14ac:dyDescent="0.2">
      <c r="A9" s="184"/>
      <c r="B9" s="255"/>
      <c r="C9" s="185"/>
      <c r="D9" s="255"/>
      <c r="E9" s="47"/>
      <c r="F9" s="413" t="str">
        <f>'Annex 1 LV and HV charges_L'!G9</f>
        <v>Notes</v>
      </c>
      <c r="G9" s="413">
        <f>'Annex 1 LV and HV charges_L'!H9</f>
        <v>0</v>
      </c>
      <c r="H9" s="391" t="str">
        <f>'Annex 1 LV and HV charges_L'!I9</f>
        <v>All the above times are in UK Clock time</v>
      </c>
      <c r="I9" s="392">
        <f>'Annex 1 LV and HV charges_L'!J9</f>
        <v>0</v>
      </c>
      <c r="J9" s="393">
        <f>'Annex 1 LV and HV charges_L'!K9</f>
        <v>0</v>
      </c>
      <c r="K9" s="45"/>
      <c r="L9" s="30"/>
      <c r="M9" s="30"/>
    </row>
    <row r="10" spans="1:17" s="40" customFormat="1" ht="18" x14ac:dyDescent="0.2">
      <c r="A10" s="118"/>
      <c r="B10" s="415"/>
      <c r="C10" s="415"/>
      <c r="D10" s="415"/>
      <c r="E10" s="186"/>
      <c r="F10" s="491"/>
      <c r="G10" s="492"/>
      <c r="H10" s="187"/>
      <c r="I10" s="255"/>
      <c r="J10" s="255"/>
      <c r="K10" s="45"/>
      <c r="L10" s="30"/>
      <c r="M10" s="30"/>
    </row>
    <row r="11" spans="1:17" s="40" customFormat="1" ht="18" x14ac:dyDescent="0.2">
      <c r="A11" s="45"/>
      <c r="B11" s="45"/>
      <c r="C11" s="45"/>
      <c r="D11" s="45"/>
      <c r="E11" s="45"/>
      <c r="F11" s="488"/>
      <c r="G11" s="489"/>
      <c r="H11" s="490"/>
      <c r="I11" s="412"/>
      <c r="J11" s="412"/>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2101</v>
      </c>
      <c r="D14" s="90">
        <v>15.081</v>
      </c>
      <c r="E14" s="91">
        <v>1.2030000000000001</v>
      </c>
      <c r="F14" s="92">
        <v>0.11899999999999999</v>
      </c>
      <c r="G14" s="317">
        <v>10.59</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2031</v>
      </c>
      <c r="D15" s="90">
        <v>15.081</v>
      </c>
      <c r="E15" s="91">
        <v>1.2030000000000001</v>
      </c>
      <c r="F15" s="92">
        <v>0.11899999999999999</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2102</v>
      </c>
      <c r="D16" s="90">
        <v>14.754</v>
      </c>
      <c r="E16" s="91">
        <v>1.177</v>
      </c>
      <c r="F16" s="92">
        <v>0.11600000000000001</v>
      </c>
      <c r="G16" s="317">
        <v>11.43</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2102</v>
      </c>
      <c r="D17" s="90">
        <v>14.754</v>
      </c>
      <c r="E17" s="91">
        <v>1.177</v>
      </c>
      <c r="F17" s="92">
        <v>0.11600000000000001</v>
      </c>
      <c r="G17" s="317">
        <v>13.38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2102</v>
      </c>
      <c r="D18" s="90">
        <v>14.754</v>
      </c>
      <c r="E18" s="91">
        <v>1.177</v>
      </c>
      <c r="F18" s="92">
        <v>0.11600000000000001</v>
      </c>
      <c r="G18" s="317">
        <v>19.36</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2102</v>
      </c>
      <c r="D19" s="90">
        <v>14.754</v>
      </c>
      <c r="E19" s="91">
        <v>1.177</v>
      </c>
      <c r="F19" s="92">
        <v>0.11600000000000001</v>
      </c>
      <c r="G19" s="317">
        <v>27.36</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2102</v>
      </c>
      <c r="D20" s="90">
        <v>14.754</v>
      </c>
      <c r="E20" s="91">
        <v>1.177</v>
      </c>
      <c r="F20" s="92">
        <v>0.11600000000000001</v>
      </c>
      <c r="G20" s="317">
        <v>50.14</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2032</v>
      </c>
      <c r="D21" s="90">
        <v>14.754</v>
      </c>
      <c r="E21" s="91">
        <v>1.177</v>
      </c>
      <c r="F21" s="92">
        <v>0.11600000000000001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9.1620000000000008</v>
      </c>
      <c r="E22" s="91">
        <v>0.65100000000000002</v>
      </c>
      <c r="F22" s="92">
        <v>6.6000000000000003E-2</v>
      </c>
      <c r="G22" s="317">
        <v>11.33</v>
      </c>
      <c r="H22" s="317">
        <v>7.67</v>
      </c>
      <c r="I22" s="320">
        <v>7.67</v>
      </c>
      <c r="J22" s="25">
        <v>0.15</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9.1620000000000008</v>
      </c>
      <c r="E23" s="91">
        <v>0.65100000000000002</v>
      </c>
      <c r="F23" s="92">
        <v>6.6000000000000003E-2</v>
      </c>
      <c r="G23" s="317">
        <v>84.51</v>
      </c>
      <c r="H23" s="317">
        <v>7.67</v>
      </c>
      <c r="I23" s="320">
        <v>7.67</v>
      </c>
      <c r="J23" s="25">
        <v>0.15</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9.1620000000000008</v>
      </c>
      <c r="E24" s="91">
        <v>0.65100000000000002</v>
      </c>
      <c r="F24" s="92">
        <v>6.6000000000000003E-2</v>
      </c>
      <c r="G24" s="317">
        <v>142.66</v>
      </c>
      <c r="H24" s="317">
        <v>7.67</v>
      </c>
      <c r="I24" s="320">
        <v>7.67</v>
      </c>
      <c r="J24" s="25">
        <v>0.15</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9.1620000000000008</v>
      </c>
      <c r="E25" s="91">
        <v>0.65100000000000002</v>
      </c>
      <c r="F25" s="92">
        <v>6.6000000000000003E-2</v>
      </c>
      <c r="G25" s="317">
        <v>220.07</v>
      </c>
      <c r="H25" s="317">
        <v>7.67</v>
      </c>
      <c r="I25" s="320">
        <v>7.67</v>
      </c>
      <c r="J25" s="25">
        <v>0.15</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9.1620000000000008</v>
      </c>
      <c r="E26" s="91">
        <v>0.65100000000000002</v>
      </c>
      <c r="F26" s="92">
        <v>6.6000000000000003E-2</v>
      </c>
      <c r="G26" s="317">
        <v>473.87</v>
      </c>
      <c r="H26" s="317">
        <v>7.67</v>
      </c>
      <c r="I26" s="320">
        <v>7.67</v>
      </c>
      <c r="J26" s="25">
        <v>0.15</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804</v>
      </c>
      <c r="D27" s="93">
        <v>45.018000000000001</v>
      </c>
      <c r="E27" s="94">
        <v>2.464</v>
      </c>
      <c r="F27" s="92">
        <v>1.224</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-15.28</v>
      </c>
      <c r="E28" s="91">
        <v>-1.2190000000000001</v>
      </c>
      <c r="F28" s="92">
        <v>-0.121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-15.28</v>
      </c>
      <c r="E29" s="91">
        <v>-1.2190000000000001</v>
      </c>
      <c r="F29" s="92">
        <v>-0.121</v>
      </c>
      <c r="G29" s="317" t="s">
        <v>797</v>
      </c>
      <c r="H29" s="318" t="s">
        <v>797</v>
      </c>
      <c r="I29" s="319" t="s">
        <v>797</v>
      </c>
      <c r="J29" s="25">
        <v>0.312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2101</v>
      </c>
      <c r="D30" s="90">
        <v>10.108000000000001</v>
      </c>
      <c r="E30" s="91">
        <v>0.80600000000000005</v>
      </c>
      <c r="F30" s="92">
        <v>0.08</v>
      </c>
      <c r="G30" s="317">
        <v>7.1</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2031</v>
      </c>
      <c r="D31" s="90">
        <v>10.108000000000001</v>
      </c>
      <c r="E31" s="91">
        <v>0.80600000000000005</v>
      </c>
      <c r="F31" s="92">
        <v>0.08</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2102</v>
      </c>
      <c r="D32" s="90">
        <v>9.8889999999999993</v>
      </c>
      <c r="E32" s="91">
        <v>0.78900000000000003</v>
      </c>
      <c r="F32" s="92">
        <v>7.8E-2</v>
      </c>
      <c r="G32" s="317">
        <v>7.66</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2102</v>
      </c>
      <c r="D33" s="90">
        <v>9.8889999999999993</v>
      </c>
      <c r="E33" s="91">
        <v>0.78900000000000003</v>
      </c>
      <c r="F33" s="92">
        <v>7.8E-2</v>
      </c>
      <c r="G33" s="317">
        <v>8.9700000000000006</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2102</v>
      </c>
      <c r="D34" s="90">
        <v>9.8889999999999993</v>
      </c>
      <c r="E34" s="91">
        <v>0.78900000000000003</v>
      </c>
      <c r="F34" s="92">
        <v>7.8E-2</v>
      </c>
      <c r="G34" s="317">
        <v>12.97</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2102</v>
      </c>
      <c r="D35" s="90">
        <v>9.8889999999999993</v>
      </c>
      <c r="E35" s="91">
        <v>0.78900000000000003</v>
      </c>
      <c r="F35" s="92">
        <v>7.8E-2</v>
      </c>
      <c r="G35" s="317">
        <v>18.34</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2102</v>
      </c>
      <c r="D36" s="90">
        <v>9.8889999999999993</v>
      </c>
      <c r="E36" s="91">
        <v>0.78900000000000003</v>
      </c>
      <c r="F36" s="92">
        <v>7.8E-2</v>
      </c>
      <c r="G36" s="317">
        <v>33.61</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2032</v>
      </c>
      <c r="D37" s="90">
        <v>9.8889999999999993</v>
      </c>
      <c r="E37" s="91">
        <v>0.78900000000000003</v>
      </c>
      <c r="F37" s="92">
        <v>7.8E-2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6.1420000000000003</v>
      </c>
      <c r="E38" s="91">
        <v>0.437</v>
      </c>
      <c r="F38" s="92">
        <v>4.3999999999999997E-2</v>
      </c>
      <c r="G38" s="317">
        <v>7.6</v>
      </c>
      <c r="H38" s="317">
        <v>5.14</v>
      </c>
      <c r="I38" s="320">
        <v>5.14</v>
      </c>
      <c r="J38" s="25">
        <v>0.10100000000000001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6.1420000000000003</v>
      </c>
      <c r="E39" s="91">
        <v>0.437</v>
      </c>
      <c r="F39" s="92">
        <v>4.3999999999999997E-2</v>
      </c>
      <c r="G39" s="317">
        <v>56.65</v>
      </c>
      <c r="H39" s="317">
        <v>5.14</v>
      </c>
      <c r="I39" s="320">
        <v>5.14</v>
      </c>
      <c r="J39" s="25">
        <v>0.10100000000000001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6.1420000000000003</v>
      </c>
      <c r="E40" s="91">
        <v>0.437</v>
      </c>
      <c r="F40" s="92">
        <v>4.3999999999999997E-2</v>
      </c>
      <c r="G40" s="317">
        <v>95.62</v>
      </c>
      <c r="H40" s="317">
        <v>5.14</v>
      </c>
      <c r="I40" s="320">
        <v>5.14</v>
      </c>
      <c r="J40" s="25">
        <v>0.10100000000000001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6.1420000000000003</v>
      </c>
      <c r="E41" s="91">
        <v>0.437</v>
      </c>
      <c r="F41" s="92">
        <v>4.3999999999999997E-2</v>
      </c>
      <c r="G41" s="317">
        <v>147.51</v>
      </c>
      <c r="H41" s="317">
        <v>5.14</v>
      </c>
      <c r="I41" s="320">
        <v>5.14</v>
      </c>
      <c r="J41" s="25">
        <v>0.10100000000000001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6.1420000000000003</v>
      </c>
      <c r="E42" s="91">
        <v>0.437</v>
      </c>
      <c r="F42" s="92">
        <v>4.3999999999999997E-2</v>
      </c>
      <c r="G42" s="317">
        <v>317.64</v>
      </c>
      <c r="H42" s="317">
        <v>5.14</v>
      </c>
      <c r="I42" s="320">
        <v>5.14</v>
      </c>
      <c r="J42" s="25">
        <v>0.10100000000000001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6.7759999999999998</v>
      </c>
      <c r="E43" s="91">
        <v>0.34200000000000003</v>
      </c>
      <c r="F43" s="92">
        <v>3.6999999999999998E-2</v>
      </c>
      <c r="G43" s="317">
        <v>10.28</v>
      </c>
      <c r="H43" s="317">
        <v>7.63</v>
      </c>
      <c r="I43" s="320">
        <v>7.63</v>
      </c>
      <c r="J43" s="25">
        <v>9.6000000000000002E-2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6.7759999999999998</v>
      </c>
      <c r="E44" s="91">
        <v>0.34200000000000003</v>
      </c>
      <c r="F44" s="92">
        <v>3.6999999999999998E-2</v>
      </c>
      <c r="G44" s="317">
        <v>95.3</v>
      </c>
      <c r="H44" s="317">
        <v>7.63</v>
      </c>
      <c r="I44" s="320">
        <v>7.63</v>
      </c>
      <c r="J44" s="25">
        <v>9.6000000000000002E-2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6.7759999999999998</v>
      </c>
      <c r="E45" s="91">
        <v>0.34200000000000003</v>
      </c>
      <c r="F45" s="92">
        <v>3.6999999999999998E-2</v>
      </c>
      <c r="G45" s="317">
        <v>162.86000000000001</v>
      </c>
      <c r="H45" s="317">
        <v>7.63</v>
      </c>
      <c r="I45" s="320">
        <v>7.63</v>
      </c>
      <c r="J45" s="25">
        <v>9.6000000000000002E-2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6.7759999999999998</v>
      </c>
      <c r="E46" s="91">
        <v>0.34200000000000003</v>
      </c>
      <c r="F46" s="92">
        <v>3.6999999999999998E-2</v>
      </c>
      <c r="G46" s="317">
        <v>252.81</v>
      </c>
      <c r="H46" s="317">
        <v>7.63</v>
      </c>
      <c r="I46" s="320">
        <v>7.63</v>
      </c>
      <c r="J46" s="25">
        <v>9.6000000000000002E-2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6.7759999999999998</v>
      </c>
      <c r="E47" s="91">
        <v>0.34200000000000003</v>
      </c>
      <c r="F47" s="92">
        <v>3.6999999999999998E-2</v>
      </c>
      <c r="G47" s="317">
        <v>547.71</v>
      </c>
      <c r="H47" s="317">
        <v>7.63</v>
      </c>
      <c r="I47" s="320">
        <v>7.63</v>
      </c>
      <c r="J47" s="25">
        <v>9.6000000000000002E-2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6.1479999999999997</v>
      </c>
      <c r="E48" s="91">
        <v>0.23599999999999999</v>
      </c>
      <c r="F48" s="92">
        <v>2.7E-2</v>
      </c>
      <c r="G48" s="317">
        <v>112.73</v>
      </c>
      <c r="H48" s="317">
        <v>8.6999999999999993</v>
      </c>
      <c r="I48" s="320">
        <v>8.6999999999999993</v>
      </c>
      <c r="J48" s="25">
        <v>7.9000000000000001E-2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6.1479999999999997</v>
      </c>
      <c r="E49" s="91">
        <v>0.23599999999999999</v>
      </c>
      <c r="F49" s="92">
        <v>2.7E-2</v>
      </c>
      <c r="G49" s="317">
        <v>848.4</v>
      </c>
      <c r="H49" s="317">
        <v>8.6999999999999993</v>
      </c>
      <c r="I49" s="320">
        <v>8.6999999999999993</v>
      </c>
      <c r="J49" s="25">
        <v>7.9000000000000001E-2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6.1479999999999997</v>
      </c>
      <c r="E50" s="91">
        <v>0.23599999999999999</v>
      </c>
      <c r="F50" s="92">
        <v>2.7E-2</v>
      </c>
      <c r="G50" s="317">
        <v>1810.11</v>
      </c>
      <c r="H50" s="317">
        <v>8.6999999999999993</v>
      </c>
      <c r="I50" s="320">
        <v>8.6999999999999993</v>
      </c>
      <c r="J50" s="25">
        <v>7.9000000000000001E-2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6.1479999999999997</v>
      </c>
      <c r="E51" s="91">
        <v>0.23599999999999999</v>
      </c>
      <c r="F51" s="92">
        <v>2.7E-2</v>
      </c>
      <c r="G51" s="317">
        <v>3952.13</v>
      </c>
      <c r="H51" s="317">
        <v>8.6999999999999993</v>
      </c>
      <c r="I51" s="320">
        <v>8.6999999999999993</v>
      </c>
      <c r="J51" s="25">
        <v>7.9000000000000001E-2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6.1479999999999997</v>
      </c>
      <c r="E52" s="91">
        <v>0.23599999999999999</v>
      </c>
      <c r="F52" s="92">
        <v>2.7E-2</v>
      </c>
      <c r="G52" s="317">
        <v>7507.68</v>
      </c>
      <c r="H52" s="317">
        <v>8.6999999999999993</v>
      </c>
      <c r="I52" s="320">
        <v>8.6999999999999993</v>
      </c>
      <c r="J52" s="25">
        <v>7.9000000000000001E-2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804</v>
      </c>
      <c r="D53" s="93">
        <v>30.175000000000001</v>
      </c>
      <c r="E53" s="94">
        <v>1.6519999999999999</v>
      </c>
      <c r="F53" s="92">
        <v>0.82099999999999995</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-15.28</v>
      </c>
      <c r="E54" s="91">
        <v>-1.2190000000000001</v>
      </c>
      <c r="F54" s="92">
        <v>-0.121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-13.109</v>
      </c>
      <c r="E55" s="91">
        <v>-0.97499999999999998</v>
      </c>
      <c r="F55" s="92">
        <v>-9.7000000000000003E-2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-15.28</v>
      </c>
      <c r="E56" s="91">
        <v>-1.2190000000000001</v>
      </c>
      <c r="F56" s="92">
        <v>-0.121</v>
      </c>
      <c r="G56" s="317" t="s">
        <v>797</v>
      </c>
      <c r="H56" s="318" t="s">
        <v>797</v>
      </c>
      <c r="I56" s="319" t="s">
        <v>797</v>
      </c>
      <c r="J56" s="25">
        <v>0.312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-13.109</v>
      </c>
      <c r="E57" s="91">
        <v>-0.97499999999999998</v>
      </c>
      <c r="F57" s="92">
        <v>-9.7000000000000003E-2</v>
      </c>
      <c r="G57" s="317" t="s">
        <v>797</v>
      </c>
      <c r="H57" s="318" t="s">
        <v>797</v>
      </c>
      <c r="I57" s="319" t="s">
        <v>797</v>
      </c>
      <c r="J57" s="25">
        <v>0.224</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-8.1959999999999997</v>
      </c>
      <c r="E58" s="91">
        <v>-0.41399999999999998</v>
      </c>
      <c r="F58" s="92">
        <v>-4.4999999999999998E-2</v>
      </c>
      <c r="G58" s="317" t="s">
        <v>797</v>
      </c>
      <c r="H58" s="318" t="s">
        <v>797</v>
      </c>
      <c r="I58" s="319" t="s">
        <v>797</v>
      </c>
      <c r="J58" s="25">
        <v>0.187</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2101</v>
      </c>
      <c r="D59" s="90">
        <v>7.0860000000000003</v>
      </c>
      <c r="E59" s="91">
        <v>0.56499999999999995</v>
      </c>
      <c r="F59" s="92">
        <v>5.6000000000000001E-2</v>
      </c>
      <c r="G59" s="317">
        <v>4.9800000000000004</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2031</v>
      </c>
      <c r="D60" s="90">
        <v>7.0860000000000003</v>
      </c>
      <c r="E60" s="91">
        <v>0.56499999999999995</v>
      </c>
      <c r="F60" s="92">
        <v>5.6000000000000001E-2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2102</v>
      </c>
      <c r="D61" s="90">
        <v>6.9320000000000004</v>
      </c>
      <c r="E61" s="91">
        <v>0.55300000000000005</v>
      </c>
      <c r="F61" s="92">
        <v>5.5E-2</v>
      </c>
      <c r="G61" s="317">
        <v>5.37</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2102</v>
      </c>
      <c r="D62" s="90">
        <v>6.9320000000000004</v>
      </c>
      <c r="E62" s="91">
        <v>0.55300000000000005</v>
      </c>
      <c r="F62" s="92">
        <v>5.5E-2</v>
      </c>
      <c r="G62" s="317">
        <v>6.29</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2102</v>
      </c>
      <c r="D63" s="90">
        <v>6.9320000000000004</v>
      </c>
      <c r="E63" s="91">
        <v>0.55300000000000005</v>
      </c>
      <c r="F63" s="92">
        <v>5.5E-2</v>
      </c>
      <c r="G63" s="317">
        <v>9.09</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2102</v>
      </c>
      <c r="D64" s="90">
        <v>6.9320000000000004</v>
      </c>
      <c r="E64" s="91">
        <v>0.55300000000000005</v>
      </c>
      <c r="F64" s="92">
        <v>5.5E-2</v>
      </c>
      <c r="G64" s="317">
        <v>12.86</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2102</v>
      </c>
      <c r="D65" s="90">
        <v>6.9320000000000004</v>
      </c>
      <c r="E65" s="91">
        <v>0.55300000000000005</v>
      </c>
      <c r="F65" s="92">
        <v>5.5E-2</v>
      </c>
      <c r="G65" s="317">
        <v>23.56</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2032</v>
      </c>
      <c r="D66" s="90">
        <v>6.9320000000000004</v>
      </c>
      <c r="E66" s="91">
        <v>0.55300000000000005</v>
      </c>
      <c r="F66" s="92">
        <v>5.5E-2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4.3049999999999997</v>
      </c>
      <c r="E67" s="91">
        <v>0.30599999999999999</v>
      </c>
      <c r="F67" s="92">
        <v>3.1E-2</v>
      </c>
      <c r="G67" s="317">
        <v>5.33</v>
      </c>
      <c r="H67" s="317">
        <v>3.6</v>
      </c>
      <c r="I67" s="320">
        <v>3.6</v>
      </c>
      <c r="J67" s="25">
        <v>7.0000000000000007E-2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4.3049999999999997</v>
      </c>
      <c r="E68" s="91">
        <v>0.30599999999999999</v>
      </c>
      <c r="F68" s="92">
        <v>3.1E-2</v>
      </c>
      <c r="G68" s="317">
        <v>39.71</v>
      </c>
      <c r="H68" s="317">
        <v>3.6</v>
      </c>
      <c r="I68" s="320">
        <v>3.6</v>
      </c>
      <c r="J68" s="25">
        <v>7.0000000000000007E-2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4.3049999999999997</v>
      </c>
      <c r="E69" s="91">
        <v>0.30599999999999999</v>
      </c>
      <c r="F69" s="92">
        <v>3.1E-2</v>
      </c>
      <c r="G69" s="317">
        <v>67.03</v>
      </c>
      <c r="H69" s="317">
        <v>3.6</v>
      </c>
      <c r="I69" s="320">
        <v>3.6</v>
      </c>
      <c r="J69" s="25">
        <v>7.0000000000000007E-2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4.3049999999999997</v>
      </c>
      <c r="E70" s="91">
        <v>0.30599999999999999</v>
      </c>
      <c r="F70" s="92">
        <v>3.1E-2</v>
      </c>
      <c r="G70" s="317">
        <v>103.41</v>
      </c>
      <c r="H70" s="317">
        <v>3.6</v>
      </c>
      <c r="I70" s="320">
        <v>3.6</v>
      </c>
      <c r="J70" s="25">
        <v>7.0000000000000007E-2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4.3049999999999997</v>
      </c>
      <c r="E71" s="91">
        <v>0.30599999999999999</v>
      </c>
      <c r="F71" s="92">
        <v>3.1E-2</v>
      </c>
      <c r="G71" s="317">
        <v>222.66</v>
      </c>
      <c r="H71" s="317">
        <v>3.6</v>
      </c>
      <c r="I71" s="320">
        <v>3.6</v>
      </c>
      <c r="J71" s="25">
        <v>7.0000000000000007E-2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4.6399999999999997</v>
      </c>
      <c r="E72" s="91">
        <v>0.23400000000000001</v>
      </c>
      <c r="F72" s="92">
        <v>2.5000000000000001E-2</v>
      </c>
      <c r="G72" s="317">
        <v>7.04</v>
      </c>
      <c r="H72" s="317">
        <v>5.22</v>
      </c>
      <c r="I72" s="320">
        <v>5.22</v>
      </c>
      <c r="J72" s="25">
        <v>6.5000000000000002E-2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4.6399999999999997</v>
      </c>
      <c r="E73" s="91">
        <v>0.23400000000000001</v>
      </c>
      <c r="F73" s="92">
        <v>2.5000000000000001E-2</v>
      </c>
      <c r="G73" s="317">
        <v>65.25</v>
      </c>
      <c r="H73" s="317">
        <v>5.22</v>
      </c>
      <c r="I73" s="320">
        <v>5.22</v>
      </c>
      <c r="J73" s="25">
        <v>6.5000000000000002E-2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4.6399999999999997</v>
      </c>
      <c r="E74" s="91">
        <v>0.23400000000000001</v>
      </c>
      <c r="F74" s="92">
        <v>2.5000000000000001E-2</v>
      </c>
      <c r="G74" s="317">
        <v>111.51</v>
      </c>
      <c r="H74" s="317">
        <v>5.22</v>
      </c>
      <c r="I74" s="320">
        <v>5.22</v>
      </c>
      <c r="J74" s="25">
        <v>6.5000000000000002E-2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4.6399999999999997</v>
      </c>
      <c r="E75" s="91">
        <v>0.23400000000000001</v>
      </c>
      <c r="F75" s="92">
        <v>2.5000000000000001E-2</v>
      </c>
      <c r="G75" s="317">
        <v>173.1</v>
      </c>
      <c r="H75" s="317">
        <v>5.22</v>
      </c>
      <c r="I75" s="320">
        <v>5.22</v>
      </c>
      <c r="J75" s="25">
        <v>6.5000000000000002E-2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4.6399999999999997</v>
      </c>
      <c r="E76" s="91">
        <v>0.23400000000000001</v>
      </c>
      <c r="F76" s="92">
        <v>2.5000000000000001E-2</v>
      </c>
      <c r="G76" s="317">
        <v>375.01</v>
      </c>
      <c r="H76" s="317">
        <v>5.22</v>
      </c>
      <c r="I76" s="320">
        <v>5.22</v>
      </c>
      <c r="J76" s="25">
        <v>6.5000000000000002E-2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4.16</v>
      </c>
      <c r="E77" s="91">
        <v>0.159</v>
      </c>
      <c r="F77" s="92">
        <v>1.7999999999999999E-2</v>
      </c>
      <c r="G77" s="317">
        <v>76.28</v>
      </c>
      <c r="H77" s="317">
        <v>5.89</v>
      </c>
      <c r="I77" s="320">
        <v>5.89</v>
      </c>
      <c r="J77" s="25">
        <v>5.3999999999999999E-2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4.16</v>
      </c>
      <c r="E78" s="91">
        <v>0.159</v>
      </c>
      <c r="F78" s="92">
        <v>1.7999999999999999E-2</v>
      </c>
      <c r="G78" s="317">
        <v>574.08000000000004</v>
      </c>
      <c r="H78" s="317">
        <v>5.89</v>
      </c>
      <c r="I78" s="320">
        <v>5.89</v>
      </c>
      <c r="J78" s="25">
        <v>5.3999999999999999E-2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4.16</v>
      </c>
      <c r="E79" s="91">
        <v>0.159</v>
      </c>
      <c r="F79" s="92">
        <v>1.7999999999999999E-2</v>
      </c>
      <c r="G79" s="317">
        <v>1224.8399999999999</v>
      </c>
      <c r="H79" s="317">
        <v>5.89</v>
      </c>
      <c r="I79" s="320">
        <v>5.89</v>
      </c>
      <c r="J79" s="25">
        <v>5.3999999999999999E-2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4.16</v>
      </c>
      <c r="E80" s="91">
        <v>0.159</v>
      </c>
      <c r="F80" s="92">
        <v>1.7999999999999999E-2</v>
      </c>
      <c r="G80" s="317">
        <v>2674.27</v>
      </c>
      <c r="H80" s="317">
        <v>5.89</v>
      </c>
      <c r="I80" s="320">
        <v>5.89</v>
      </c>
      <c r="J80" s="25">
        <v>5.3999999999999999E-2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4.16</v>
      </c>
      <c r="E81" s="91">
        <v>0.159</v>
      </c>
      <c r="F81" s="92">
        <v>1.7999999999999999E-2</v>
      </c>
      <c r="G81" s="317">
        <v>5080.18</v>
      </c>
      <c r="H81" s="317">
        <v>5.89</v>
      </c>
      <c r="I81" s="320">
        <v>5.89</v>
      </c>
      <c r="J81" s="25">
        <v>5.3999999999999999E-2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804</v>
      </c>
      <c r="D82" s="93">
        <v>21.152999999999999</v>
      </c>
      <c r="E82" s="94">
        <v>1.1579999999999999</v>
      </c>
      <c r="F82" s="92">
        <v>0.57499999999999996</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-7.2190000000000003</v>
      </c>
      <c r="E83" s="91">
        <v>-0.57599999999999996</v>
      </c>
      <c r="F83" s="92">
        <v>-5.7000000000000002E-2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-7.2709999999999999</v>
      </c>
      <c r="E84" s="91">
        <v>-0.54100000000000004</v>
      </c>
      <c r="F84" s="92">
        <v>-5.3999999999999999E-2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-7.2190000000000003</v>
      </c>
      <c r="E85" s="91">
        <v>-0.57599999999999996</v>
      </c>
      <c r="F85" s="92">
        <v>-5.7000000000000002E-2</v>
      </c>
      <c r="G85" s="317" t="s">
        <v>797</v>
      </c>
      <c r="H85" s="318" t="s">
        <v>797</v>
      </c>
      <c r="I85" s="319" t="s">
        <v>797</v>
      </c>
      <c r="J85" s="25">
        <v>0.14799999999999999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-7.2709999999999999</v>
      </c>
      <c r="E86" s="91">
        <v>-0.54100000000000004</v>
      </c>
      <c r="F86" s="92">
        <v>-5.3999999999999999E-2</v>
      </c>
      <c r="G86" s="317" t="s">
        <v>797</v>
      </c>
      <c r="H86" s="318" t="s">
        <v>797</v>
      </c>
      <c r="I86" s="319" t="s">
        <v>797</v>
      </c>
      <c r="J86" s="25">
        <v>0.124</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-8.1959999999999997</v>
      </c>
      <c r="E87" s="91">
        <v>-0.41399999999999998</v>
      </c>
      <c r="F87" s="92">
        <v>-4.4999999999999998E-2</v>
      </c>
      <c r="G87" s="317">
        <v>86.08</v>
      </c>
      <c r="H87" s="318" t="s">
        <v>797</v>
      </c>
      <c r="I87" s="319" t="s">
        <v>797</v>
      </c>
      <c r="J87" s="25">
        <v>0.187</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2101</v>
      </c>
      <c r="D88" s="90">
        <v>5.5170000000000003</v>
      </c>
      <c r="E88" s="91">
        <v>0.44</v>
      </c>
      <c r="F88" s="92">
        <v>4.3999999999999997E-2</v>
      </c>
      <c r="G88" s="317">
        <v>3.87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2031</v>
      </c>
      <c r="D89" s="90">
        <v>5.5170000000000003</v>
      </c>
      <c r="E89" s="91">
        <v>0.44</v>
      </c>
      <c r="F89" s="92">
        <v>4.3999999999999997E-2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2102</v>
      </c>
      <c r="D90" s="90">
        <v>5.3979999999999997</v>
      </c>
      <c r="E90" s="91">
        <v>0.43099999999999999</v>
      </c>
      <c r="F90" s="92">
        <v>4.2999999999999997E-2</v>
      </c>
      <c r="G90" s="317">
        <v>4.18</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2102</v>
      </c>
      <c r="D91" s="90">
        <v>5.3979999999999997</v>
      </c>
      <c r="E91" s="91">
        <v>0.43099999999999999</v>
      </c>
      <c r="F91" s="92">
        <v>4.2999999999999997E-2</v>
      </c>
      <c r="G91" s="317">
        <v>4.8899999999999997</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2102</v>
      </c>
      <c r="D92" s="90">
        <v>5.3979999999999997</v>
      </c>
      <c r="E92" s="91">
        <v>0.43099999999999999</v>
      </c>
      <c r="F92" s="92">
        <v>4.2999999999999997E-2</v>
      </c>
      <c r="G92" s="317">
        <v>7.08</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2102</v>
      </c>
      <c r="D93" s="90">
        <v>5.3979999999999997</v>
      </c>
      <c r="E93" s="91">
        <v>0.43099999999999999</v>
      </c>
      <c r="F93" s="92">
        <v>4.2999999999999997E-2</v>
      </c>
      <c r="G93" s="317">
        <v>10.01</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2102</v>
      </c>
      <c r="D94" s="90">
        <v>5.3979999999999997</v>
      </c>
      <c r="E94" s="91">
        <v>0.43099999999999999</v>
      </c>
      <c r="F94" s="92">
        <v>4.2999999999999997E-2</v>
      </c>
      <c r="G94" s="317">
        <v>18.350000000000001</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2032</v>
      </c>
      <c r="D95" s="90">
        <v>5.3979999999999997</v>
      </c>
      <c r="E95" s="91">
        <v>0.43099999999999999</v>
      </c>
      <c r="F95" s="92">
        <v>4.2999999999999997E-2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3.3519999999999999</v>
      </c>
      <c r="E96" s="91">
        <v>0.23799999999999999</v>
      </c>
      <c r="F96" s="92">
        <v>2.4E-2</v>
      </c>
      <c r="G96" s="317">
        <v>4.1500000000000004</v>
      </c>
      <c r="H96" s="317">
        <v>2.81</v>
      </c>
      <c r="I96" s="320">
        <v>2.81</v>
      </c>
      <c r="J96" s="25">
        <v>5.5E-2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3.3519999999999999</v>
      </c>
      <c r="E97" s="91">
        <v>0.23799999999999999</v>
      </c>
      <c r="F97" s="92">
        <v>2.4E-2</v>
      </c>
      <c r="G97" s="317">
        <v>30.92</v>
      </c>
      <c r="H97" s="317">
        <v>2.81</v>
      </c>
      <c r="I97" s="320">
        <v>2.81</v>
      </c>
      <c r="J97" s="25">
        <v>5.5E-2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3.3519999999999999</v>
      </c>
      <c r="E98" s="91">
        <v>0.23799999999999999</v>
      </c>
      <c r="F98" s="92">
        <v>2.4E-2</v>
      </c>
      <c r="G98" s="317">
        <v>52.19</v>
      </c>
      <c r="H98" s="317">
        <v>2.81</v>
      </c>
      <c r="I98" s="320">
        <v>2.81</v>
      </c>
      <c r="J98" s="25">
        <v>5.5E-2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3.3519999999999999</v>
      </c>
      <c r="E99" s="91">
        <v>0.23799999999999999</v>
      </c>
      <c r="F99" s="92">
        <v>2.4E-2</v>
      </c>
      <c r="G99" s="317">
        <v>80.510000000000005</v>
      </c>
      <c r="H99" s="317">
        <v>2.81</v>
      </c>
      <c r="I99" s="320">
        <v>2.81</v>
      </c>
      <c r="J99" s="25">
        <v>5.5E-2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3.3519999999999999</v>
      </c>
      <c r="E100" s="91">
        <v>0.23799999999999999</v>
      </c>
      <c r="F100" s="92">
        <v>2.4E-2</v>
      </c>
      <c r="G100" s="317">
        <v>173.37</v>
      </c>
      <c r="H100" s="317">
        <v>2.81</v>
      </c>
      <c r="I100" s="320">
        <v>2.81</v>
      </c>
      <c r="J100" s="25">
        <v>5.5E-2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3.613</v>
      </c>
      <c r="E101" s="91">
        <v>0.182</v>
      </c>
      <c r="F101" s="92">
        <v>0.02</v>
      </c>
      <c r="G101" s="317">
        <v>5.48</v>
      </c>
      <c r="H101" s="317">
        <v>4.07</v>
      </c>
      <c r="I101" s="320">
        <v>4.07</v>
      </c>
      <c r="J101" s="25">
        <v>5.0999999999999997E-2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3.613</v>
      </c>
      <c r="E102" s="91">
        <v>0.182</v>
      </c>
      <c r="F102" s="92">
        <v>0.02</v>
      </c>
      <c r="G102" s="317">
        <v>50.81</v>
      </c>
      <c r="H102" s="317">
        <v>4.07</v>
      </c>
      <c r="I102" s="320">
        <v>4.07</v>
      </c>
      <c r="J102" s="25">
        <v>5.0999999999999997E-2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3.613</v>
      </c>
      <c r="E103" s="91">
        <v>0.182</v>
      </c>
      <c r="F103" s="92">
        <v>0.02</v>
      </c>
      <c r="G103" s="317">
        <v>86.83</v>
      </c>
      <c r="H103" s="317">
        <v>4.07</v>
      </c>
      <c r="I103" s="320">
        <v>4.07</v>
      </c>
      <c r="J103" s="25">
        <v>5.0999999999999997E-2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3.613</v>
      </c>
      <c r="E104" s="91">
        <v>0.182</v>
      </c>
      <c r="F104" s="92">
        <v>0.02</v>
      </c>
      <c r="G104" s="317">
        <v>134.78</v>
      </c>
      <c r="H104" s="317">
        <v>4.07</v>
      </c>
      <c r="I104" s="320">
        <v>4.07</v>
      </c>
      <c r="J104" s="25">
        <v>5.0999999999999997E-2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3.613</v>
      </c>
      <c r="E105" s="91">
        <v>0.182</v>
      </c>
      <c r="F105" s="92">
        <v>0.02</v>
      </c>
      <c r="G105" s="317">
        <v>291.99</v>
      </c>
      <c r="H105" s="317">
        <v>4.07</v>
      </c>
      <c r="I105" s="320">
        <v>4.07</v>
      </c>
      <c r="J105" s="25">
        <v>5.0999999999999997E-2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3.2389999999999999</v>
      </c>
      <c r="E106" s="91">
        <v>0.124</v>
      </c>
      <c r="F106" s="92">
        <v>1.4E-2</v>
      </c>
      <c r="G106" s="317">
        <v>59.4</v>
      </c>
      <c r="H106" s="317">
        <v>4.58</v>
      </c>
      <c r="I106" s="320">
        <v>4.58</v>
      </c>
      <c r="J106" s="25">
        <v>4.2000000000000003E-2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3.2389999999999999</v>
      </c>
      <c r="E107" s="91">
        <v>0.124</v>
      </c>
      <c r="F107" s="92">
        <v>1.4E-2</v>
      </c>
      <c r="G107" s="317">
        <v>446.99</v>
      </c>
      <c r="H107" s="317">
        <v>4.58</v>
      </c>
      <c r="I107" s="320">
        <v>4.58</v>
      </c>
      <c r="J107" s="25">
        <v>4.2000000000000003E-2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3.2389999999999999</v>
      </c>
      <c r="E108" s="91">
        <v>0.124</v>
      </c>
      <c r="F108" s="92">
        <v>1.4E-2</v>
      </c>
      <c r="G108" s="317">
        <v>953.69</v>
      </c>
      <c r="H108" s="317">
        <v>4.58</v>
      </c>
      <c r="I108" s="320">
        <v>4.58</v>
      </c>
      <c r="J108" s="25">
        <v>4.2000000000000003E-2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3.2389999999999999</v>
      </c>
      <c r="E109" s="91">
        <v>0.124</v>
      </c>
      <c r="F109" s="92">
        <v>1.4E-2</v>
      </c>
      <c r="G109" s="317">
        <v>2082.2600000000002</v>
      </c>
      <c r="H109" s="317">
        <v>4.58</v>
      </c>
      <c r="I109" s="320">
        <v>4.58</v>
      </c>
      <c r="J109" s="25">
        <v>4.2000000000000003E-2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3.2389999999999999</v>
      </c>
      <c r="E110" s="91">
        <v>0.124</v>
      </c>
      <c r="F110" s="92">
        <v>1.4E-2</v>
      </c>
      <c r="G110" s="317">
        <v>3955.57</v>
      </c>
      <c r="H110" s="317">
        <v>4.58</v>
      </c>
      <c r="I110" s="320">
        <v>4.58</v>
      </c>
      <c r="J110" s="25">
        <v>4.2000000000000003E-2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804</v>
      </c>
      <c r="D111" s="93">
        <v>16.47</v>
      </c>
      <c r="E111" s="94">
        <v>0.90200000000000002</v>
      </c>
      <c r="F111" s="92">
        <v>0.44800000000000001</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-5.6210000000000004</v>
      </c>
      <c r="E112" s="91">
        <v>-0.44800000000000001</v>
      </c>
      <c r="F112" s="92">
        <v>-4.3999999999999997E-2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-5.6609999999999996</v>
      </c>
      <c r="E113" s="91">
        <v>-0.42099999999999999</v>
      </c>
      <c r="F113" s="92">
        <v>-4.2000000000000003E-2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-5.6210000000000004</v>
      </c>
      <c r="E114" s="91">
        <v>-0.44800000000000001</v>
      </c>
      <c r="F114" s="92">
        <v>-4.3999999999999997E-2</v>
      </c>
      <c r="G114" s="317" t="s">
        <v>797</v>
      </c>
      <c r="H114" s="318" t="s">
        <v>797</v>
      </c>
      <c r="I114" s="319" t="s">
        <v>797</v>
      </c>
      <c r="J114" s="25">
        <v>0.115</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-5.6609999999999996</v>
      </c>
      <c r="E115" s="91">
        <v>-0.42099999999999999</v>
      </c>
      <c r="F115" s="92">
        <v>-4.2000000000000003E-2</v>
      </c>
      <c r="G115" s="317" t="s">
        <v>797</v>
      </c>
      <c r="H115" s="318" t="s">
        <v>797</v>
      </c>
      <c r="I115" s="319" t="s">
        <v>797</v>
      </c>
      <c r="J115" s="25">
        <v>9.7000000000000003E-2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-6.3819999999999997</v>
      </c>
      <c r="E116" s="91">
        <v>-0.32200000000000001</v>
      </c>
      <c r="F116" s="92">
        <v>-3.5000000000000003E-2</v>
      </c>
      <c r="G116" s="317">
        <v>67.02</v>
      </c>
      <c r="H116" s="318" t="s">
        <v>797</v>
      </c>
      <c r="I116" s="319" t="s">
        <v>797</v>
      </c>
      <c r="J116" s="25">
        <v>0.14599999999999999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2101</v>
      </c>
      <c r="D117" s="90">
        <v>4.218</v>
      </c>
      <c r="E117" s="91">
        <v>0.33600000000000002</v>
      </c>
      <c r="F117" s="92">
        <v>3.3000000000000002E-2</v>
      </c>
      <c r="G117" s="317">
        <v>2.96</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2031</v>
      </c>
      <c r="D118" s="90">
        <v>4.218</v>
      </c>
      <c r="E118" s="91">
        <v>0.33600000000000002</v>
      </c>
      <c r="F118" s="92">
        <v>3.3000000000000002E-2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2102</v>
      </c>
      <c r="D119" s="90">
        <v>4.1269999999999998</v>
      </c>
      <c r="E119" s="91">
        <v>0.32900000000000001</v>
      </c>
      <c r="F119" s="92">
        <v>3.3000000000000002E-2</v>
      </c>
      <c r="G119" s="317">
        <v>3.2</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2102</v>
      </c>
      <c r="D120" s="90">
        <v>4.1269999999999998</v>
      </c>
      <c r="E120" s="91">
        <v>0.32900000000000001</v>
      </c>
      <c r="F120" s="92">
        <v>3.3000000000000002E-2</v>
      </c>
      <c r="G120" s="317">
        <v>3.74</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2102</v>
      </c>
      <c r="D121" s="90">
        <v>4.1269999999999998</v>
      </c>
      <c r="E121" s="91">
        <v>0.32900000000000001</v>
      </c>
      <c r="F121" s="92">
        <v>3.3000000000000002E-2</v>
      </c>
      <c r="G121" s="317">
        <v>5.41</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2102</v>
      </c>
      <c r="D122" s="90">
        <v>4.1269999999999998</v>
      </c>
      <c r="E122" s="91">
        <v>0.32900000000000001</v>
      </c>
      <c r="F122" s="92">
        <v>3.3000000000000002E-2</v>
      </c>
      <c r="G122" s="317">
        <v>7.65</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2102</v>
      </c>
      <c r="D123" s="90">
        <v>4.1269999999999998</v>
      </c>
      <c r="E123" s="91">
        <v>0.32900000000000001</v>
      </c>
      <c r="F123" s="92">
        <v>3.3000000000000002E-2</v>
      </c>
      <c r="G123" s="317">
        <v>14.03</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2032</v>
      </c>
      <c r="D124" s="90">
        <v>4.1269999999999998</v>
      </c>
      <c r="E124" s="91">
        <v>0.32900000000000001</v>
      </c>
      <c r="F124" s="92">
        <v>3.3000000000000002E-2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2.5630000000000002</v>
      </c>
      <c r="E125" s="91">
        <v>0.182</v>
      </c>
      <c r="F125" s="92">
        <v>1.7999999999999999E-2</v>
      </c>
      <c r="G125" s="317">
        <v>3.17</v>
      </c>
      <c r="H125" s="317">
        <v>2.14</v>
      </c>
      <c r="I125" s="320">
        <v>2.14</v>
      </c>
      <c r="J125" s="25">
        <v>4.2000000000000003E-2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2.5630000000000002</v>
      </c>
      <c r="E126" s="91">
        <v>0.182</v>
      </c>
      <c r="F126" s="92">
        <v>1.7999999999999999E-2</v>
      </c>
      <c r="G126" s="317">
        <v>23.64</v>
      </c>
      <c r="H126" s="317">
        <v>2.14</v>
      </c>
      <c r="I126" s="320">
        <v>2.14</v>
      </c>
      <c r="J126" s="25">
        <v>4.2000000000000003E-2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2.5630000000000002</v>
      </c>
      <c r="E127" s="91">
        <v>0.182</v>
      </c>
      <c r="F127" s="92">
        <v>1.7999999999999999E-2</v>
      </c>
      <c r="G127" s="317">
        <v>39.909999999999997</v>
      </c>
      <c r="H127" s="317">
        <v>2.14</v>
      </c>
      <c r="I127" s="320">
        <v>2.14</v>
      </c>
      <c r="J127" s="25">
        <v>4.2000000000000003E-2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2.5630000000000002</v>
      </c>
      <c r="E128" s="91">
        <v>0.182</v>
      </c>
      <c r="F128" s="92">
        <v>1.7999999999999999E-2</v>
      </c>
      <c r="G128" s="317">
        <v>61.56</v>
      </c>
      <c r="H128" s="317">
        <v>2.14</v>
      </c>
      <c r="I128" s="320">
        <v>2.14</v>
      </c>
      <c r="J128" s="25">
        <v>4.2000000000000003E-2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2.5630000000000002</v>
      </c>
      <c r="E129" s="91">
        <v>0.182</v>
      </c>
      <c r="F129" s="92">
        <v>1.7999999999999999E-2</v>
      </c>
      <c r="G129" s="317">
        <v>132.56</v>
      </c>
      <c r="H129" s="317">
        <v>2.14</v>
      </c>
      <c r="I129" s="320">
        <v>2.14</v>
      </c>
      <c r="J129" s="25">
        <v>4.2000000000000003E-2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2.762</v>
      </c>
      <c r="E130" s="91">
        <v>0.13900000000000001</v>
      </c>
      <c r="F130" s="92">
        <v>1.4999999999999999E-2</v>
      </c>
      <c r="G130" s="317">
        <v>4.1900000000000004</v>
      </c>
      <c r="H130" s="317">
        <v>3.11</v>
      </c>
      <c r="I130" s="320">
        <v>3.11</v>
      </c>
      <c r="J130" s="25">
        <v>3.9E-2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2.762</v>
      </c>
      <c r="E131" s="91">
        <v>0.13900000000000001</v>
      </c>
      <c r="F131" s="92">
        <v>1.4999999999999999E-2</v>
      </c>
      <c r="G131" s="317">
        <v>38.85</v>
      </c>
      <c r="H131" s="317">
        <v>3.11</v>
      </c>
      <c r="I131" s="320">
        <v>3.11</v>
      </c>
      <c r="J131" s="25">
        <v>3.9E-2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2.762</v>
      </c>
      <c r="E132" s="91">
        <v>0.13900000000000001</v>
      </c>
      <c r="F132" s="92">
        <v>1.4999999999999999E-2</v>
      </c>
      <c r="G132" s="317">
        <v>66.39</v>
      </c>
      <c r="H132" s="317">
        <v>3.11</v>
      </c>
      <c r="I132" s="320">
        <v>3.11</v>
      </c>
      <c r="J132" s="25">
        <v>3.9E-2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2.762</v>
      </c>
      <c r="E133" s="91">
        <v>0.13900000000000001</v>
      </c>
      <c r="F133" s="92">
        <v>1.4999999999999999E-2</v>
      </c>
      <c r="G133" s="317">
        <v>103.05</v>
      </c>
      <c r="H133" s="317">
        <v>3.11</v>
      </c>
      <c r="I133" s="320">
        <v>3.11</v>
      </c>
      <c r="J133" s="25">
        <v>3.9E-2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2.762</v>
      </c>
      <c r="E134" s="91">
        <v>0.13900000000000001</v>
      </c>
      <c r="F134" s="92">
        <v>1.4999999999999999E-2</v>
      </c>
      <c r="G134" s="317">
        <v>223.26</v>
      </c>
      <c r="H134" s="317">
        <v>3.11</v>
      </c>
      <c r="I134" s="320">
        <v>3.11</v>
      </c>
      <c r="J134" s="25">
        <v>3.9E-2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2.476</v>
      </c>
      <c r="E135" s="91">
        <v>9.5000000000000001E-2</v>
      </c>
      <c r="F135" s="92">
        <v>1.0999999999999999E-2</v>
      </c>
      <c r="G135" s="317">
        <v>45.41</v>
      </c>
      <c r="H135" s="317">
        <v>3.51</v>
      </c>
      <c r="I135" s="320">
        <v>3.51</v>
      </c>
      <c r="J135" s="25">
        <v>3.2000000000000001E-2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2.476</v>
      </c>
      <c r="E136" s="91">
        <v>9.5000000000000001E-2</v>
      </c>
      <c r="F136" s="92">
        <v>1.0999999999999999E-2</v>
      </c>
      <c r="G136" s="317">
        <v>341.77</v>
      </c>
      <c r="H136" s="317">
        <v>3.51</v>
      </c>
      <c r="I136" s="320">
        <v>3.51</v>
      </c>
      <c r="J136" s="25">
        <v>3.2000000000000001E-2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2.476</v>
      </c>
      <c r="E137" s="91">
        <v>9.5000000000000001E-2</v>
      </c>
      <c r="F137" s="92">
        <v>1.0999999999999999E-2</v>
      </c>
      <c r="G137" s="317">
        <v>729.18</v>
      </c>
      <c r="H137" s="317">
        <v>3.51</v>
      </c>
      <c r="I137" s="320">
        <v>3.51</v>
      </c>
      <c r="J137" s="25">
        <v>3.2000000000000001E-2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2.476</v>
      </c>
      <c r="E138" s="91">
        <v>9.5000000000000001E-2</v>
      </c>
      <c r="F138" s="92">
        <v>1.0999999999999999E-2</v>
      </c>
      <c r="G138" s="317">
        <v>1592.07</v>
      </c>
      <c r="H138" s="317">
        <v>3.51</v>
      </c>
      <c r="I138" s="320">
        <v>3.51</v>
      </c>
      <c r="J138" s="25">
        <v>3.2000000000000001E-2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2.476</v>
      </c>
      <c r="E139" s="91">
        <v>9.5000000000000001E-2</v>
      </c>
      <c r="F139" s="92">
        <v>1.0999999999999999E-2</v>
      </c>
      <c r="G139" s="317">
        <v>3024.39</v>
      </c>
      <c r="H139" s="317">
        <v>3.51</v>
      </c>
      <c r="I139" s="320">
        <v>3.51</v>
      </c>
      <c r="J139" s="25">
        <v>3.2000000000000001E-2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804</v>
      </c>
      <c r="D140" s="93">
        <v>12.593</v>
      </c>
      <c r="E140" s="94">
        <v>0.68899999999999995</v>
      </c>
      <c r="F140" s="92">
        <v>0.34300000000000003</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-4.298</v>
      </c>
      <c r="E141" s="91">
        <v>-0.34300000000000003</v>
      </c>
      <c r="F141" s="92">
        <v>-3.4000000000000002E-2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-4.3280000000000003</v>
      </c>
      <c r="E142" s="91">
        <v>-0.32200000000000001</v>
      </c>
      <c r="F142" s="92">
        <v>-3.2000000000000001E-2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-4.298</v>
      </c>
      <c r="E143" s="91">
        <v>-0.34300000000000003</v>
      </c>
      <c r="F143" s="92">
        <v>-3.4000000000000002E-2</v>
      </c>
      <c r="G143" s="317" t="s">
        <v>797</v>
      </c>
      <c r="H143" s="318" t="s">
        <v>797</v>
      </c>
      <c r="I143" s="319" t="s">
        <v>797</v>
      </c>
      <c r="J143" s="25">
        <v>8.7999999999999995E-2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-4.3280000000000003</v>
      </c>
      <c r="E144" s="91">
        <v>-0.32200000000000001</v>
      </c>
      <c r="F144" s="92">
        <v>-3.2000000000000001E-2</v>
      </c>
      <c r="G144" s="317" t="s">
        <v>797</v>
      </c>
      <c r="H144" s="318" t="s">
        <v>797</v>
      </c>
      <c r="I144" s="319" t="s">
        <v>797</v>
      </c>
      <c r="J144" s="25">
        <v>7.3999999999999996E-2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-4.88</v>
      </c>
      <c r="E145" s="91">
        <v>-0.246</v>
      </c>
      <c r="F145" s="92">
        <v>-2.7E-2</v>
      </c>
      <c r="G145" s="317">
        <v>51.25</v>
      </c>
      <c r="H145" s="318" t="s">
        <v>797</v>
      </c>
      <c r="I145" s="319" t="s">
        <v>797</v>
      </c>
      <c r="J145" s="25">
        <v>0.112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2101</v>
      </c>
      <c r="D146" s="90">
        <v>2.9409999999999998</v>
      </c>
      <c r="E146" s="91">
        <v>0.23499999999999999</v>
      </c>
      <c r="F146" s="92">
        <v>2.3E-2</v>
      </c>
      <c r="G146" s="317">
        <v>2.06</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2031</v>
      </c>
      <c r="D147" s="90">
        <v>2.9409999999999998</v>
      </c>
      <c r="E147" s="91">
        <v>0.23499999999999999</v>
      </c>
      <c r="F147" s="92">
        <v>2.3E-2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2102</v>
      </c>
      <c r="D148" s="90">
        <v>2.8769999999999998</v>
      </c>
      <c r="E148" s="91">
        <v>0.22900000000000001</v>
      </c>
      <c r="F148" s="92">
        <v>2.3E-2</v>
      </c>
      <c r="G148" s="317">
        <v>2.23</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2102</v>
      </c>
      <c r="D149" s="90">
        <v>2.8769999999999998</v>
      </c>
      <c r="E149" s="91">
        <v>0.22900000000000001</v>
      </c>
      <c r="F149" s="92">
        <v>2.3E-2</v>
      </c>
      <c r="G149" s="317">
        <v>2.61</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2102</v>
      </c>
      <c r="D150" s="90">
        <v>2.8769999999999998</v>
      </c>
      <c r="E150" s="91">
        <v>0.22900000000000001</v>
      </c>
      <c r="F150" s="92">
        <v>2.3E-2</v>
      </c>
      <c r="G150" s="317">
        <v>3.77</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2102</v>
      </c>
      <c r="D151" s="90">
        <v>2.8769999999999998</v>
      </c>
      <c r="E151" s="91">
        <v>0.22900000000000001</v>
      </c>
      <c r="F151" s="92">
        <v>2.3E-2</v>
      </c>
      <c r="G151" s="317">
        <v>5.34</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2102</v>
      </c>
      <c r="D152" s="90">
        <v>2.8769999999999998</v>
      </c>
      <c r="E152" s="91">
        <v>0.22900000000000001</v>
      </c>
      <c r="F152" s="92">
        <v>2.3E-2</v>
      </c>
      <c r="G152" s="317">
        <v>9.7799999999999994</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2032</v>
      </c>
      <c r="D153" s="90">
        <v>2.8769999999999998</v>
      </c>
      <c r="E153" s="91">
        <v>0.22900000000000001</v>
      </c>
      <c r="F153" s="92">
        <v>2.3E-2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1.7869999999999999</v>
      </c>
      <c r="E154" s="91">
        <v>0.127</v>
      </c>
      <c r="F154" s="92">
        <v>1.2999999999999999E-2</v>
      </c>
      <c r="G154" s="317">
        <v>2.21</v>
      </c>
      <c r="H154" s="317">
        <v>1.5</v>
      </c>
      <c r="I154" s="320">
        <v>1.5</v>
      </c>
      <c r="J154" s="25">
        <v>2.9000000000000001E-2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1.7869999999999999</v>
      </c>
      <c r="E155" s="91">
        <v>0.127</v>
      </c>
      <c r="F155" s="92">
        <v>1.2999999999999999E-2</v>
      </c>
      <c r="G155" s="317">
        <v>16.48</v>
      </c>
      <c r="H155" s="317">
        <v>1.5</v>
      </c>
      <c r="I155" s="320">
        <v>1.5</v>
      </c>
      <c r="J155" s="25">
        <v>2.9000000000000001E-2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1.7869999999999999</v>
      </c>
      <c r="E156" s="91">
        <v>0.127</v>
      </c>
      <c r="F156" s="92">
        <v>1.2999999999999999E-2</v>
      </c>
      <c r="G156" s="317">
        <v>27.82</v>
      </c>
      <c r="H156" s="317">
        <v>1.5</v>
      </c>
      <c r="I156" s="320">
        <v>1.5</v>
      </c>
      <c r="J156" s="25">
        <v>2.9000000000000001E-2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1.7869999999999999</v>
      </c>
      <c r="E157" s="91">
        <v>0.127</v>
      </c>
      <c r="F157" s="92">
        <v>1.2999999999999999E-2</v>
      </c>
      <c r="G157" s="317">
        <v>42.91</v>
      </c>
      <c r="H157" s="317">
        <v>1.5</v>
      </c>
      <c r="I157" s="320">
        <v>1.5</v>
      </c>
      <c r="J157" s="25">
        <v>2.9000000000000001E-2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1.7869999999999999</v>
      </c>
      <c r="E158" s="91">
        <v>0.127</v>
      </c>
      <c r="F158" s="92">
        <v>1.2999999999999999E-2</v>
      </c>
      <c r="G158" s="317">
        <v>92.4</v>
      </c>
      <c r="H158" s="317">
        <v>1.5</v>
      </c>
      <c r="I158" s="320">
        <v>1.5</v>
      </c>
      <c r="J158" s="25">
        <v>2.9000000000000001E-2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1.925</v>
      </c>
      <c r="E159" s="91">
        <v>9.7000000000000003E-2</v>
      </c>
      <c r="F159" s="92">
        <v>0.01</v>
      </c>
      <c r="G159" s="317">
        <v>2.92</v>
      </c>
      <c r="H159" s="317">
        <v>2.17</v>
      </c>
      <c r="I159" s="320">
        <v>2.17</v>
      </c>
      <c r="J159" s="25">
        <v>2.7E-2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1.925</v>
      </c>
      <c r="E160" s="91">
        <v>9.7000000000000003E-2</v>
      </c>
      <c r="F160" s="92">
        <v>0.01</v>
      </c>
      <c r="G160" s="317">
        <v>27.08</v>
      </c>
      <c r="H160" s="317">
        <v>2.17</v>
      </c>
      <c r="I160" s="320">
        <v>2.17</v>
      </c>
      <c r="J160" s="25">
        <v>2.7E-2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1.925</v>
      </c>
      <c r="E161" s="91">
        <v>9.7000000000000003E-2</v>
      </c>
      <c r="F161" s="92">
        <v>0.01</v>
      </c>
      <c r="G161" s="317">
        <v>46.28</v>
      </c>
      <c r="H161" s="317">
        <v>2.17</v>
      </c>
      <c r="I161" s="320">
        <v>2.17</v>
      </c>
      <c r="J161" s="25">
        <v>2.7E-2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1.925</v>
      </c>
      <c r="E162" s="91">
        <v>9.7000000000000003E-2</v>
      </c>
      <c r="F162" s="92">
        <v>0.01</v>
      </c>
      <c r="G162" s="317">
        <v>71.84</v>
      </c>
      <c r="H162" s="317">
        <v>2.17</v>
      </c>
      <c r="I162" s="320">
        <v>2.17</v>
      </c>
      <c r="J162" s="25">
        <v>2.7E-2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1.925</v>
      </c>
      <c r="E163" s="91">
        <v>9.7000000000000003E-2</v>
      </c>
      <c r="F163" s="92">
        <v>0.01</v>
      </c>
      <c r="G163" s="317">
        <v>155.63</v>
      </c>
      <c r="H163" s="317">
        <v>2.17</v>
      </c>
      <c r="I163" s="320">
        <v>2.17</v>
      </c>
      <c r="J163" s="25">
        <v>2.7E-2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1.726</v>
      </c>
      <c r="E164" s="91">
        <v>6.6000000000000003E-2</v>
      </c>
      <c r="F164" s="92">
        <v>8.0000000000000002E-3</v>
      </c>
      <c r="G164" s="317">
        <v>31.66</v>
      </c>
      <c r="H164" s="317">
        <v>2.44</v>
      </c>
      <c r="I164" s="320">
        <v>2.44</v>
      </c>
      <c r="J164" s="25">
        <v>2.1999999999999999E-2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1.726</v>
      </c>
      <c r="E165" s="91">
        <v>6.6000000000000003E-2</v>
      </c>
      <c r="F165" s="92">
        <v>8.0000000000000002E-3</v>
      </c>
      <c r="G165" s="317">
        <v>238.24</v>
      </c>
      <c r="H165" s="317">
        <v>2.44</v>
      </c>
      <c r="I165" s="320">
        <v>2.44</v>
      </c>
      <c r="J165" s="25">
        <v>2.1999999999999999E-2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1.726</v>
      </c>
      <c r="E166" s="91">
        <v>6.6000000000000003E-2</v>
      </c>
      <c r="F166" s="92">
        <v>8.0000000000000002E-3</v>
      </c>
      <c r="G166" s="317">
        <v>508.3</v>
      </c>
      <c r="H166" s="317">
        <v>2.44</v>
      </c>
      <c r="I166" s="320">
        <v>2.44</v>
      </c>
      <c r="J166" s="25">
        <v>2.1999999999999999E-2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1.726</v>
      </c>
      <c r="E167" s="91">
        <v>6.6000000000000003E-2</v>
      </c>
      <c r="F167" s="92">
        <v>8.0000000000000002E-3</v>
      </c>
      <c r="G167" s="317">
        <v>1109.8</v>
      </c>
      <c r="H167" s="317">
        <v>2.44</v>
      </c>
      <c r="I167" s="320">
        <v>2.44</v>
      </c>
      <c r="J167" s="25">
        <v>2.1999999999999999E-2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1.726</v>
      </c>
      <c r="E168" s="91">
        <v>6.6000000000000003E-2</v>
      </c>
      <c r="F168" s="92">
        <v>8.0000000000000002E-3</v>
      </c>
      <c r="G168" s="317">
        <v>2108.2399999999998</v>
      </c>
      <c r="H168" s="317">
        <v>2.44</v>
      </c>
      <c r="I168" s="320">
        <v>2.44</v>
      </c>
      <c r="J168" s="25">
        <v>2.1999999999999999E-2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8.7780000000000005</v>
      </c>
      <c r="E169" s="94">
        <v>0.48099999999999998</v>
      </c>
      <c r="F169" s="92">
        <v>0.23899999999999999</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-2.996</v>
      </c>
      <c r="E170" s="91">
        <v>-0.23899999999999999</v>
      </c>
      <c r="F170" s="92">
        <v>-2.4E-2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-3.0169999999999999</v>
      </c>
      <c r="E171" s="91">
        <v>-0.224</v>
      </c>
      <c r="F171" s="92">
        <v>-2.1999999999999999E-2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-2.996</v>
      </c>
      <c r="E172" s="91">
        <v>-0.23899999999999999</v>
      </c>
      <c r="F172" s="92">
        <v>-2.4E-2</v>
      </c>
      <c r="G172" s="317" t="s">
        <v>797</v>
      </c>
      <c r="H172" s="318" t="s">
        <v>797</v>
      </c>
      <c r="I172" s="319" t="s">
        <v>797</v>
      </c>
      <c r="J172" s="25">
        <v>6.0999999999999999E-2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-3.0169999999999999</v>
      </c>
      <c r="E173" s="91">
        <v>-0.224</v>
      </c>
      <c r="F173" s="92">
        <v>-2.1999999999999999E-2</v>
      </c>
      <c r="G173" s="317" t="s">
        <v>797</v>
      </c>
      <c r="H173" s="318" t="s">
        <v>797</v>
      </c>
      <c r="I173" s="319" t="s">
        <v>797</v>
      </c>
      <c r="J173" s="25">
        <v>5.1999999999999998E-2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-3.4009999999999998</v>
      </c>
      <c r="E174" s="91">
        <v>-0.17199999999999999</v>
      </c>
      <c r="F174" s="92">
        <v>-1.9E-2</v>
      </c>
      <c r="G174" s="317">
        <v>35.72</v>
      </c>
      <c r="H174" s="318" t="s">
        <v>797</v>
      </c>
      <c r="I174" s="319" t="s">
        <v>797</v>
      </c>
      <c r="J174" s="25">
        <v>7.8E-2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2101</v>
      </c>
      <c r="D175" s="90">
        <v>1.23</v>
      </c>
      <c r="E175" s="91">
        <v>9.8000000000000004E-2</v>
      </c>
      <c r="F175" s="92">
        <v>0.01</v>
      </c>
      <c r="G175" s="317">
        <v>0.86</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2031</v>
      </c>
      <c r="D176" s="90">
        <v>1.23</v>
      </c>
      <c r="E176" s="91">
        <v>9.8000000000000004E-2</v>
      </c>
      <c r="F176" s="92">
        <v>0.01</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2102</v>
      </c>
      <c r="D177" s="90">
        <v>1.204</v>
      </c>
      <c r="E177" s="91">
        <v>9.6000000000000002E-2</v>
      </c>
      <c r="F177" s="92">
        <v>8.9999999999999993E-3</v>
      </c>
      <c r="G177" s="317">
        <v>0.93</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2102</v>
      </c>
      <c r="D178" s="90">
        <v>1.204</v>
      </c>
      <c r="E178" s="91">
        <v>9.6000000000000002E-2</v>
      </c>
      <c r="F178" s="92">
        <v>8.9999999999999993E-3</v>
      </c>
      <c r="G178" s="317">
        <v>1.0900000000000001</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2102</v>
      </c>
      <c r="D179" s="90">
        <v>1.204</v>
      </c>
      <c r="E179" s="91">
        <v>9.6000000000000002E-2</v>
      </c>
      <c r="F179" s="92">
        <v>8.9999999999999993E-3</v>
      </c>
      <c r="G179" s="317">
        <v>1.58</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2102</v>
      </c>
      <c r="D180" s="90">
        <v>1.204</v>
      </c>
      <c r="E180" s="91">
        <v>9.6000000000000002E-2</v>
      </c>
      <c r="F180" s="92">
        <v>8.9999999999999993E-3</v>
      </c>
      <c r="G180" s="317">
        <v>2.23</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2102</v>
      </c>
      <c r="D181" s="90">
        <v>1.204</v>
      </c>
      <c r="E181" s="91">
        <v>9.6000000000000002E-2</v>
      </c>
      <c r="F181" s="92">
        <v>8.9999999999999993E-3</v>
      </c>
      <c r="G181" s="317">
        <v>4.09</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2032</v>
      </c>
      <c r="D182" s="90">
        <v>1.204</v>
      </c>
      <c r="E182" s="91">
        <v>9.6000000000000002E-2</v>
      </c>
      <c r="F182" s="92">
        <v>8.9999999999999993E-3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0.747</v>
      </c>
      <c r="E183" s="91">
        <v>5.2999999999999999E-2</v>
      </c>
      <c r="F183" s="92">
        <v>5.0000000000000001E-3</v>
      </c>
      <c r="G183" s="317">
        <v>0.92</v>
      </c>
      <c r="H183" s="317">
        <v>0.63</v>
      </c>
      <c r="I183" s="320">
        <v>0.63</v>
      </c>
      <c r="J183" s="25">
        <v>1.2E-2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0.747</v>
      </c>
      <c r="E184" s="91">
        <v>5.2999999999999999E-2</v>
      </c>
      <c r="F184" s="92">
        <v>5.0000000000000001E-3</v>
      </c>
      <c r="G184" s="317">
        <v>6.89</v>
      </c>
      <c r="H184" s="317">
        <v>0.63</v>
      </c>
      <c r="I184" s="320">
        <v>0.63</v>
      </c>
      <c r="J184" s="25">
        <v>1.2E-2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0.747</v>
      </c>
      <c r="E185" s="91">
        <v>5.2999999999999999E-2</v>
      </c>
      <c r="F185" s="92">
        <v>5.0000000000000001E-3</v>
      </c>
      <c r="G185" s="317">
        <v>11.64</v>
      </c>
      <c r="H185" s="317">
        <v>0.63</v>
      </c>
      <c r="I185" s="320">
        <v>0.63</v>
      </c>
      <c r="J185" s="25">
        <v>1.2E-2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0.747</v>
      </c>
      <c r="E186" s="91">
        <v>5.2999999999999999E-2</v>
      </c>
      <c r="F186" s="92">
        <v>5.0000000000000001E-3</v>
      </c>
      <c r="G186" s="317">
        <v>17.95</v>
      </c>
      <c r="H186" s="317">
        <v>0.63</v>
      </c>
      <c r="I186" s="320">
        <v>0.63</v>
      </c>
      <c r="J186" s="25">
        <v>1.2E-2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0.747</v>
      </c>
      <c r="E187" s="91">
        <v>5.2999999999999999E-2</v>
      </c>
      <c r="F187" s="92">
        <v>5.0000000000000001E-3</v>
      </c>
      <c r="G187" s="317">
        <v>38.659999999999997</v>
      </c>
      <c r="H187" s="317">
        <v>0.63</v>
      </c>
      <c r="I187" s="320">
        <v>0.63</v>
      </c>
      <c r="J187" s="25">
        <v>1.2E-2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0.80600000000000005</v>
      </c>
      <c r="E188" s="91">
        <v>4.1000000000000002E-2</v>
      </c>
      <c r="F188" s="92">
        <v>4.0000000000000001E-3</v>
      </c>
      <c r="G188" s="317">
        <v>1.22</v>
      </c>
      <c r="H188" s="317">
        <v>0.91</v>
      </c>
      <c r="I188" s="320">
        <v>0.91</v>
      </c>
      <c r="J188" s="25">
        <v>1.0999999999999999E-2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0.80600000000000005</v>
      </c>
      <c r="E189" s="91">
        <v>4.1000000000000002E-2</v>
      </c>
      <c r="F189" s="92">
        <v>4.0000000000000001E-3</v>
      </c>
      <c r="G189" s="317">
        <v>11.33</v>
      </c>
      <c r="H189" s="317">
        <v>0.91</v>
      </c>
      <c r="I189" s="320">
        <v>0.91</v>
      </c>
      <c r="J189" s="25">
        <v>1.0999999999999999E-2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0.80600000000000005</v>
      </c>
      <c r="E190" s="91">
        <v>4.1000000000000002E-2</v>
      </c>
      <c r="F190" s="92">
        <v>4.0000000000000001E-3</v>
      </c>
      <c r="G190" s="317">
        <v>19.36</v>
      </c>
      <c r="H190" s="317">
        <v>0.91</v>
      </c>
      <c r="I190" s="320">
        <v>0.91</v>
      </c>
      <c r="J190" s="25">
        <v>1.0999999999999999E-2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0.80600000000000005</v>
      </c>
      <c r="E191" s="91">
        <v>4.1000000000000002E-2</v>
      </c>
      <c r="F191" s="92">
        <v>4.0000000000000001E-3</v>
      </c>
      <c r="G191" s="317">
        <v>30.05</v>
      </c>
      <c r="H191" s="317">
        <v>0.91</v>
      </c>
      <c r="I191" s="320">
        <v>0.91</v>
      </c>
      <c r="J191" s="25">
        <v>1.0999999999999999E-2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0.80600000000000005</v>
      </c>
      <c r="E192" s="91">
        <v>4.1000000000000002E-2</v>
      </c>
      <c r="F192" s="92">
        <v>4.0000000000000001E-3</v>
      </c>
      <c r="G192" s="317">
        <v>65.11</v>
      </c>
      <c r="H192" s="317">
        <v>0.91</v>
      </c>
      <c r="I192" s="320">
        <v>0.91</v>
      </c>
      <c r="J192" s="25">
        <v>1.0999999999999999E-2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0.72199999999999998</v>
      </c>
      <c r="E193" s="91">
        <v>2.8000000000000001E-2</v>
      </c>
      <c r="F193" s="92">
        <v>3.0000000000000001E-3</v>
      </c>
      <c r="G193" s="317">
        <v>13.24</v>
      </c>
      <c r="H193" s="317">
        <v>1.02</v>
      </c>
      <c r="I193" s="320">
        <v>1.02</v>
      </c>
      <c r="J193" s="25">
        <v>8.9999999999999993E-3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0.72199999999999998</v>
      </c>
      <c r="E194" s="91">
        <v>2.8000000000000001E-2</v>
      </c>
      <c r="F194" s="92">
        <v>3.0000000000000001E-3</v>
      </c>
      <c r="G194" s="317">
        <v>99.67</v>
      </c>
      <c r="H194" s="317">
        <v>1.02</v>
      </c>
      <c r="I194" s="320">
        <v>1.02</v>
      </c>
      <c r="J194" s="25">
        <v>8.9999999999999993E-3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0.72199999999999998</v>
      </c>
      <c r="E195" s="91">
        <v>2.8000000000000001E-2</v>
      </c>
      <c r="F195" s="92">
        <v>3.0000000000000001E-3</v>
      </c>
      <c r="G195" s="317">
        <v>212.64</v>
      </c>
      <c r="H195" s="317">
        <v>1.02</v>
      </c>
      <c r="I195" s="320">
        <v>1.02</v>
      </c>
      <c r="J195" s="25">
        <v>8.9999999999999993E-3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0.72199999999999998</v>
      </c>
      <c r="E196" s="91">
        <v>2.8000000000000001E-2</v>
      </c>
      <c r="F196" s="92">
        <v>3.0000000000000001E-3</v>
      </c>
      <c r="G196" s="317">
        <v>464.28</v>
      </c>
      <c r="H196" s="317">
        <v>1.02</v>
      </c>
      <c r="I196" s="320">
        <v>1.02</v>
      </c>
      <c r="J196" s="25">
        <v>8.9999999999999993E-3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0.72199999999999998</v>
      </c>
      <c r="E197" s="91">
        <v>2.8000000000000001E-2</v>
      </c>
      <c r="F197" s="92">
        <v>3.0000000000000001E-3</v>
      </c>
      <c r="G197" s="317">
        <v>881.97</v>
      </c>
      <c r="H197" s="317">
        <v>1.02</v>
      </c>
      <c r="I197" s="320">
        <v>1.02</v>
      </c>
      <c r="J197" s="25">
        <v>8.9999999999999993E-3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3.6720000000000002</v>
      </c>
      <c r="E198" s="94">
        <v>0.20100000000000001</v>
      </c>
      <c r="F198" s="92">
        <v>0.1</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-1.2529999999999999</v>
      </c>
      <c r="E199" s="91">
        <v>-0.1</v>
      </c>
      <c r="F199" s="92">
        <v>-0.01</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-1.262</v>
      </c>
      <c r="E200" s="91">
        <v>-9.4E-2</v>
      </c>
      <c r="F200" s="92">
        <v>-8.9999999999999993E-3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-1.2529999999999999</v>
      </c>
      <c r="E201" s="91">
        <v>-0.1</v>
      </c>
      <c r="F201" s="92">
        <v>-0.01</v>
      </c>
      <c r="G201" s="317" t="s">
        <v>797</v>
      </c>
      <c r="H201" s="318" t="s">
        <v>797</v>
      </c>
      <c r="I201" s="319" t="s">
        <v>797</v>
      </c>
      <c r="J201" s="25">
        <v>2.5999999999999999E-2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-1.262</v>
      </c>
      <c r="E202" s="91">
        <v>-9.4E-2</v>
      </c>
      <c r="F202" s="92">
        <v>-8.9999999999999993E-3</v>
      </c>
      <c r="G202" s="317" t="s">
        <v>797</v>
      </c>
      <c r="H202" s="318" t="s">
        <v>797</v>
      </c>
      <c r="I202" s="319" t="s">
        <v>797</v>
      </c>
      <c r="J202" s="25">
        <v>2.1999999999999999E-2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-1.423</v>
      </c>
      <c r="E203" s="91">
        <v>-7.1999999999999995E-2</v>
      </c>
      <c r="F203" s="92">
        <v>-8.0000000000000002E-3</v>
      </c>
      <c r="G203" s="317">
        <v>14.94</v>
      </c>
      <c r="H203" s="318" t="s">
        <v>797</v>
      </c>
      <c r="I203" s="319" t="s">
        <v>797</v>
      </c>
      <c r="J203" s="25">
        <v>3.3000000000000002E-2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conditionalFormatting sqref="K14:Q203">
    <cfRule type="cellIs" dxfId="38" priority="2" operator="equal">
      <formula>0</formula>
    </cfRule>
    <cfRule type="cellIs" dxfId="37" priority="3" operator="lessThan">
      <formula>0</formula>
    </cfRule>
    <cfRule type="cellIs" dxfId="36" priority="4" operator="greaterThan">
      <formula>0</formula>
    </cfRule>
  </conditionalFormatting>
  <conditionalFormatting sqref="K14:R203">
    <cfRule type="expression" dxfId="35" priority="1">
      <formula>$K14&lt;&gt;""</formula>
    </cfRule>
  </conditionalFormatting>
  <hyperlinks>
    <hyperlink ref="A1" location="Overview!A1" display="Back to Overview" xr:uid="{148BF26A-190E-437F-88E8-E897F6FAE7C1}"/>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7" ht="27.75" customHeight="1" x14ac:dyDescent="0.2">
      <c r="A1" s="31" t="s">
        <v>19</v>
      </c>
      <c r="C1" s="2"/>
      <c r="D1" s="2"/>
      <c r="H1" s="2"/>
      <c r="I1" s="3"/>
      <c r="J1" s="1"/>
    </row>
    <row r="2" spans="1:17" ht="31.5" customHeight="1" x14ac:dyDescent="0.2">
      <c r="A2" s="454" t="str">
        <f>Overview!B4&amp;" - Effective from "&amp;TEXT(Overview!$D$4,"d mmmm yyyy")&amp;" - Final LDNO tariffs in NPG Yorkshire Area (GSP Group_M)"</f>
        <v>Leep Electricity Networks Limited - Effective from 1 April 2027 - Final LDNO tariffs in NPG Yorkshire Area (GSP Group_M)</v>
      </c>
      <c r="B2" s="454"/>
      <c r="C2" s="454"/>
      <c r="D2" s="454"/>
      <c r="E2" s="454"/>
      <c r="F2" s="454"/>
      <c r="G2" s="454"/>
      <c r="H2" s="454"/>
      <c r="I2" s="454"/>
      <c r="J2" s="454"/>
    </row>
    <row r="3" spans="1:17" ht="8.25" customHeight="1" x14ac:dyDescent="0.2">
      <c r="A3" s="46"/>
      <c r="B3" s="46"/>
      <c r="C3" s="46"/>
      <c r="D3" s="46"/>
      <c r="E3" s="46"/>
      <c r="F3" s="46"/>
      <c r="G3" s="46"/>
      <c r="H3" s="46"/>
      <c r="I3" s="46"/>
      <c r="J3" s="46"/>
    </row>
    <row r="4" spans="1:17" ht="27" customHeight="1" x14ac:dyDescent="0.2">
      <c r="A4" s="384" t="s">
        <v>290</v>
      </c>
      <c r="B4" s="384"/>
      <c r="C4" s="384"/>
      <c r="D4" s="384"/>
      <c r="E4" s="50"/>
      <c r="F4" s="384" t="s">
        <v>289</v>
      </c>
      <c r="G4" s="384"/>
      <c r="H4" s="384"/>
      <c r="I4" s="384"/>
      <c r="J4" s="384"/>
    </row>
    <row r="5" spans="1:17" ht="32.25" customHeight="1" x14ac:dyDescent="0.2">
      <c r="A5" s="39" t="s">
        <v>13</v>
      </c>
      <c r="B5" s="256" t="s">
        <v>281</v>
      </c>
      <c r="C5" s="269" t="s">
        <v>282</v>
      </c>
      <c r="D5" s="41" t="s">
        <v>283</v>
      </c>
      <c r="E5" s="45"/>
      <c r="F5" s="381"/>
      <c r="G5" s="382"/>
      <c r="H5" s="43" t="s">
        <v>287</v>
      </c>
      <c r="I5" s="44" t="s">
        <v>288</v>
      </c>
      <c r="J5" s="41" t="s">
        <v>283</v>
      </c>
    </row>
    <row r="6" spans="1:17" ht="56.25" customHeight="1" x14ac:dyDescent="0.2">
      <c r="A6" s="42" t="str">
        <f>'Annex 1 LV and HV charges_M'!A6</f>
        <v>Monday to Friday 
(Including Bank Holidays)
All Year</v>
      </c>
      <c r="B6" s="248" t="str">
        <f>'Annex 1 LV and HV charges_M'!B6</f>
        <v>16:00 to 19:30</v>
      </c>
      <c r="C6" s="248" t="str">
        <f>'Annex 1 LV and HV charges_M'!C6</f>
        <v>08:00 to 16:00
19:30 to 22:00</v>
      </c>
      <c r="D6" s="248" t="str">
        <f>'Annex 1 LV and HV charges_M'!E6</f>
        <v>00:00 to 08:00
22:00 to 24:00</v>
      </c>
      <c r="E6" s="45"/>
      <c r="F6" s="418" t="str">
        <f>'Annex 1 LV and HV charges_M'!G6</f>
        <v>Monday to Friday 
(Including Bank Holidays)
November to February Inclusive</v>
      </c>
      <c r="G6" s="418">
        <f>'Annex 1 LV and HV charges_M'!H6</f>
        <v>0</v>
      </c>
      <c r="H6" s="13" t="str">
        <f>'Annex 1 LV and HV charges_M'!I6</f>
        <v>16:00 to 19:30</v>
      </c>
      <c r="I6" s="248" t="str">
        <f>'Annex 1 LV and HV charges_M'!J6</f>
        <v>08:00 to 16:00
19:30 to 22:00</v>
      </c>
      <c r="J6" s="248" t="str">
        <f>'Annex 1 LV and HV charges_M'!K6</f>
        <v>00:00 to 08:00
22:00 to 24:00</v>
      </c>
    </row>
    <row r="7" spans="1:17" ht="56.25" customHeight="1" x14ac:dyDescent="0.2">
      <c r="A7" s="42" t="str">
        <f>'Annex 1 LV and HV charges_M'!A7</f>
        <v>Saturday and Sunday
All Year</v>
      </c>
      <c r="B7" s="119" t="str">
        <f>'Annex 1 LV and HV charges_M'!B7</f>
        <v/>
      </c>
      <c r="C7" s="119" t="str">
        <f>'Annex 1 LV and HV charges_M'!C7</f>
        <v/>
      </c>
      <c r="D7" s="248" t="str">
        <f>'Annex 1 LV and HV charges_M'!E7</f>
        <v>00:00 to 24:00</v>
      </c>
      <c r="E7" s="45"/>
      <c r="F7" s="418" t="str">
        <f>'Annex 1 LV and HV charges_M'!G7</f>
        <v>Monday to Friday 
(Including Bank Holidays)
April to October Inclusive and March</v>
      </c>
      <c r="G7" s="418">
        <f>'Annex 1 LV and HV charges_M'!H7</f>
        <v>0</v>
      </c>
      <c r="H7" s="119" t="str">
        <f>'Annex 1 LV and HV charges_M'!I7</f>
        <v/>
      </c>
      <c r="I7" s="248" t="str">
        <f>'Annex 1 LV and HV charges_M'!J7</f>
        <v>08:00 to 22:00</v>
      </c>
      <c r="J7" s="248" t="str">
        <f>'Annex 1 LV and HV charges_M'!K7</f>
        <v>00:00 to 08:00
22:00 to 24:00</v>
      </c>
    </row>
    <row r="8" spans="1:17" ht="55.5" customHeight="1" x14ac:dyDescent="0.2">
      <c r="A8" s="257" t="str">
        <f>'Annex 1 LV and HV charges_M'!A8</f>
        <v>Notes</v>
      </c>
      <c r="B8" s="391" t="str">
        <f>'Annex 1 LV and HV charges_M'!B8</f>
        <v>All the above times are in UK Clock time</v>
      </c>
      <c r="C8" s="392">
        <f>'Annex 1 LV and HV charges_M'!C8</f>
        <v>0</v>
      </c>
      <c r="D8" s="393">
        <f>'Annex 1 LV and HV charges_M'!D8</f>
        <v>0</v>
      </c>
      <c r="E8" s="45"/>
      <c r="F8" s="418" t="str">
        <f>'Annex 1 LV and HV charges_M'!G8</f>
        <v>Saturday and Sunday
All year</v>
      </c>
      <c r="G8" s="418">
        <f>'Annex 1 LV and HV charges_M'!H8</f>
        <v>0</v>
      </c>
      <c r="H8" s="119" t="str">
        <f>'Annex 1 LV and HV charges_M'!I8</f>
        <v/>
      </c>
      <c r="I8" s="119" t="str">
        <f>'Annex 1 LV and HV charges_M'!J8</f>
        <v/>
      </c>
      <c r="J8" s="248" t="str">
        <f>'Annex 1 LV and HV charges_M'!K8</f>
        <v>00:00 to 24:00</v>
      </c>
    </row>
    <row r="9" spans="1:17" s="40" customFormat="1" ht="21" customHeight="1" x14ac:dyDescent="0.2">
      <c r="B9" s="45"/>
      <c r="C9" s="45"/>
      <c r="D9" s="45"/>
      <c r="E9" s="47"/>
      <c r="F9" s="417" t="str">
        <f>'Annex 1 LV and HV charges_M'!G9</f>
        <v>Notes</v>
      </c>
      <c r="G9" s="417">
        <f>'Annex 1 LV and HV charges_M'!H9</f>
        <v>0</v>
      </c>
      <c r="H9" s="422" t="str">
        <f>'Annex 1 LV and HV charges_M'!I9</f>
        <v>All the above times are in UK Clock time</v>
      </c>
      <c r="I9" s="422">
        <f>'Annex 1 LV and HV charges_M'!J9</f>
        <v>0</v>
      </c>
      <c r="J9" s="422">
        <f>'Annex 1 LV and HV charges_M'!K9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802</v>
      </c>
      <c r="D14" s="90">
        <v>4.4640000000000004</v>
      </c>
      <c r="E14" s="91">
        <v>1.093</v>
      </c>
      <c r="F14" s="92">
        <v>0.14399999999999999</v>
      </c>
      <c r="G14" s="317">
        <v>11.32</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4.4640000000000004</v>
      </c>
      <c r="E15" s="91">
        <v>1.093</v>
      </c>
      <c r="F15" s="92">
        <v>0.14399999999999999</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803</v>
      </c>
      <c r="D16" s="90">
        <v>5.0720000000000001</v>
      </c>
      <c r="E16" s="91">
        <v>1.2410000000000001</v>
      </c>
      <c r="F16" s="92">
        <v>0.16400000000000001</v>
      </c>
      <c r="G16" s="317">
        <v>6.86</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5.0720000000000001</v>
      </c>
      <c r="E17" s="91">
        <v>1.2410000000000001</v>
      </c>
      <c r="F17" s="92">
        <v>0.16400000000000001</v>
      </c>
      <c r="G17" s="317">
        <v>11.74</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5.0720000000000001</v>
      </c>
      <c r="E18" s="91">
        <v>1.2410000000000001</v>
      </c>
      <c r="F18" s="92">
        <v>0.16400000000000001</v>
      </c>
      <c r="G18" s="317">
        <v>18.05</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5.0720000000000001</v>
      </c>
      <c r="E19" s="91">
        <v>1.2410000000000001</v>
      </c>
      <c r="F19" s="92">
        <v>0.16400000000000001</v>
      </c>
      <c r="G19" s="317">
        <v>30.08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5.0720000000000001</v>
      </c>
      <c r="E20" s="91">
        <v>1.2410000000000001</v>
      </c>
      <c r="F20" s="92">
        <v>0.16400000000000001</v>
      </c>
      <c r="G20" s="317">
        <v>70.849999999999994</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5.0720000000000001</v>
      </c>
      <c r="E21" s="91">
        <v>1.2410000000000001</v>
      </c>
      <c r="F21" s="92">
        <v>0.16400000000000001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3.6480000000000001</v>
      </c>
      <c r="E22" s="91">
        <v>0.877</v>
      </c>
      <c r="F22" s="92">
        <v>0.112</v>
      </c>
      <c r="G22" s="317">
        <v>8.82</v>
      </c>
      <c r="H22" s="317">
        <v>2.3199999999999998</v>
      </c>
      <c r="I22" s="320">
        <v>2.3199999999999998</v>
      </c>
      <c r="J22" s="25">
        <v>5.6000000000000001E-2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3.6480000000000001</v>
      </c>
      <c r="E23" s="91">
        <v>0.877</v>
      </c>
      <c r="F23" s="92">
        <v>0.112</v>
      </c>
      <c r="G23" s="317">
        <v>118.92</v>
      </c>
      <c r="H23" s="317">
        <v>2.3199999999999998</v>
      </c>
      <c r="I23" s="320">
        <v>2.3199999999999998</v>
      </c>
      <c r="J23" s="25">
        <v>5.6000000000000001E-2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3.6480000000000001</v>
      </c>
      <c r="E24" s="91">
        <v>0.877</v>
      </c>
      <c r="F24" s="92">
        <v>0.112</v>
      </c>
      <c r="G24" s="317">
        <v>226.31</v>
      </c>
      <c r="H24" s="317">
        <v>2.3199999999999998</v>
      </c>
      <c r="I24" s="320">
        <v>2.3199999999999998</v>
      </c>
      <c r="J24" s="25">
        <v>5.6000000000000001E-2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3.6480000000000001</v>
      </c>
      <c r="E25" s="91">
        <v>0.877</v>
      </c>
      <c r="F25" s="92">
        <v>0.112</v>
      </c>
      <c r="G25" s="317">
        <v>341.78</v>
      </c>
      <c r="H25" s="317">
        <v>2.3199999999999998</v>
      </c>
      <c r="I25" s="320">
        <v>2.3199999999999998</v>
      </c>
      <c r="J25" s="25">
        <v>5.6000000000000001E-2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3.6480000000000001</v>
      </c>
      <c r="E26" s="91">
        <v>0.877</v>
      </c>
      <c r="F26" s="92">
        <v>0.112</v>
      </c>
      <c r="G26" s="317">
        <v>744.57</v>
      </c>
      <c r="H26" s="317">
        <v>2.3199999999999998</v>
      </c>
      <c r="I26" s="320">
        <v>2.3199999999999998</v>
      </c>
      <c r="J26" s="25">
        <v>5.6000000000000001E-2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2066</v>
      </c>
      <c r="D27" s="93">
        <v>12.878</v>
      </c>
      <c r="E27" s="94">
        <v>1.448</v>
      </c>
      <c r="F27" s="92">
        <v>0.63300000000000001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805</v>
      </c>
      <c r="D28" s="90">
        <v>-5.3819999999999997</v>
      </c>
      <c r="E28" s="91">
        <v>-1.3169999999999999</v>
      </c>
      <c r="F28" s="92">
        <v>-0.17399999999999999</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-5.3819999999999997</v>
      </c>
      <c r="E29" s="91">
        <v>-1.3169999999999999</v>
      </c>
      <c r="F29" s="92">
        <v>-0.17399999999999999</v>
      </c>
      <c r="G29" s="317" t="s">
        <v>797</v>
      </c>
      <c r="H29" s="318" t="s">
        <v>797</v>
      </c>
      <c r="I29" s="319" t="s">
        <v>797</v>
      </c>
      <c r="J29" s="25">
        <v>7.5999999999999998E-2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3.081</v>
      </c>
      <c r="E30" s="91">
        <v>0.754</v>
      </c>
      <c r="F30" s="92">
        <v>9.9000000000000005E-2</v>
      </c>
      <c r="G30" s="317">
        <v>7.81</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3.081</v>
      </c>
      <c r="E31" s="91">
        <v>0.754</v>
      </c>
      <c r="F31" s="92">
        <v>9.9000000000000005E-2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3.5</v>
      </c>
      <c r="E32" s="91">
        <v>0.85699999999999998</v>
      </c>
      <c r="F32" s="92">
        <v>0.113</v>
      </c>
      <c r="G32" s="317">
        <v>4.7300000000000004</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3.5</v>
      </c>
      <c r="E33" s="91">
        <v>0.85699999999999998</v>
      </c>
      <c r="F33" s="92">
        <v>0.113</v>
      </c>
      <c r="G33" s="317">
        <v>8.1</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3.5</v>
      </c>
      <c r="E34" s="91">
        <v>0.85699999999999998</v>
      </c>
      <c r="F34" s="92">
        <v>0.113</v>
      </c>
      <c r="G34" s="317">
        <v>12.46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3.5</v>
      </c>
      <c r="E35" s="91">
        <v>0.85699999999999998</v>
      </c>
      <c r="F35" s="92">
        <v>0.113</v>
      </c>
      <c r="G35" s="317">
        <v>20.76</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3.5</v>
      </c>
      <c r="E36" s="91">
        <v>0.85699999999999998</v>
      </c>
      <c r="F36" s="92">
        <v>0.113</v>
      </c>
      <c r="G36" s="317">
        <v>48.9</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3.5</v>
      </c>
      <c r="E37" s="91">
        <v>0.85699999999999998</v>
      </c>
      <c r="F37" s="92">
        <v>0.113</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2.5179999999999998</v>
      </c>
      <c r="E38" s="91">
        <v>0.60599999999999998</v>
      </c>
      <c r="F38" s="92">
        <v>7.8E-2</v>
      </c>
      <c r="G38" s="317">
        <v>6.09</v>
      </c>
      <c r="H38" s="317">
        <v>1.6</v>
      </c>
      <c r="I38" s="320">
        <v>1.6</v>
      </c>
      <c r="J38" s="25">
        <v>3.9E-2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2.5179999999999998</v>
      </c>
      <c r="E39" s="91">
        <v>0.60599999999999998</v>
      </c>
      <c r="F39" s="92">
        <v>7.8E-2</v>
      </c>
      <c r="G39" s="317">
        <v>82.08</v>
      </c>
      <c r="H39" s="317">
        <v>1.6</v>
      </c>
      <c r="I39" s="320">
        <v>1.6</v>
      </c>
      <c r="J39" s="25">
        <v>3.9E-2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2.5179999999999998</v>
      </c>
      <c r="E40" s="91">
        <v>0.60599999999999998</v>
      </c>
      <c r="F40" s="92">
        <v>7.8E-2</v>
      </c>
      <c r="G40" s="317">
        <v>156.19</v>
      </c>
      <c r="H40" s="317">
        <v>1.6</v>
      </c>
      <c r="I40" s="320">
        <v>1.6</v>
      </c>
      <c r="J40" s="25">
        <v>3.9E-2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2.5179999999999998</v>
      </c>
      <c r="E41" s="91">
        <v>0.60599999999999998</v>
      </c>
      <c r="F41" s="92">
        <v>7.8E-2</v>
      </c>
      <c r="G41" s="317">
        <v>235.89</v>
      </c>
      <c r="H41" s="317">
        <v>1.6</v>
      </c>
      <c r="I41" s="320">
        <v>1.6</v>
      </c>
      <c r="J41" s="25">
        <v>3.9E-2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2.5179999999999998</v>
      </c>
      <c r="E42" s="91">
        <v>0.60599999999999998</v>
      </c>
      <c r="F42" s="92">
        <v>7.8E-2</v>
      </c>
      <c r="G42" s="317">
        <v>513.9</v>
      </c>
      <c r="H42" s="317">
        <v>1.6</v>
      </c>
      <c r="I42" s="320">
        <v>1.6</v>
      </c>
      <c r="J42" s="25">
        <v>3.9E-2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2.762</v>
      </c>
      <c r="E43" s="91">
        <v>0.63800000000000001</v>
      </c>
      <c r="F43" s="92">
        <v>7.5999999999999998E-2</v>
      </c>
      <c r="G43" s="317">
        <v>10.6</v>
      </c>
      <c r="H43" s="317">
        <v>2.19</v>
      </c>
      <c r="I43" s="320">
        <v>2.19</v>
      </c>
      <c r="J43" s="25">
        <v>3.9E-2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2.762</v>
      </c>
      <c r="E44" s="91">
        <v>0.63800000000000001</v>
      </c>
      <c r="F44" s="92">
        <v>7.5999999999999998E-2</v>
      </c>
      <c r="G44" s="317">
        <v>142.97999999999999</v>
      </c>
      <c r="H44" s="317">
        <v>2.19</v>
      </c>
      <c r="I44" s="320">
        <v>2.19</v>
      </c>
      <c r="J44" s="25">
        <v>3.9E-2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2.762</v>
      </c>
      <c r="E45" s="91">
        <v>0.63800000000000001</v>
      </c>
      <c r="F45" s="92">
        <v>7.5999999999999998E-2</v>
      </c>
      <c r="G45" s="317">
        <v>272.08999999999997</v>
      </c>
      <c r="H45" s="317">
        <v>2.19</v>
      </c>
      <c r="I45" s="320">
        <v>2.19</v>
      </c>
      <c r="J45" s="25">
        <v>3.9E-2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2.762</v>
      </c>
      <c r="E46" s="91">
        <v>0.63800000000000001</v>
      </c>
      <c r="F46" s="92">
        <v>7.5999999999999998E-2</v>
      </c>
      <c r="G46" s="317">
        <v>410.92</v>
      </c>
      <c r="H46" s="317">
        <v>2.19</v>
      </c>
      <c r="I46" s="320">
        <v>2.19</v>
      </c>
      <c r="J46" s="25">
        <v>3.9E-2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2.762</v>
      </c>
      <c r="E47" s="91">
        <v>0.63800000000000001</v>
      </c>
      <c r="F47" s="92">
        <v>7.5999999999999998E-2</v>
      </c>
      <c r="G47" s="317">
        <v>895.19</v>
      </c>
      <c r="H47" s="317">
        <v>2.19</v>
      </c>
      <c r="I47" s="320">
        <v>2.19</v>
      </c>
      <c r="J47" s="25">
        <v>3.9E-2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2.331</v>
      </c>
      <c r="E48" s="91">
        <v>0.51200000000000001</v>
      </c>
      <c r="F48" s="92">
        <v>5.5E-2</v>
      </c>
      <c r="G48" s="317">
        <v>347.22</v>
      </c>
      <c r="H48" s="317">
        <v>3.52</v>
      </c>
      <c r="I48" s="320">
        <v>3.52</v>
      </c>
      <c r="J48" s="25">
        <v>2.9000000000000001E-2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2.331</v>
      </c>
      <c r="E49" s="91">
        <v>0.51200000000000001</v>
      </c>
      <c r="F49" s="92">
        <v>5.5E-2</v>
      </c>
      <c r="G49" s="317">
        <v>1460.95</v>
      </c>
      <c r="H49" s="317">
        <v>3.52</v>
      </c>
      <c r="I49" s="320">
        <v>3.52</v>
      </c>
      <c r="J49" s="25">
        <v>2.9000000000000001E-2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2.331</v>
      </c>
      <c r="E50" s="91">
        <v>0.51200000000000001</v>
      </c>
      <c r="F50" s="92">
        <v>5.5E-2</v>
      </c>
      <c r="G50" s="317">
        <v>3621.76</v>
      </c>
      <c r="H50" s="317">
        <v>3.52</v>
      </c>
      <c r="I50" s="320">
        <v>3.52</v>
      </c>
      <c r="J50" s="25">
        <v>2.9000000000000001E-2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2.331</v>
      </c>
      <c r="E51" s="91">
        <v>0.51200000000000001</v>
      </c>
      <c r="F51" s="92">
        <v>5.5E-2</v>
      </c>
      <c r="G51" s="317">
        <v>6770.69</v>
      </c>
      <c r="H51" s="317">
        <v>3.52</v>
      </c>
      <c r="I51" s="320">
        <v>3.52</v>
      </c>
      <c r="J51" s="25">
        <v>2.9000000000000001E-2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2.331</v>
      </c>
      <c r="E52" s="91">
        <v>0.51200000000000001</v>
      </c>
      <c r="F52" s="92">
        <v>5.5E-2</v>
      </c>
      <c r="G52" s="317">
        <v>16723.91</v>
      </c>
      <c r="H52" s="317">
        <v>3.52</v>
      </c>
      <c r="I52" s="320">
        <v>3.52</v>
      </c>
      <c r="J52" s="25">
        <v>2.9000000000000001E-2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2066</v>
      </c>
      <c r="D53" s="93">
        <v>8.8879999999999999</v>
      </c>
      <c r="E53" s="94">
        <v>0.999</v>
      </c>
      <c r="F53" s="92">
        <v>0.437</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805</v>
      </c>
      <c r="D54" s="90">
        <v>-5.3819999999999997</v>
      </c>
      <c r="E54" s="91">
        <v>-1.3169999999999999</v>
      </c>
      <c r="F54" s="92">
        <v>-0.17399999999999999</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-4.3869999999999996</v>
      </c>
      <c r="E55" s="91">
        <v>-1.0629999999999999</v>
      </c>
      <c r="F55" s="92">
        <v>-0.13800000000000001</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-5.3819999999999997</v>
      </c>
      <c r="E56" s="91">
        <v>-1.3169999999999999</v>
      </c>
      <c r="F56" s="92">
        <v>-0.17399999999999999</v>
      </c>
      <c r="G56" s="317" t="s">
        <v>797</v>
      </c>
      <c r="H56" s="318" t="s">
        <v>797</v>
      </c>
      <c r="I56" s="319" t="s">
        <v>797</v>
      </c>
      <c r="J56" s="25">
        <v>7.5999999999999998E-2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-4.3869999999999996</v>
      </c>
      <c r="E57" s="91">
        <v>-1.0629999999999999</v>
      </c>
      <c r="F57" s="92">
        <v>-0.13800000000000001</v>
      </c>
      <c r="G57" s="317" t="s">
        <v>797</v>
      </c>
      <c r="H57" s="318" t="s">
        <v>797</v>
      </c>
      <c r="I57" s="319" t="s">
        <v>797</v>
      </c>
      <c r="J57" s="25">
        <v>6.8000000000000005E-2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-3.097</v>
      </c>
      <c r="E58" s="91">
        <v>-0.71499999999999997</v>
      </c>
      <c r="F58" s="92">
        <v>-8.5000000000000006E-2</v>
      </c>
      <c r="G58" s="317" t="s">
        <v>797</v>
      </c>
      <c r="H58" s="318" t="s">
        <v>797</v>
      </c>
      <c r="I58" s="319" t="s">
        <v>797</v>
      </c>
      <c r="J58" s="25">
        <v>0.06</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2.1219999999999999</v>
      </c>
      <c r="E59" s="91">
        <v>0.51900000000000002</v>
      </c>
      <c r="F59" s="92">
        <v>6.8000000000000005E-2</v>
      </c>
      <c r="G59" s="317">
        <v>5.38</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2.1219999999999999</v>
      </c>
      <c r="E60" s="91">
        <v>0.51900000000000002</v>
      </c>
      <c r="F60" s="92">
        <v>6.8000000000000005E-2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2.411</v>
      </c>
      <c r="E61" s="91">
        <v>0.59</v>
      </c>
      <c r="F61" s="92">
        <v>7.8E-2</v>
      </c>
      <c r="G61" s="317">
        <v>3.26</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2.411</v>
      </c>
      <c r="E62" s="91">
        <v>0.59</v>
      </c>
      <c r="F62" s="92">
        <v>7.8E-2</v>
      </c>
      <c r="G62" s="317">
        <v>5.58</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2.411</v>
      </c>
      <c r="E63" s="91">
        <v>0.59</v>
      </c>
      <c r="F63" s="92">
        <v>7.8E-2</v>
      </c>
      <c r="G63" s="317">
        <v>8.58</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2.411</v>
      </c>
      <c r="E64" s="91">
        <v>0.59</v>
      </c>
      <c r="F64" s="92">
        <v>7.8E-2</v>
      </c>
      <c r="G64" s="317">
        <v>14.3</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2.411</v>
      </c>
      <c r="E65" s="91">
        <v>0.59</v>
      </c>
      <c r="F65" s="92">
        <v>7.8E-2</v>
      </c>
      <c r="G65" s="317">
        <v>33.68</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2.411</v>
      </c>
      <c r="E66" s="91">
        <v>0.59</v>
      </c>
      <c r="F66" s="92">
        <v>7.8E-2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1.734</v>
      </c>
      <c r="E67" s="91">
        <v>0.41699999999999998</v>
      </c>
      <c r="F67" s="92">
        <v>5.2999999999999999E-2</v>
      </c>
      <c r="G67" s="317">
        <v>4.1900000000000004</v>
      </c>
      <c r="H67" s="317">
        <v>1.1000000000000001</v>
      </c>
      <c r="I67" s="320">
        <v>1.1000000000000001</v>
      </c>
      <c r="J67" s="25">
        <v>2.7E-2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1.734</v>
      </c>
      <c r="E68" s="91">
        <v>0.41699999999999998</v>
      </c>
      <c r="F68" s="92">
        <v>5.2999999999999999E-2</v>
      </c>
      <c r="G68" s="317">
        <v>56.53</v>
      </c>
      <c r="H68" s="317">
        <v>1.1000000000000001</v>
      </c>
      <c r="I68" s="320">
        <v>1.1000000000000001</v>
      </c>
      <c r="J68" s="25">
        <v>2.7E-2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1.734</v>
      </c>
      <c r="E69" s="91">
        <v>0.41699999999999998</v>
      </c>
      <c r="F69" s="92">
        <v>5.2999999999999999E-2</v>
      </c>
      <c r="G69" s="317">
        <v>107.58</v>
      </c>
      <c r="H69" s="317">
        <v>1.1000000000000001</v>
      </c>
      <c r="I69" s="320">
        <v>1.1000000000000001</v>
      </c>
      <c r="J69" s="25">
        <v>2.7E-2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1.734</v>
      </c>
      <c r="E70" s="91">
        <v>0.41699999999999998</v>
      </c>
      <c r="F70" s="92">
        <v>5.2999999999999999E-2</v>
      </c>
      <c r="G70" s="317">
        <v>162.47</v>
      </c>
      <c r="H70" s="317">
        <v>1.1000000000000001</v>
      </c>
      <c r="I70" s="320">
        <v>1.1000000000000001</v>
      </c>
      <c r="J70" s="25">
        <v>2.7E-2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1.734</v>
      </c>
      <c r="E71" s="91">
        <v>0.41699999999999998</v>
      </c>
      <c r="F71" s="92">
        <v>5.2999999999999999E-2</v>
      </c>
      <c r="G71" s="317">
        <v>353.94</v>
      </c>
      <c r="H71" s="317">
        <v>1.1000000000000001</v>
      </c>
      <c r="I71" s="320">
        <v>1.1000000000000001</v>
      </c>
      <c r="J71" s="25">
        <v>2.7E-2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1.879</v>
      </c>
      <c r="E72" s="91">
        <v>0.434</v>
      </c>
      <c r="F72" s="92">
        <v>5.1999999999999998E-2</v>
      </c>
      <c r="G72" s="317">
        <v>7.21</v>
      </c>
      <c r="H72" s="317">
        <v>1.49</v>
      </c>
      <c r="I72" s="320">
        <v>1.49</v>
      </c>
      <c r="J72" s="25">
        <v>2.5999999999999999E-2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1.879</v>
      </c>
      <c r="E73" s="91">
        <v>0.434</v>
      </c>
      <c r="F73" s="92">
        <v>5.1999999999999998E-2</v>
      </c>
      <c r="G73" s="317">
        <v>97.27</v>
      </c>
      <c r="H73" s="317">
        <v>1.49</v>
      </c>
      <c r="I73" s="320">
        <v>1.49</v>
      </c>
      <c r="J73" s="25">
        <v>2.5999999999999999E-2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1.879</v>
      </c>
      <c r="E74" s="91">
        <v>0.434</v>
      </c>
      <c r="F74" s="92">
        <v>5.1999999999999998E-2</v>
      </c>
      <c r="G74" s="317">
        <v>185.09</v>
      </c>
      <c r="H74" s="317">
        <v>1.49</v>
      </c>
      <c r="I74" s="320">
        <v>1.49</v>
      </c>
      <c r="J74" s="25">
        <v>2.5999999999999999E-2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1.879</v>
      </c>
      <c r="E75" s="91">
        <v>0.434</v>
      </c>
      <c r="F75" s="92">
        <v>5.1999999999999998E-2</v>
      </c>
      <c r="G75" s="317">
        <v>279.54000000000002</v>
      </c>
      <c r="H75" s="317">
        <v>1.49</v>
      </c>
      <c r="I75" s="320">
        <v>1.49</v>
      </c>
      <c r="J75" s="25">
        <v>2.5999999999999999E-2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1.879</v>
      </c>
      <c r="E76" s="91">
        <v>0.434</v>
      </c>
      <c r="F76" s="92">
        <v>5.1999999999999998E-2</v>
      </c>
      <c r="G76" s="317">
        <v>608.98</v>
      </c>
      <c r="H76" s="317">
        <v>1.49</v>
      </c>
      <c r="I76" s="320">
        <v>1.49</v>
      </c>
      <c r="J76" s="25">
        <v>2.5999999999999999E-2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1.569</v>
      </c>
      <c r="E77" s="91">
        <v>0.34499999999999997</v>
      </c>
      <c r="F77" s="92">
        <v>3.6999999999999998E-2</v>
      </c>
      <c r="G77" s="317">
        <v>233.74</v>
      </c>
      <c r="H77" s="317">
        <v>2.37</v>
      </c>
      <c r="I77" s="320">
        <v>2.37</v>
      </c>
      <c r="J77" s="25">
        <v>0.02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1.569</v>
      </c>
      <c r="E78" s="91">
        <v>0.34499999999999997</v>
      </c>
      <c r="F78" s="92">
        <v>3.6999999999999998E-2</v>
      </c>
      <c r="G78" s="317">
        <v>983.46</v>
      </c>
      <c r="H78" s="317">
        <v>2.37</v>
      </c>
      <c r="I78" s="320">
        <v>2.37</v>
      </c>
      <c r="J78" s="25">
        <v>0.02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1.569</v>
      </c>
      <c r="E79" s="91">
        <v>0.34499999999999997</v>
      </c>
      <c r="F79" s="92">
        <v>3.6999999999999998E-2</v>
      </c>
      <c r="G79" s="317">
        <v>2438.04</v>
      </c>
      <c r="H79" s="317">
        <v>2.37</v>
      </c>
      <c r="I79" s="320">
        <v>2.37</v>
      </c>
      <c r="J79" s="25">
        <v>0.02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1.569</v>
      </c>
      <c r="E80" s="91">
        <v>0.34499999999999997</v>
      </c>
      <c r="F80" s="92">
        <v>3.6999999999999998E-2</v>
      </c>
      <c r="G80" s="317">
        <v>4557.79</v>
      </c>
      <c r="H80" s="317">
        <v>2.37</v>
      </c>
      <c r="I80" s="320">
        <v>2.37</v>
      </c>
      <c r="J80" s="25">
        <v>0.02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1.569</v>
      </c>
      <c r="E81" s="91">
        <v>0.34499999999999997</v>
      </c>
      <c r="F81" s="92">
        <v>3.6999999999999998E-2</v>
      </c>
      <c r="G81" s="317">
        <v>11257.96</v>
      </c>
      <c r="H81" s="317">
        <v>2.37</v>
      </c>
      <c r="I81" s="320">
        <v>2.37</v>
      </c>
      <c r="J81" s="25">
        <v>0.02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2066</v>
      </c>
      <c r="D82" s="93">
        <v>6.1210000000000004</v>
      </c>
      <c r="E82" s="94">
        <v>0.68799999999999994</v>
      </c>
      <c r="F82" s="92">
        <v>0.30099999999999999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805</v>
      </c>
      <c r="D83" s="90">
        <v>-2.5499999999999998</v>
      </c>
      <c r="E83" s="91">
        <v>-0.624</v>
      </c>
      <c r="F83" s="92">
        <v>-8.2000000000000003E-2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-2.573</v>
      </c>
      <c r="E84" s="91">
        <v>-0.623</v>
      </c>
      <c r="F84" s="92">
        <v>-8.1000000000000003E-2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-2.5499999999999998</v>
      </c>
      <c r="E85" s="91">
        <v>-0.624</v>
      </c>
      <c r="F85" s="92">
        <v>-8.2000000000000003E-2</v>
      </c>
      <c r="G85" s="317" t="s">
        <v>797</v>
      </c>
      <c r="H85" s="318" t="s">
        <v>797</v>
      </c>
      <c r="I85" s="319" t="s">
        <v>797</v>
      </c>
      <c r="J85" s="25">
        <v>3.5999999999999997E-2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-2.573</v>
      </c>
      <c r="E86" s="91">
        <v>-0.623</v>
      </c>
      <c r="F86" s="92">
        <v>-8.1000000000000003E-2</v>
      </c>
      <c r="G86" s="317" t="s">
        <v>797</v>
      </c>
      <c r="H86" s="318" t="s">
        <v>797</v>
      </c>
      <c r="I86" s="319" t="s">
        <v>797</v>
      </c>
      <c r="J86" s="25">
        <v>0.04</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-3.097</v>
      </c>
      <c r="E87" s="91">
        <v>-0.71499999999999997</v>
      </c>
      <c r="F87" s="92">
        <v>-8.5000000000000006E-2</v>
      </c>
      <c r="G87" s="317">
        <v>88.59</v>
      </c>
      <c r="H87" s="318" t="s">
        <v>797</v>
      </c>
      <c r="I87" s="319" t="s">
        <v>797</v>
      </c>
      <c r="J87" s="25">
        <v>0.06</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1.47</v>
      </c>
      <c r="E88" s="91">
        <v>0.36</v>
      </c>
      <c r="F88" s="92">
        <v>4.7E-2</v>
      </c>
      <c r="G88" s="317">
        <v>3.73</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1.47</v>
      </c>
      <c r="E89" s="91">
        <v>0.36</v>
      </c>
      <c r="F89" s="92">
        <v>4.7E-2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1.671</v>
      </c>
      <c r="E90" s="91">
        <v>0.40899999999999997</v>
      </c>
      <c r="F90" s="92">
        <v>5.3999999999999999E-2</v>
      </c>
      <c r="G90" s="317">
        <v>2.2599999999999998</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1.671</v>
      </c>
      <c r="E91" s="91">
        <v>0.40899999999999997</v>
      </c>
      <c r="F91" s="92">
        <v>5.3999999999999999E-2</v>
      </c>
      <c r="G91" s="317">
        <v>3.87</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1.671</v>
      </c>
      <c r="E92" s="91">
        <v>0.40899999999999997</v>
      </c>
      <c r="F92" s="92">
        <v>5.3999999999999999E-2</v>
      </c>
      <c r="G92" s="317">
        <v>5.95</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1.671</v>
      </c>
      <c r="E93" s="91">
        <v>0.40899999999999997</v>
      </c>
      <c r="F93" s="92">
        <v>5.3999999999999999E-2</v>
      </c>
      <c r="G93" s="317">
        <v>9.91</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1.671</v>
      </c>
      <c r="E94" s="91">
        <v>0.40899999999999997</v>
      </c>
      <c r="F94" s="92">
        <v>5.3999999999999999E-2</v>
      </c>
      <c r="G94" s="317">
        <v>23.34</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1.671</v>
      </c>
      <c r="E95" s="91">
        <v>0.40899999999999997</v>
      </c>
      <c r="F95" s="92">
        <v>5.3999999999999999E-2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1.202</v>
      </c>
      <c r="E96" s="91">
        <v>0.28899999999999998</v>
      </c>
      <c r="F96" s="92">
        <v>3.6999999999999998E-2</v>
      </c>
      <c r="G96" s="317">
        <v>2.91</v>
      </c>
      <c r="H96" s="317">
        <v>0.76</v>
      </c>
      <c r="I96" s="320">
        <v>0.76</v>
      </c>
      <c r="J96" s="25">
        <v>1.9E-2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1.202</v>
      </c>
      <c r="E97" s="91">
        <v>0.28899999999999998</v>
      </c>
      <c r="F97" s="92">
        <v>3.6999999999999998E-2</v>
      </c>
      <c r="G97" s="317">
        <v>39.18</v>
      </c>
      <c r="H97" s="317">
        <v>0.76</v>
      </c>
      <c r="I97" s="320">
        <v>0.76</v>
      </c>
      <c r="J97" s="25">
        <v>1.9E-2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1.202</v>
      </c>
      <c r="E98" s="91">
        <v>0.28899999999999998</v>
      </c>
      <c r="F98" s="92">
        <v>3.6999999999999998E-2</v>
      </c>
      <c r="G98" s="317">
        <v>74.55</v>
      </c>
      <c r="H98" s="317">
        <v>0.76</v>
      </c>
      <c r="I98" s="320">
        <v>0.76</v>
      </c>
      <c r="J98" s="25">
        <v>1.9E-2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1.202</v>
      </c>
      <c r="E99" s="91">
        <v>0.28899999999999998</v>
      </c>
      <c r="F99" s="92">
        <v>3.6999999999999998E-2</v>
      </c>
      <c r="G99" s="317">
        <v>112.6</v>
      </c>
      <c r="H99" s="317">
        <v>0.76</v>
      </c>
      <c r="I99" s="320">
        <v>0.76</v>
      </c>
      <c r="J99" s="25">
        <v>1.9E-2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1.202</v>
      </c>
      <c r="E100" s="91">
        <v>0.28899999999999998</v>
      </c>
      <c r="F100" s="92">
        <v>3.6999999999999998E-2</v>
      </c>
      <c r="G100" s="317">
        <v>245.29</v>
      </c>
      <c r="H100" s="317">
        <v>0.76</v>
      </c>
      <c r="I100" s="320">
        <v>0.76</v>
      </c>
      <c r="J100" s="25">
        <v>1.9E-2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1.302</v>
      </c>
      <c r="E101" s="91">
        <v>0.30099999999999999</v>
      </c>
      <c r="F101" s="92">
        <v>3.5999999999999997E-2</v>
      </c>
      <c r="G101" s="317">
        <v>5</v>
      </c>
      <c r="H101" s="317">
        <v>1.03</v>
      </c>
      <c r="I101" s="320">
        <v>1.03</v>
      </c>
      <c r="J101" s="25">
        <v>1.7999999999999999E-2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1.302</v>
      </c>
      <c r="E102" s="91">
        <v>0.30099999999999999</v>
      </c>
      <c r="F102" s="92">
        <v>3.5999999999999997E-2</v>
      </c>
      <c r="G102" s="317">
        <v>67.41</v>
      </c>
      <c r="H102" s="317">
        <v>1.03</v>
      </c>
      <c r="I102" s="320">
        <v>1.03</v>
      </c>
      <c r="J102" s="25">
        <v>1.7999999999999999E-2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1.302</v>
      </c>
      <c r="E103" s="91">
        <v>0.30099999999999999</v>
      </c>
      <c r="F103" s="92">
        <v>3.5999999999999997E-2</v>
      </c>
      <c r="G103" s="317">
        <v>128.28</v>
      </c>
      <c r="H103" s="317">
        <v>1.03</v>
      </c>
      <c r="I103" s="320">
        <v>1.03</v>
      </c>
      <c r="J103" s="25">
        <v>1.7999999999999999E-2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1.302</v>
      </c>
      <c r="E104" s="91">
        <v>0.30099999999999999</v>
      </c>
      <c r="F104" s="92">
        <v>3.5999999999999997E-2</v>
      </c>
      <c r="G104" s="317">
        <v>193.73</v>
      </c>
      <c r="H104" s="317">
        <v>1.03</v>
      </c>
      <c r="I104" s="320">
        <v>1.03</v>
      </c>
      <c r="J104" s="25">
        <v>1.7999999999999999E-2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1.302</v>
      </c>
      <c r="E105" s="91">
        <v>0.30099999999999999</v>
      </c>
      <c r="F105" s="92">
        <v>3.5999999999999997E-2</v>
      </c>
      <c r="G105" s="317">
        <v>422.05</v>
      </c>
      <c r="H105" s="317">
        <v>1.03</v>
      </c>
      <c r="I105" s="320">
        <v>1.03</v>
      </c>
      <c r="J105" s="25">
        <v>1.7999999999999999E-2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1.0880000000000001</v>
      </c>
      <c r="E106" s="91">
        <v>0.23899999999999999</v>
      </c>
      <c r="F106" s="92">
        <v>2.5999999999999999E-2</v>
      </c>
      <c r="G106" s="317">
        <v>161.99</v>
      </c>
      <c r="H106" s="317">
        <v>1.64</v>
      </c>
      <c r="I106" s="320">
        <v>1.64</v>
      </c>
      <c r="J106" s="25">
        <v>1.4E-2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1.0880000000000001</v>
      </c>
      <c r="E107" s="91">
        <v>0.23899999999999999</v>
      </c>
      <c r="F107" s="92">
        <v>2.5999999999999999E-2</v>
      </c>
      <c r="G107" s="317">
        <v>681.57</v>
      </c>
      <c r="H107" s="317">
        <v>1.64</v>
      </c>
      <c r="I107" s="320">
        <v>1.64</v>
      </c>
      <c r="J107" s="25">
        <v>1.4E-2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1.0880000000000001</v>
      </c>
      <c r="E108" s="91">
        <v>0.23899999999999999</v>
      </c>
      <c r="F108" s="92">
        <v>2.5999999999999999E-2</v>
      </c>
      <c r="G108" s="317">
        <v>1689.65</v>
      </c>
      <c r="H108" s="317">
        <v>1.64</v>
      </c>
      <c r="I108" s="320">
        <v>1.64</v>
      </c>
      <c r="J108" s="25">
        <v>1.4E-2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1.0880000000000001</v>
      </c>
      <c r="E109" s="91">
        <v>0.23899999999999999</v>
      </c>
      <c r="F109" s="92">
        <v>2.5999999999999999E-2</v>
      </c>
      <c r="G109" s="317">
        <v>3158.71</v>
      </c>
      <c r="H109" s="317">
        <v>1.64</v>
      </c>
      <c r="I109" s="320">
        <v>1.64</v>
      </c>
      <c r="J109" s="25">
        <v>1.4E-2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1.0880000000000001</v>
      </c>
      <c r="E110" s="91">
        <v>0.23899999999999999</v>
      </c>
      <c r="F110" s="92">
        <v>2.5999999999999999E-2</v>
      </c>
      <c r="G110" s="317">
        <v>7802.16</v>
      </c>
      <c r="H110" s="317">
        <v>1.64</v>
      </c>
      <c r="I110" s="320">
        <v>1.64</v>
      </c>
      <c r="J110" s="25">
        <v>1.4E-2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2066</v>
      </c>
      <c r="D111" s="93">
        <v>4.242</v>
      </c>
      <c r="E111" s="94">
        <v>0.47699999999999998</v>
      </c>
      <c r="F111" s="92">
        <v>0.20899999999999999</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805</v>
      </c>
      <c r="D112" s="90">
        <v>-1.7669999999999999</v>
      </c>
      <c r="E112" s="91">
        <v>-0.433</v>
      </c>
      <c r="F112" s="92">
        <v>-5.7000000000000002E-2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-1.7829999999999999</v>
      </c>
      <c r="E113" s="91">
        <v>-0.432</v>
      </c>
      <c r="F113" s="92">
        <v>-5.6000000000000001E-2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-1.7669999999999999</v>
      </c>
      <c r="E114" s="91">
        <v>-0.433</v>
      </c>
      <c r="F114" s="92">
        <v>-5.7000000000000002E-2</v>
      </c>
      <c r="G114" s="317" t="s">
        <v>797</v>
      </c>
      <c r="H114" s="318" t="s">
        <v>797</v>
      </c>
      <c r="I114" s="319" t="s">
        <v>797</v>
      </c>
      <c r="J114" s="25">
        <v>2.5000000000000001E-2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-1.7829999999999999</v>
      </c>
      <c r="E115" s="91">
        <v>-0.432</v>
      </c>
      <c r="F115" s="92">
        <v>-5.6000000000000001E-2</v>
      </c>
      <c r="G115" s="317" t="s">
        <v>797</v>
      </c>
      <c r="H115" s="318" t="s">
        <v>797</v>
      </c>
      <c r="I115" s="319" t="s">
        <v>797</v>
      </c>
      <c r="J115" s="25">
        <v>2.8000000000000001E-2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-2.1459999999999999</v>
      </c>
      <c r="E116" s="91">
        <v>-0.495</v>
      </c>
      <c r="F116" s="92">
        <v>-5.8999999999999997E-2</v>
      </c>
      <c r="G116" s="317">
        <v>61.4</v>
      </c>
      <c r="H116" s="318" t="s">
        <v>797</v>
      </c>
      <c r="I116" s="319" t="s">
        <v>797</v>
      </c>
      <c r="J116" s="25">
        <v>4.2000000000000003E-2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0.99099999999999999</v>
      </c>
      <c r="E117" s="91">
        <v>0.24299999999999999</v>
      </c>
      <c r="F117" s="92">
        <v>3.2000000000000001E-2</v>
      </c>
      <c r="G117" s="317">
        <v>2.5099999999999998</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0.99099999999999999</v>
      </c>
      <c r="E118" s="91">
        <v>0.24299999999999999</v>
      </c>
      <c r="F118" s="92">
        <v>3.2000000000000001E-2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1.1259999999999999</v>
      </c>
      <c r="E119" s="91">
        <v>0.27600000000000002</v>
      </c>
      <c r="F119" s="92">
        <v>3.5999999999999997E-2</v>
      </c>
      <c r="G119" s="317">
        <v>1.52</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1.1259999999999999</v>
      </c>
      <c r="E120" s="91">
        <v>0.27600000000000002</v>
      </c>
      <c r="F120" s="92">
        <v>3.5999999999999997E-2</v>
      </c>
      <c r="G120" s="317">
        <v>2.61</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1.1259999999999999</v>
      </c>
      <c r="E121" s="91">
        <v>0.27600000000000002</v>
      </c>
      <c r="F121" s="92">
        <v>3.5999999999999997E-2</v>
      </c>
      <c r="G121" s="317">
        <v>4.01</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1.1259999999999999</v>
      </c>
      <c r="E122" s="91">
        <v>0.27600000000000002</v>
      </c>
      <c r="F122" s="92">
        <v>3.5999999999999997E-2</v>
      </c>
      <c r="G122" s="317">
        <v>6.68</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1.1259999999999999</v>
      </c>
      <c r="E123" s="91">
        <v>0.27600000000000002</v>
      </c>
      <c r="F123" s="92">
        <v>3.5999999999999997E-2</v>
      </c>
      <c r="G123" s="317">
        <v>15.74</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1.1259999999999999</v>
      </c>
      <c r="E124" s="91">
        <v>0.27600000000000002</v>
      </c>
      <c r="F124" s="92">
        <v>3.5999999999999997E-2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0.81</v>
      </c>
      <c r="E125" s="91">
        <v>0.19500000000000001</v>
      </c>
      <c r="F125" s="92">
        <v>2.5000000000000001E-2</v>
      </c>
      <c r="G125" s="317">
        <v>1.96</v>
      </c>
      <c r="H125" s="317">
        <v>0.52</v>
      </c>
      <c r="I125" s="320">
        <v>0.52</v>
      </c>
      <c r="J125" s="25">
        <v>1.2E-2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0.81</v>
      </c>
      <c r="E126" s="91">
        <v>0.19500000000000001</v>
      </c>
      <c r="F126" s="92">
        <v>2.5000000000000001E-2</v>
      </c>
      <c r="G126" s="317">
        <v>26.41</v>
      </c>
      <c r="H126" s="317">
        <v>0.52</v>
      </c>
      <c r="I126" s="320">
        <v>0.52</v>
      </c>
      <c r="J126" s="25">
        <v>1.2E-2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0.81</v>
      </c>
      <c r="E127" s="91">
        <v>0.19500000000000001</v>
      </c>
      <c r="F127" s="92">
        <v>2.5000000000000001E-2</v>
      </c>
      <c r="G127" s="317">
        <v>50.26</v>
      </c>
      <c r="H127" s="317">
        <v>0.52</v>
      </c>
      <c r="I127" s="320">
        <v>0.52</v>
      </c>
      <c r="J127" s="25">
        <v>1.2E-2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0.81</v>
      </c>
      <c r="E128" s="91">
        <v>0.19500000000000001</v>
      </c>
      <c r="F128" s="92">
        <v>2.5000000000000001E-2</v>
      </c>
      <c r="G128" s="317">
        <v>75.91</v>
      </c>
      <c r="H128" s="317">
        <v>0.52</v>
      </c>
      <c r="I128" s="320">
        <v>0.52</v>
      </c>
      <c r="J128" s="25">
        <v>1.2E-2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0.81</v>
      </c>
      <c r="E129" s="91">
        <v>0.19500000000000001</v>
      </c>
      <c r="F129" s="92">
        <v>2.5000000000000001E-2</v>
      </c>
      <c r="G129" s="317">
        <v>165.37</v>
      </c>
      <c r="H129" s="317">
        <v>0.52</v>
      </c>
      <c r="I129" s="320">
        <v>0.52</v>
      </c>
      <c r="J129" s="25">
        <v>1.2E-2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0.878</v>
      </c>
      <c r="E130" s="91">
        <v>0.20300000000000001</v>
      </c>
      <c r="F130" s="92">
        <v>2.4E-2</v>
      </c>
      <c r="G130" s="317">
        <v>3.37</v>
      </c>
      <c r="H130" s="317">
        <v>0.7</v>
      </c>
      <c r="I130" s="320">
        <v>0.7</v>
      </c>
      <c r="J130" s="25">
        <v>1.2E-2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0.878</v>
      </c>
      <c r="E131" s="91">
        <v>0.20300000000000001</v>
      </c>
      <c r="F131" s="92">
        <v>2.4E-2</v>
      </c>
      <c r="G131" s="317">
        <v>45.45</v>
      </c>
      <c r="H131" s="317">
        <v>0.7</v>
      </c>
      <c r="I131" s="320">
        <v>0.7</v>
      </c>
      <c r="J131" s="25">
        <v>1.2E-2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0.878</v>
      </c>
      <c r="E132" s="91">
        <v>0.20300000000000001</v>
      </c>
      <c r="F132" s="92">
        <v>2.4E-2</v>
      </c>
      <c r="G132" s="317">
        <v>86.48</v>
      </c>
      <c r="H132" s="317">
        <v>0.7</v>
      </c>
      <c r="I132" s="320">
        <v>0.7</v>
      </c>
      <c r="J132" s="25">
        <v>1.2E-2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0.878</v>
      </c>
      <c r="E133" s="91">
        <v>0.20300000000000001</v>
      </c>
      <c r="F133" s="92">
        <v>2.4E-2</v>
      </c>
      <c r="G133" s="317">
        <v>130.61000000000001</v>
      </c>
      <c r="H133" s="317">
        <v>0.7</v>
      </c>
      <c r="I133" s="320">
        <v>0.7</v>
      </c>
      <c r="J133" s="25">
        <v>1.2E-2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0.878</v>
      </c>
      <c r="E134" s="91">
        <v>0.20300000000000001</v>
      </c>
      <c r="F134" s="92">
        <v>2.4E-2</v>
      </c>
      <c r="G134" s="317">
        <v>284.52999999999997</v>
      </c>
      <c r="H134" s="317">
        <v>0.7</v>
      </c>
      <c r="I134" s="320">
        <v>0.7</v>
      </c>
      <c r="J134" s="25">
        <v>1.2E-2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0.73299999999999998</v>
      </c>
      <c r="E135" s="91">
        <v>0.161</v>
      </c>
      <c r="F135" s="92">
        <v>1.7000000000000001E-2</v>
      </c>
      <c r="G135" s="317">
        <v>109.21</v>
      </c>
      <c r="H135" s="317">
        <v>1.1100000000000001</v>
      </c>
      <c r="I135" s="320">
        <v>1.1100000000000001</v>
      </c>
      <c r="J135" s="25">
        <v>8.9999999999999993E-3</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0.73299999999999998</v>
      </c>
      <c r="E136" s="91">
        <v>0.161</v>
      </c>
      <c r="F136" s="92">
        <v>1.7000000000000001E-2</v>
      </c>
      <c r="G136" s="317">
        <v>459.49</v>
      </c>
      <c r="H136" s="317">
        <v>1.1100000000000001</v>
      </c>
      <c r="I136" s="320">
        <v>1.1100000000000001</v>
      </c>
      <c r="J136" s="25">
        <v>8.9999999999999993E-3</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0.73299999999999998</v>
      </c>
      <c r="E137" s="91">
        <v>0.161</v>
      </c>
      <c r="F137" s="92">
        <v>1.7000000000000001E-2</v>
      </c>
      <c r="G137" s="317">
        <v>1139.1099999999999</v>
      </c>
      <c r="H137" s="317">
        <v>1.1100000000000001</v>
      </c>
      <c r="I137" s="320">
        <v>1.1100000000000001</v>
      </c>
      <c r="J137" s="25">
        <v>8.9999999999999993E-3</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0.73299999999999998</v>
      </c>
      <c r="E138" s="91">
        <v>0.161</v>
      </c>
      <c r="F138" s="92">
        <v>1.7000000000000001E-2</v>
      </c>
      <c r="G138" s="317">
        <v>2129.5</v>
      </c>
      <c r="H138" s="317">
        <v>1.1100000000000001</v>
      </c>
      <c r="I138" s="320">
        <v>1.1100000000000001</v>
      </c>
      <c r="J138" s="25">
        <v>8.9999999999999993E-3</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0.73299999999999998</v>
      </c>
      <c r="E139" s="91">
        <v>0.161</v>
      </c>
      <c r="F139" s="92">
        <v>1.7000000000000001E-2</v>
      </c>
      <c r="G139" s="317">
        <v>5259.96</v>
      </c>
      <c r="H139" s="317">
        <v>1.1100000000000001</v>
      </c>
      <c r="I139" s="320">
        <v>1.1100000000000001</v>
      </c>
      <c r="J139" s="25">
        <v>8.9999999999999993E-3</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2066</v>
      </c>
      <c r="D140" s="93">
        <v>2.86</v>
      </c>
      <c r="E140" s="94">
        <v>0.32200000000000001</v>
      </c>
      <c r="F140" s="92">
        <v>0.14099999999999999</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805</v>
      </c>
      <c r="D141" s="90">
        <v>-1.1919999999999999</v>
      </c>
      <c r="E141" s="91">
        <v>-0.29199999999999998</v>
      </c>
      <c r="F141" s="92">
        <v>-3.7999999999999999E-2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-1.202</v>
      </c>
      <c r="E142" s="91">
        <v>-0.29099999999999998</v>
      </c>
      <c r="F142" s="92">
        <v>-3.7999999999999999E-2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-1.1919999999999999</v>
      </c>
      <c r="E143" s="91">
        <v>-0.29199999999999998</v>
      </c>
      <c r="F143" s="92">
        <v>-3.7999999999999999E-2</v>
      </c>
      <c r="G143" s="317" t="s">
        <v>797</v>
      </c>
      <c r="H143" s="318" t="s">
        <v>797</v>
      </c>
      <c r="I143" s="319" t="s">
        <v>797</v>
      </c>
      <c r="J143" s="25">
        <v>1.7000000000000001E-2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-1.202</v>
      </c>
      <c r="E144" s="91">
        <v>-0.29099999999999998</v>
      </c>
      <c r="F144" s="92">
        <v>-3.7999999999999999E-2</v>
      </c>
      <c r="G144" s="317" t="s">
        <v>797</v>
      </c>
      <c r="H144" s="318" t="s">
        <v>797</v>
      </c>
      <c r="I144" s="319" t="s">
        <v>797</v>
      </c>
      <c r="J144" s="25">
        <v>1.9E-2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-1.4470000000000001</v>
      </c>
      <c r="E145" s="91">
        <v>-0.33400000000000002</v>
      </c>
      <c r="F145" s="92">
        <v>-0.04</v>
      </c>
      <c r="G145" s="317">
        <v>41.39</v>
      </c>
      <c r="H145" s="318" t="s">
        <v>797</v>
      </c>
      <c r="I145" s="319" t="s">
        <v>797</v>
      </c>
      <c r="J145" s="25">
        <v>2.8000000000000001E-2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0.51600000000000001</v>
      </c>
      <c r="E146" s="91">
        <v>0.126</v>
      </c>
      <c r="F146" s="92">
        <v>1.7000000000000001E-2</v>
      </c>
      <c r="G146" s="317">
        <v>1.31</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0.51600000000000001</v>
      </c>
      <c r="E147" s="91">
        <v>0.126</v>
      </c>
      <c r="F147" s="92">
        <v>1.7000000000000001E-2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0.58599999999999997</v>
      </c>
      <c r="E148" s="91">
        <v>0.14299999999999999</v>
      </c>
      <c r="F148" s="92">
        <v>1.9E-2</v>
      </c>
      <c r="G148" s="317">
        <v>0.79</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0.58599999999999997</v>
      </c>
      <c r="E149" s="91">
        <v>0.14299999999999999</v>
      </c>
      <c r="F149" s="92">
        <v>1.9E-2</v>
      </c>
      <c r="G149" s="317">
        <v>1.36</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0.58599999999999997</v>
      </c>
      <c r="E150" s="91">
        <v>0.14299999999999999</v>
      </c>
      <c r="F150" s="92">
        <v>1.9E-2</v>
      </c>
      <c r="G150" s="317">
        <v>2.08</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0.58599999999999997</v>
      </c>
      <c r="E151" s="91">
        <v>0.14299999999999999</v>
      </c>
      <c r="F151" s="92">
        <v>1.9E-2</v>
      </c>
      <c r="G151" s="317">
        <v>3.47</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0.58599999999999997</v>
      </c>
      <c r="E152" s="91">
        <v>0.14299999999999999</v>
      </c>
      <c r="F152" s="92">
        <v>1.9E-2</v>
      </c>
      <c r="G152" s="317">
        <v>8.18</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0.58599999999999997</v>
      </c>
      <c r="E153" s="91">
        <v>0.14299999999999999</v>
      </c>
      <c r="F153" s="92">
        <v>1.9E-2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0.42099999999999999</v>
      </c>
      <c r="E154" s="91">
        <v>0.10100000000000001</v>
      </c>
      <c r="F154" s="92">
        <v>1.2999999999999999E-2</v>
      </c>
      <c r="G154" s="317">
        <v>1.02</v>
      </c>
      <c r="H154" s="317">
        <v>0.27</v>
      </c>
      <c r="I154" s="320">
        <v>0.27</v>
      </c>
      <c r="J154" s="25">
        <v>6.0000000000000001E-3</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0.42099999999999999</v>
      </c>
      <c r="E155" s="91">
        <v>0.10100000000000001</v>
      </c>
      <c r="F155" s="92">
        <v>1.2999999999999999E-2</v>
      </c>
      <c r="G155" s="317">
        <v>13.74</v>
      </c>
      <c r="H155" s="317">
        <v>0.27</v>
      </c>
      <c r="I155" s="320">
        <v>0.27</v>
      </c>
      <c r="J155" s="25">
        <v>6.0000000000000001E-3</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0.42099999999999999</v>
      </c>
      <c r="E156" s="91">
        <v>0.10100000000000001</v>
      </c>
      <c r="F156" s="92">
        <v>1.2999999999999999E-2</v>
      </c>
      <c r="G156" s="317">
        <v>26.14</v>
      </c>
      <c r="H156" s="317">
        <v>0.27</v>
      </c>
      <c r="I156" s="320">
        <v>0.27</v>
      </c>
      <c r="J156" s="25">
        <v>6.0000000000000001E-3</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0.42099999999999999</v>
      </c>
      <c r="E157" s="91">
        <v>0.10100000000000001</v>
      </c>
      <c r="F157" s="92">
        <v>1.2999999999999999E-2</v>
      </c>
      <c r="G157" s="317">
        <v>39.479999999999997</v>
      </c>
      <c r="H157" s="317">
        <v>0.27</v>
      </c>
      <c r="I157" s="320">
        <v>0.27</v>
      </c>
      <c r="J157" s="25">
        <v>6.0000000000000001E-3</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0.42099999999999999</v>
      </c>
      <c r="E158" s="91">
        <v>0.10100000000000001</v>
      </c>
      <c r="F158" s="92">
        <v>1.2999999999999999E-2</v>
      </c>
      <c r="G158" s="317">
        <v>86</v>
      </c>
      <c r="H158" s="317">
        <v>0.27</v>
      </c>
      <c r="I158" s="320">
        <v>0.27</v>
      </c>
      <c r="J158" s="25">
        <v>6.0000000000000001E-3</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0.45700000000000002</v>
      </c>
      <c r="E159" s="91">
        <v>0.105</v>
      </c>
      <c r="F159" s="92">
        <v>1.2999999999999999E-2</v>
      </c>
      <c r="G159" s="317">
        <v>1.75</v>
      </c>
      <c r="H159" s="317">
        <v>0.36</v>
      </c>
      <c r="I159" s="320">
        <v>0.36</v>
      </c>
      <c r="J159" s="25">
        <v>6.0000000000000001E-3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0.45700000000000002</v>
      </c>
      <c r="E160" s="91">
        <v>0.105</v>
      </c>
      <c r="F160" s="92">
        <v>1.2999999999999999E-2</v>
      </c>
      <c r="G160" s="317">
        <v>23.63</v>
      </c>
      <c r="H160" s="317">
        <v>0.36</v>
      </c>
      <c r="I160" s="320">
        <v>0.36</v>
      </c>
      <c r="J160" s="25">
        <v>6.0000000000000001E-3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0.45700000000000002</v>
      </c>
      <c r="E161" s="91">
        <v>0.105</v>
      </c>
      <c r="F161" s="92">
        <v>1.2999999999999999E-2</v>
      </c>
      <c r="G161" s="317">
        <v>44.97</v>
      </c>
      <c r="H161" s="317">
        <v>0.36</v>
      </c>
      <c r="I161" s="320">
        <v>0.36</v>
      </c>
      <c r="J161" s="25">
        <v>6.0000000000000001E-3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0.45700000000000002</v>
      </c>
      <c r="E162" s="91">
        <v>0.105</v>
      </c>
      <c r="F162" s="92">
        <v>1.2999999999999999E-2</v>
      </c>
      <c r="G162" s="317">
        <v>67.92</v>
      </c>
      <c r="H162" s="317">
        <v>0.36</v>
      </c>
      <c r="I162" s="320">
        <v>0.36</v>
      </c>
      <c r="J162" s="25">
        <v>6.0000000000000001E-3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0.45700000000000002</v>
      </c>
      <c r="E163" s="91">
        <v>0.105</v>
      </c>
      <c r="F163" s="92">
        <v>1.2999999999999999E-2</v>
      </c>
      <c r="G163" s="317">
        <v>147.97</v>
      </c>
      <c r="H163" s="317">
        <v>0.36</v>
      </c>
      <c r="I163" s="320">
        <v>0.36</v>
      </c>
      <c r="J163" s="25">
        <v>6.0000000000000001E-3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0.38100000000000001</v>
      </c>
      <c r="E164" s="91">
        <v>8.4000000000000005E-2</v>
      </c>
      <c r="F164" s="92">
        <v>8.9999999999999993E-3</v>
      </c>
      <c r="G164" s="317">
        <v>56.79</v>
      </c>
      <c r="H164" s="317">
        <v>0.57999999999999996</v>
      </c>
      <c r="I164" s="320">
        <v>0.57999999999999996</v>
      </c>
      <c r="J164" s="25">
        <v>5.0000000000000001E-3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0.38100000000000001</v>
      </c>
      <c r="E165" s="91">
        <v>8.4000000000000005E-2</v>
      </c>
      <c r="F165" s="92">
        <v>8.9999999999999993E-3</v>
      </c>
      <c r="G165" s="317">
        <v>238.96</v>
      </c>
      <c r="H165" s="317">
        <v>0.57999999999999996</v>
      </c>
      <c r="I165" s="320">
        <v>0.57999999999999996</v>
      </c>
      <c r="J165" s="25">
        <v>5.0000000000000001E-3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0.38100000000000001</v>
      </c>
      <c r="E166" s="91">
        <v>8.4000000000000005E-2</v>
      </c>
      <c r="F166" s="92">
        <v>8.9999999999999993E-3</v>
      </c>
      <c r="G166" s="317">
        <v>592.4</v>
      </c>
      <c r="H166" s="317">
        <v>0.57999999999999996</v>
      </c>
      <c r="I166" s="320">
        <v>0.57999999999999996</v>
      </c>
      <c r="J166" s="25">
        <v>5.0000000000000001E-3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0.38100000000000001</v>
      </c>
      <c r="E167" s="91">
        <v>8.4000000000000005E-2</v>
      </c>
      <c r="F167" s="92">
        <v>8.9999999999999993E-3</v>
      </c>
      <c r="G167" s="317">
        <v>1107.45</v>
      </c>
      <c r="H167" s="317">
        <v>0.57999999999999996</v>
      </c>
      <c r="I167" s="320">
        <v>0.57999999999999996</v>
      </c>
      <c r="J167" s="25">
        <v>5.0000000000000001E-3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0.38100000000000001</v>
      </c>
      <c r="E168" s="91">
        <v>8.4000000000000005E-2</v>
      </c>
      <c r="F168" s="92">
        <v>8.9999999999999993E-3</v>
      </c>
      <c r="G168" s="317">
        <v>2735.46</v>
      </c>
      <c r="H168" s="317">
        <v>0.57999999999999996</v>
      </c>
      <c r="I168" s="320">
        <v>0.57999999999999996</v>
      </c>
      <c r="J168" s="25">
        <v>5.0000000000000001E-3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2066</v>
      </c>
      <c r="D169" s="93">
        <v>1.4870000000000001</v>
      </c>
      <c r="E169" s="94">
        <v>0.16700000000000001</v>
      </c>
      <c r="F169" s="92">
        <v>7.2999999999999995E-2</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805</v>
      </c>
      <c r="D170" s="90">
        <v>-0.62</v>
      </c>
      <c r="E170" s="91">
        <v>-0.152</v>
      </c>
      <c r="F170" s="92">
        <v>-0.02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-0.625</v>
      </c>
      <c r="E171" s="91">
        <v>-0.151</v>
      </c>
      <c r="F171" s="92">
        <v>-0.02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-0.62</v>
      </c>
      <c r="E172" s="91">
        <v>-0.152</v>
      </c>
      <c r="F172" s="92">
        <v>-0.02</v>
      </c>
      <c r="G172" s="317" t="s">
        <v>797</v>
      </c>
      <c r="H172" s="318" t="s">
        <v>797</v>
      </c>
      <c r="I172" s="319" t="s">
        <v>797</v>
      </c>
      <c r="J172" s="25">
        <v>8.9999999999999993E-3</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-0.625</v>
      </c>
      <c r="E173" s="91">
        <v>-0.151</v>
      </c>
      <c r="F173" s="92">
        <v>-0.02</v>
      </c>
      <c r="G173" s="317" t="s">
        <v>797</v>
      </c>
      <c r="H173" s="318" t="s">
        <v>797</v>
      </c>
      <c r="I173" s="319" t="s">
        <v>797</v>
      </c>
      <c r="J173" s="25">
        <v>0.01</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-0.752</v>
      </c>
      <c r="E174" s="91">
        <v>-0.17399999999999999</v>
      </c>
      <c r="F174" s="92">
        <v>-2.1000000000000001E-2</v>
      </c>
      <c r="G174" s="317">
        <v>21.53</v>
      </c>
      <c r="H174" s="318" t="s">
        <v>797</v>
      </c>
      <c r="I174" s="319" t="s">
        <v>797</v>
      </c>
      <c r="J174" s="25">
        <v>1.4999999999999999E-2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0.214</v>
      </c>
      <c r="E175" s="91">
        <v>5.1999999999999998E-2</v>
      </c>
      <c r="F175" s="92">
        <v>7.0000000000000001E-3</v>
      </c>
      <c r="G175" s="317">
        <v>0.54</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0.214</v>
      </c>
      <c r="E176" s="91">
        <v>5.1999999999999998E-2</v>
      </c>
      <c r="F176" s="92">
        <v>7.0000000000000001E-3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0.24299999999999999</v>
      </c>
      <c r="E177" s="91">
        <v>5.8999999999999997E-2</v>
      </c>
      <c r="F177" s="92">
        <v>8.0000000000000002E-3</v>
      </c>
      <c r="G177" s="317">
        <v>0.33</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0.24299999999999999</v>
      </c>
      <c r="E178" s="91">
        <v>5.8999999999999997E-2</v>
      </c>
      <c r="F178" s="92">
        <v>8.0000000000000002E-3</v>
      </c>
      <c r="G178" s="317">
        <v>0.56000000000000005</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0.24299999999999999</v>
      </c>
      <c r="E179" s="91">
        <v>5.8999999999999997E-2</v>
      </c>
      <c r="F179" s="92">
        <v>8.0000000000000002E-3</v>
      </c>
      <c r="G179" s="317">
        <v>0.86</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0.24299999999999999</v>
      </c>
      <c r="E180" s="91">
        <v>5.8999999999999997E-2</v>
      </c>
      <c r="F180" s="92">
        <v>8.0000000000000002E-3</v>
      </c>
      <c r="G180" s="317">
        <v>1.44</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0.24299999999999999</v>
      </c>
      <c r="E181" s="91">
        <v>5.8999999999999997E-2</v>
      </c>
      <c r="F181" s="92">
        <v>8.0000000000000002E-3</v>
      </c>
      <c r="G181" s="317">
        <v>3.39</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0.24299999999999999</v>
      </c>
      <c r="E182" s="91">
        <v>5.8999999999999997E-2</v>
      </c>
      <c r="F182" s="92">
        <v>8.0000000000000002E-3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0.17499999999999999</v>
      </c>
      <c r="E183" s="91">
        <v>4.2000000000000003E-2</v>
      </c>
      <c r="F183" s="92">
        <v>5.0000000000000001E-3</v>
      </c>
      <c r="G183" s="317">
        <v>0.42</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0.17499999999999999</v>
      </c>
      <c r="E184" s="91">
        <v>4.2000000000000003E-2</v>
      </c>
      <c r="F184" s="92">
        <v>5.0000000000000001E-3</v>
      </c>
      <c r="G184" s="317">
        <v>5.7</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0.17499999999999999</v>
      </c>
      <c r="E185" s="91">
        <v>4.2000000000000003E-2</v>
      </c>
      <c r="F185" s="92">
        <v>5.0000000000000001E-3</v>
      </c>
      <c r="G185" s="317">
        <v>10.84</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0.17499999999999999</v>
      </c>
      <c r="E186" s="91">
        <v>4.2000000000000003E-2</v>
      </c>
      <c r="F186" s="92">
        <v>5.0000000000000001E-3</v>
      </c>
      <c r="G186" s="317">
        <v>16.37</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0.17499999999999999</v>
      </c>
      <c r="E187" s="91">
        <v>4.2000000000000003E-2</v>
      </c>
      <c r="F187" s="92">
        <v>5.0000000000000001E-3</v>
      </c>
      <c r="G187" s="317">
        <v>35.659999999999997</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0.189</v>
      </c>
      <c r="E188" s="91">
        <v>4.3999999999999997E-2</v>
      </c>
      <c r="F188" s="92">
        <v>5.0000000000000001E-3</v>
      </c>
      <c r="G188" s="317">
        <v>0.73</v>
      </c>
      <c r="H188" s="317">
        <v>0.15</v>
      </c>
      <c r="I188" s="320">
        <v>0.15</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0.189</v>
      </c>
      <c r="E189" s="91">
        <v>4.3999999999999997E-2</v>
      </c>
      <c r="F189" s="92">
        <v>5.0000000000000001E-3</v>
      </c>
      <c r="G189" s="317">
        <v>9.8000000000000007</v>
      </c>
      <c r="H189" s="317">
        <v>0.15</v>
      </c>
      <c r="I189" s="320">
        <v>0.15</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0.189</v>
      </c>
      <c r="E190" s="91">
        <v>4.3999999999999997E-2</v>
      </c>
      <c r="F190" s="92">
        <v>5.0000000000000001E-3</v>
      </c>
      <c r="G190" s="317">
        <v>18.649999999999999</v>
      </c>
      <c r="H190" s="317">
        <v>0.15</v>
      </c>
      <c r="I190" s="320">
        <v>0.15</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0.189</v>
      </c>
      <c r="E191" s="91">
        <v>4.3999999999999997E-2</v>
      </c>
      <c r="F191" s="92">
        <v>5.0000000000000001E-3</v>
      </c>
      <c r="G191" s="317">
        <v>28.16</v>
      </c>
      <c r="H191" s="317">
        <v>0.15</v>
      </c>
      <c r="I191" s="320">
        <v>0.15</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0.189</v>
      </c>
      <c r="E192" s="91">
        <v>4.3999999999999997E-2</v>
      </c>
      <c r="F192" s="92">
        <v>5.0000000000000001E-3</v>
      </c>
      <c r="G192" s="317">
        <v>61.36</v>
      </c>
      <c r="H192" s="317">
        <v>0.15</v>
      </c>
      <c r="I192" s="320">
        <v>0.15</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0.158</v>
      </c>
      <c r="E193" s="91">
        <v>3.5000000000000003E-2</v>
      </c>
      <c r="F193" s="92">
        <v>4.0000000000000001E-3</v>
      </c>
      <c r="G193" s="317">
        <v>23.55</v>
      </c>
      <c r="H193" s="317">
        <v>0.24</v>
      </c>
      <c r="I193" s="320">
        <v>0.24</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0.158</v>
      </c>
      <c r="E194" s="91">
        <v>3.5000000000000003E-2</v>
      </c>
      <c r="F194" s="92">
        <v>4.0000000000000001E-3</v>
      </c>
      <c r="G194" s="317">
        <v>99.09</v>
      </c>
      <c r="H194" s="317">
        <v>0.24</v>
      </c>
      <c r="I194" s="320">
        <v>0.24</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0.158</v>
      </c>
      <c r="E195" s="91">
        <v>3.5000000000000003E-2</v>
      </c>
      <c r="F195" s="92">
        <v>4.0000000000000001E-3</v>
      </c>
      <c r="G195" s="317">
        <v>245.64</v>
      </c>
      <c r="H195" s="317">
        <v>0.24</v>
      </c>
      <c r="I195" s="320">
        <v>0.24</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0.158</v>
      </c>
      <c r="E196" s="91">
        <v>3.5000000000000003E-2</v>
      </c>
      <c r="F196" s="92">
        <v>4.0000000000000001E-3</v>
      </c>
      <c r="G196" s="317">
        <v>459.21</v>
      </c>
      <c r="H196" s="317">
        <v>0.24</v>
      </c>
      <c r="I196" s="320">
        <v>0.24</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0.158</v>
      </c>
      <c r="E197" s="91">
        <v>3.5000000000000003E-2</v>
      </c>
      <c r="F197" s="92">
        <v>4.0000000000000001E-3</v>
      </c>
      <c r="G197" s="317">
        <v>1134.26</v>
      </c>
      <c r="H197" s="317">
        <v>0.24</v>
      </c>
      <c r="I197" s="320">
        <v>0.24</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2066</v>
      </c>
      <c r="D198" s="93">
        <v>0.61699999999999999</v>
      </c>
      <c r="E198" s="94">
        <v>6.9000000000000006E-2</v>
      </c>
      <c r="F198" s="92">
        <v>0.03</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805</v>
      </c>
      <c r="D199" s="90">
        <v>-0.25700000000000001</v>
      </c>
      <c r="E199" s="91">
        <v>-6.3E-2</v>
      </c>
      <c r="F199" s="92">
        <v>-8.0000000000000002E-3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-0.25900000000000001</v>
      </c>
      <c r="E200" s="91">
        <v>-6.3E-2</v>
      </c>
      <c r="F200" s="92">
        <v>-8.0000000000000002E-3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-0.25700000000000001</v>
      </c>
      <c r="E201" s="91">
        <v>-6.3E-2</v>
      </c>
      <c r="F201" s="92">
        <v>-8.0000000000000002E-3</v>
      </c>
      <c r="G201" s="317" t="s">
        <v>797</v>
      </c>
      <c r="H201" s="318" t="s">
        <v>797</v>
      </c>
      <c r="I201" s="319" t="s">
        <v>797</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-0.25900000000000001</v>
      </c>
      <c r="E202" s="91">
        <v>-6.3E-2</v>
      </c>
      <c r="F202" s="92">
        <v>-8.0000000000000002E-3</v>
      </c>
      <c r="G202" s="317" t="s">
        <v>797</v>
      </c>
      <c r="H202" s="318" t="s">
        <v>797</v>
      </c>
      <c r="I202" s="319" t="s">
        <v>797</v>
      </c>
      <c r="J202" s="25">
        <v>4.0000000000000001E-3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-0.312</v>
      </c>
      <c r="E203" s="91">
        <v>-7.1999999999999995E-2</v>
      </c>
      <c r="F203" s="92">
        <v>-8.9999999999999993E-3</v>
      </c>
      <c r="G203" s="317">
        <v>8.93</v>
      </c>
      <c r="H203" s="318" t="s">
        <v>797</v>
      </c>
      <c r="I203" s="319" t="s">
        <v>797</v>
      </c>
      <c r="J203" s="25">
        <v>6.0000000000000001E-3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34" priority="2" operator="equal">
      <formula>0</formula>
    </cfRule>
    <cfRule type="cellIs" dxfId="33" priority="3" operator="lessThan">
      <formula>0</formula>
    </cfRule>
    <cfRule type="cellIs" dxfId="32" priority="4" operator="greaterThan">
      <formula>0</formula>
    </cfRule>
  </conditionalFormatting>
  <conditionalFormatting sqref="K14:R203">
    <cfRule type="expression" dxfId="31" priority="1">
      <formula>$K14&lt;&gt;""</formula>
    </cfRule>
  </conditionalFormatting>
  <hyperlinks>
    <hyperlink ref="A1" location="Overview!A1" display="Back to Overview" xr:uid="{56558805-C9C7-4625-8103-985335324A6A}"/>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7"/>
  <sheetViews>
    <sheetView zoomScale="70" zoomScaleNormal="70" workbookViewId="0"/>
  </sheetViews>
  <sheetFormatPr defaultColWidth="9.140625" defaultRowHeight="27.75" customHeight="1" x14ac:dyDescent="0.2"/>
  <cols>
    <col min="1" max="1" width="49" style="96" customWidth="1"/>
    <col min="2" max="2" width="40.5703125" style="109" customWidth="1"/>
    <col min="3" max="3" width="12.7109375" style="96" customWidth="1"/>
    <col min="4" max="4" width="17.5703125" style="96" customWidth="1"/>
    <col min="5" max="5" width="20" style="109" bestFit="1" customWidth="1"/>
    <col min="6" max="7" width="17.5703125" style="109" customWidth="1"/>
    <col min="8" max="8" width="17.5703125" style="110" customWidth="1"/>
    <col min="9" max="9" width="19.42578125" style="110" bestFit="1" customWidth="1"/>
    <col min="10" max="10" width="19.140625" style="111" bestFit="1" customWidth="1"/>
    <col min="11" max="11" width="18.42578125" style="112" bestFit="1" customWidth="1"/>
    <col min="12" max="12" width="1.42578125" style="97" customWidth="1"/>
    <col min="13" max="13" width="15.5703125" style="341" customWidth="1"/>
    <col min="14" max="18" width="15.5703125" style="96" customWidth="1"/>
    <col min="19" max="16384" width="9.140625" style="96"/>
  </cols>
  <sheetData>
    <row r="1" spans="1:14" ht="27.75" customHeight="1" x14ac:dyDescent="0.2">
      <c r="A1" s="31" t="s">
        <v>19</v>
      </c>
      <c r="B1" s="45"/>
      <c r="C1" s="45"/>
      <c r="D1" s="45"/>
      <c r="E1" s="383" t="s">
        <v>367</v>
      </c>
      <c r="F1" s="383"/>
      <c r="G1" s="383"/>
      <c r="H1" s="383"/>
      <c r="I1" s="383"/>
      <c r="J1" s="383"/>
      <c r="K1" s="383"/>
      <c r="L1" s="241"/>
      <c r="M1" s="340"/>
      <c r="N1" s="241"/>
    </row>
    <row r="2" spans="1:14" ht="27" customHeight="1" x14ac:dyDescent="0.2">
      <c r="A2" s="384" t="str">
        <f>Overview!B4&amp;" - Effective from "&amp;TEXT(Overview!$D$4,"d mmmm yyyy")&amp;" - Final LV and HV charges in WPD EM Area (GSP Group _B)"</f>
        <v>Leep Electricity Networks Limited - Effective from 1 April 2027 - Final LV and HV charges in WPD EM Area (GSP Group _B)</v>
      </c>
      <c r="B2" s="384"/>
      <c r="C2" s="384"/>
      <c r="D2" s="384"/>
      <c r="E2" s="384"/>
      <c r="F2" s="384"/>
      <c r="G2" s="384"/>
      <c r="H2" s="384"/>
      <c r="I2" s="384"/>
      <c r="J2" s="384"/>
      <c r="K2" s="384"/>
    </row>
    <row r="3" spans="1:14" s="99" customFormat="1" ht="15" customHeight="1" x14ac:dyDescent="0.2">
      <c r="A3" s="45"/>
      <c r="B3" s="45"/>
      <c r="C3" s="45"/>
      <c r="D3" s="45"/>
      <c r="E3" s="45"/>
      <c r="F3" s="45"/>
      <c r="G3" s="45"/>
      <c r="H3" s="45"/>
      <c r="I3" s="45"/>
      <c r="J3" s="45"/>
      <c r="K3" s="45"/>
      <c r="L3" s="98"/>
      <c r="M3" s="342"/>
    </row>
    <row r="4" spans="1:14" ht="18" customHeight="1" x14ac:dyDescent="0.2">
      <c r="A4" s="396" t="s">
        <v>290</v>
      </c>
      <c r="B4" s="397"/>
      <c r="C4" s="397"/>
      <c r="D4" s="397"/>
      <c r="E4" s="398"/>
      <c r="F4" s="45"/>
      <c r="G4" s="396" t="s">
        <v>289</v>
      </c>
      <c r="H4" s="397"/>
      <c r="I4" s="397"/>
      <c r="J4" s="397"/>
      <c r="K4" s="398"/>
    </row>
    <row r="5" spans="1:14" ht="41.25" customHeight="1" x14ac:dyDescent="0.2">
      <c r="A5" s="39" t="s">
        <v>13</v>
      </c>
      <c r="B5" s="256" t="s">
        <v>281</v>
      </c>
      <c r="C5" s="379" t="s">
        <v>282</v>
      </c>
      <c r="D5" s="380"/>
      <c r="E5" s="41" t="s">
        <v>283</v>
      </c>
      <c r="F5" s="45"/>
      <c r="G5" s="381"/>
      <c r="H5" s="382"/>
      <c r="I5" s="43" t="s">
        <v>287</v>
      </c>
      <c r="J5" s="44" t="s">
        <v>288</v>
      </c>
      <c r="K5" s="41" t="s">
        <v>283</v>
      </c>
      <c r="L5" s="45"/>
    </row>
    <row r="6" spans="1:14" ht="37.5" customHeight="1" x14ac:dyDescent="0.2">
      <c r="A6" s="313" t="s">
        <v>794</v>
      </c>
      <c r="B6" s="13" t="s">
        <v>370</v>
      </c>
      <c r="C6" s="391" t="s">
        <v>2024</v>
      </c>
      <c r="D6" s="393"/>
      <c r="E6" s="95" t="s">
        <v>2025</v>
      </c>
      <c r="F6" s="45" t="s">
        <v>797</v>
      </c>
      <c r="G6" s="389" t="s">
        <v>2026</v>
      </c>
      <c r="H6" s="390"/>
      <c r="I6" s="13" t="s">
        <v>372</v>
      </c>
      <c r="J6" s="248" t="s">
        <v>2024</v>
      </c>
      <c r="K6" s="248" t="s">
        <v>2025</v>
      </c>
      <c r="L6" s="45"/>
    </row>
    <row r="7" spans="1:14" ht="39" customHeight="1" x14ac:dyDescent="0.2">
      <c r="A7" s="267" t="s">
        <v>798</v>
      </c>
      <c r="B7" s="250" t="s">
        <v>797</v>
      </c>
      <c r="C7" s="394" t="s">
        <v>797</v>
      </c>
      <c r="D7" s="395"/>
      <c r="E7" s="248" t="s">
        <v>2027</v>
      </c>
      <c r="F7" s="45" t="s">
        <v>797</v>
      </c>
      <c r="G7" s="389" t="s">
        <v>2028</v>
      </c>
      <c r="H7" s="390"/>
      <c r="I7" s="250" t="s">
        <v>797</v>
      </c>
      <c r="J7" s="248" t="s">
        <v>2029</v>
      </c>
      <c r="K7" s="248" t="s">
        <v>2025</v>
      </c>
      <c r="L7" s="45"/>
    </row>
    <row r="8" spans="1:14" ht="33.75" customHeight="1" x14ac:dyDescent="0.2">
      <c r="A8" s="253" t="s">
        <v>14</v>
      </c>
      <c r="B8" s="391" t="s">
        <v>15</v>
      </c>
      <c r="C8" s="392"/>
      <c r="D8" s="392"/>
      <c r="E8" s="393"/>
      <c r="F8" s="45" t="s">
        <v>797</v>
      </c>
      <c r="G8" s="389" t="s">
        <v>2030</v>
      </c>
      <c r="H8" s="390"/>
      <c r="I8" s="250" t="s">
        <v>797</v>
      </c>
      <c r="J8" s="250" t="s">
        <v>797</v>
      </c>
      <c r="K8" s="248" t="s">
        <v>2027</v>
      </c>
      <c r="L8" s="45"/>
    </row>
    <row r="9" spans="1:14" s="99" customFormat="1" ht="40.5" customHeight="1" x14ac:dyDescent="0.2">
      <c r="A9" s="254" t="s">
        <v>797</v>
      </c>
      <c r="B9" s="254" t="s">
        <v>797</v>
      </c>
      <c r="C9" s="387" t="s">
        <v>797</v>
      </c>
      <c r="D9" s="388"/>
      <c r="E9" s="254" t="s">
        <v>797</v>
      </c>
      <c r="F9" s="45" t="s">
        <v>797</v>
      </c>
      <c r="G9" s="389" t="s">
        <v>14</v>
      </c>
      <c r="H9" s="390"/>
      <c r="I9" s="391" t="s">
        <v>15</v>
      </c>
      <c r="J9" s="392"/>
      <c r="K9" s="393"/>
      <c r="L9" s="45"/>
      <c r="M9" s="342"/>
    </row>
    <row r="10" spans="1:14" s="99" customFormat="1" ht="18" x14ac:dyDescent="0.2">
      <c r="A10" s="296"/>
      <c r="B10" s="296"/>
      <c r="C10" s="296"/>
      <c r="D10" s="296"/>
      <c r="E10" s="296"/>
      <c r="F10" s="45"/>
      <c r="G10" s="295"/>
      <c r="H10" s="295"/>
      <c r="I10" s="296"/>
      <c r="J10" s="296"/>
      <c r="K10" s="296"/>
      <c r="L10" s="45"/>
      <c r="M10" s="342"/>
    </row>
    <row r="11" spans="1:14" s="99" customFormat="1" ht="18" x14ac:dyDescent="0.2">
      <c r="A11" s="296"/>
      <c r="B11" s="296"/>
      <c r="C11" s="296"/>
      <c r="D11" s="296"/>
      <c r="E11" s="296"/>
      <c r="F11" s="45"/>
      <c r="G11" s="295"/>
      <c r="H11" s="295"/>
      <c r="I11" s="296"/>
      <c r="J11" s="296"/>
      <c r="K11" s="296"/>
      <c r="L11" s="45"/>
      <c r="M11" s="342"/>
    </row>
    <row r="12" spans="1:14" s="99" customFormat="1" ht="13.5" customHeight="1" x14ac:dyDescent="0.2">
      <c r="A12" s="45"/>
      <c r="B12" s="45"/>
      <c r="C12" s="45"/>
      <c r="D12" s="45"/>
      <c r="E12" s="45"/>
      <c r="F12" s="45"/>
      <c r="G12" s="48"/>
      <c r="H12" s="48"/>
      <c r="I12" s="49"/>
      <c r="J12" s="49"/>
      <c r="K12" s="49"/>
      <c r="L12" s="98"/>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843</v>
      </c>
      <c r="C14" s="311" t="s">
        <v>802</v>
      </c>
      <c r="D14" s="90">
        <v>12.755000000000001</v>
      </c>
      <c r="E14" s="91">
        <v>1.5209999999999999</v>
      </c>
      <c r="F14" s="92">
        <v>0.125</v>
      </c>
      <c r="G14" s="28">
        <v>12.28</v>
      </c>
      <c r="H14" s="29" t="s">
        <v>797</v>
      </c>
      <c r="I14" s="29" t="s">
        <v>797</v>
      </c>
      <c r="J14" s="26" t="s">
        <v>797</v>
      </c>
      <c r="K14" s="27"/>
    </row>
    <row r="15" spans="1:14" ht="32.25" customHeight="1" x14ac:dyDescent="0.2">
      <c r="A15" s="10" t="s">
        <v>495</v>
      </c>
      <c r="B15" s="332" t="s">
        <v>797</v>
      </c>
      <c r="C15" s="311" t="s">
        <v>2031</v>
      </c>
      <c r="D15" s="90">
        <v>12.755000000000001</v>
      </c>
      <c r="E15" s="91">
        <v>1.5209999999999999</v>
      </c>
      <c r="F15" s="92">
        <v>0.125</v>
      </c>
      <c r="G15" s="29" t="s">
        <v>797</v>
      </c>
      <c r="H15" s="29" t="s">
        <v>797</v>
      </c>
      <c r="I15" s="29" t="s">
        <v>797</v>
      </c>
      <c r="J15" s="26" t="s">
        <v>797</v>
      </c>
      <c r="K15" s="27"/>
    </row>
    <row r="16" spans="1:14" ht="32.25" customHeight="1" x14ac:dyDescent="0.2">
      <c r="A16" s="10" t="s">
        <v>675</v>
      </c>
      <c r="B16" s="332" t="s">
        <v>844</v>
      </c>
      <c r="C16" s="311" t="s">
        <v>803</v>
      </c>
      <c r="D16" s="90">
        <v>12.349</v>
      </c>
      <c r="E16" s="91">
        <v>1.4730000000000001</v>
      </c>
      <c r="F16" s="92">
        <v>0.121</v>
      </c>
      <c r="G16" s="28">
        <v>12.13</v>
      </c>
      <c r="H16" s="29" t="s">
        <v>797</v>
      </c>
      <c r="I16" s="29" t="s">
        <v>797</v>
      </c>
      <c r="J16" s="26" t="s">
        <v>797</v>
      </c>
      <c r="K16" s="27"/>
    </row>
    <row r="17" spans="1:11" ht="32.25" customHeight="1" x14ac:dyDescent="0.2">
      <c r="A17" s="10" t="s">
        <v>676</v>
      </c>
      <c r="B17" s="332" t="s">
        <v>845</v>
      </c>
      <c r="C17" s="311" t="s">
        <v>803</v>
      </c>
      <c r="D17" s="90">
        <v>12.349</v>
      </c>
      <c r="E17" s="91">
        <v>1.4730000000000001</v>
      </c>
      <c r="F17" s="92">
        <v>0.121</v>
      </c>
      <c r="G17" s="28">
        <v>15.42</v>
      </c>
      <c r="H17" s="29" t="s">
        <v>797</v>
      </c>
      <c r="I17" s="29" t="s">
        <v>797</v>
      </c>
      <c r="J17" s="26" t="s">
        <v>797</v>
      </c>
      <c r="K17" s="27"/>
    </row>
    <row r="18" spans="1:11" ht="32.25" customHeight="1" x14ac:dyDescent="0.2">
      <c r="A18" s="10" t="s">
        <v>677</v>
      </c>
      <c r="B18" s="332" t="s">
        <v>846</v>
      </c>
      <c r="C18" s="311" t="s">
        <v>803</v>
      </c>
      <c r="D18" s="90">
        <v>12.349</v>
      </c>
      <c r="E18" s="91">
        <v>1.4730000000000001</v>
      </c>
      <c r="F18" s="92">
        <v>0.121</v>
      </c>
      <c r="G18" s="28">
        <v>24.53</v>
      </c>
      <c r="H18" s="29" t="s">
        <v>797</v>
      </c>
      <c r="I18" s="29" t="s">
        <v>797</v>
      </c>
      <c r="J18" s="26" t="s">
        <v>797</v>
      </c>
      <c r="K18" s="27"/>
    </row>
    <row r="19" spans="1:11" ht="32.25" customHeight="1" x14ac:dyDescent="0.2">
      <c r="A19" s="10" t="s">
        <v>678</v>
      </c>
      <c r="B19" s="332" t="s">
        <v>847</v>
      </c>
      <c r="C19" s="311" t="s">
        <v>803</v>
      </c>
      <c r="D19" s="90">
        <v>12.349</v>
      </c>
      <c r="E19" s="91">
        <v>1.4730000000000001</v>
      </c>
      <c r="F19" s="92">
        <v>0.121</v>
      </c>
      <c r="G19" s="28">
        <v>39.340000000000003</v>
      </c>
      <c r="H19" s="29" t="s">
        <v>797</v>
      </c>
      <c r="I19" s="29" t="s">
        <v>797</v>
      </c>
      <c r="J19" s="26" t="s">
        <v>797</v>
      </c>
      <c r="K19" s="27"/>
    </row>
    <row r="20" spans="1:11" ht="32.25" customHeight="1" x14ac:dyDescent="0.2">
      <c r="A20" s="10" t="s">
        <v>679</v>
      </c>
      <c r="B20" s="332" t="s">
        <v>848</v>
      </c>
      <c r="C20" s="311" t="s">
        <v>803</v>
      </c>
      <c r="D20" s="90">
        <v>12.349</v>
      </c>
      <c r="E20" s="91">
        <v>1.4730000000000001</v>
      </c>
      <c r="F20" s="92">
        <v>0.121</v>
      </c>
      <c r="G20" s="28">
        <v>83.58</v>
      </c>
      <c r="H20" s="29" t="s">
        <v>797</v>
      </c>
      <c r="I20" s="29" t="s">
        <v>797</v>
      </c>
      <c r="J20" s="26" t="s">
        <v>797</v>
      </c>
      <c r="K20" s="27"/>
    </row>
    <row r="21" spans="1:11" ht="32.25" customHeight="1" x14ac:dyDescent="0.2">
      <c r="A21" s="10" t="s">
        <v>476</v>
      </c>
      <c r="B21" s="332" t="s">
        <v>797</v>
      </c>
      <c r="C21" s="311" t="s">
        <v>2032</v>
      </c>
      <c r="D21" s="90">
        <v>12.349</v>
      </c>
      <c r="E21" s="91">
        <v>1.4730000000000001</v>
      </c>
      <c r="F21" s="92">
        <v>0.121</v>
      </c>
      <c r="G21" s="29" t="s">
        <v>797</v>
      </c>
      <c r="H21" s="29" t="s">
        <v>797</v>
      </c>
      <c r="I21" s="29" t="s">
        <v>797</v>
      </c>
      <c r="J21" s="26" t="s">
        <v>797</v>
      </c>
      <c r="K21" s="27"/>
    </row>
    <row r="22" spans="1:11" ht="32.25" customHeight="1" x14ac:dyDescent="0.2">
      <c r="A22" s="10" t="s">
        <v>496</v>
      </c>
      <c r="B22" s="332" t="s">
        <v>849</v>
      </c>
      <c r="C22" s="311">
        <v>0</v>
      </c>
      <c r="D22" s="90">
        <v>8.3680000000000003</v>
      </c>
      <c r="E22" s="91">
        <v>0.93500000000000005</v>
      </c>
      <c r="F22" s="92">
        <v>7.1999999999999995E-2</v>
      </c>
      <c r="G22" s="28">
        <v>14.27</v>
      </c>
      <c r="H22" s="28">
        <v>7.88</v>
      </c>
      <c r="I22" s="89">
        <v>7.88</v>
      </c>
      <c r="J22" s="25">
        <v>0.247</v>
      </c>
      <c r="K22" s="27"/>
    </row>
    <row r="23" spans="1:11" ht="32.25" customHeight="1" x14ac:dyDescent="0.2">
      <c r="A23" s="10" t="s">
        <v>497</v>
      </c>
      <c r="B23" s="332" t="s">
        <v>850</v>
      </c>
      <c r="C23" s="311">
        <v>0</v>
      </c>
      <c r="D23" s="90">
        <v>8.3680000000000003</v>
      </c>
      <c r="E23" s="91">
        <v>0.93500000000000005</v>
      </c>
      <c r="F23" s="92">
        <v>7.1999999999999995E-2</v>
      </c>
      <c r="G23" s="28">
        <v>139.65</v>
      </c>
      <c r="H23" s="28">
        <v>7.88</v>
      </c>
      <c r="I23" s="89">
        <v>7.88</v>
      </c>
      <c r="J23" s="25">
        <v>0.247</v>
      </c>
      <c r="K23" s="27"/>
    </row>
    <row r="24" spans="1:11" ht="32.25" customHeight="1" x14ac:dyDescent="0.2">
      <c r="A24" s="10" t="s">
        <v>498</v>
      </c>
      <c r="B24" s="332" t="s">
        <v>851</v>
      </c>
      <c r="C24" s="311">
        <v>0</v>
      </c>
      <c r="D24" s="90">
        <v>8.3680000000000003</v>
      </c>
      <c r="E24" s="91">
        <v>0.93500000000000005</v>
      </c>
      <c r="F24" s="92">
        <v>7.1999999999999995E-2</v>
      </c>
      <c r="G24" s="28">
        <v>226.69</v>
      </c>
      <c r="H24" s="28">
        <v>7.88</v>
      </c>
      <c r="I24" s="89">
        <v>7.88</v>
      </c>
      <c r="J24" s="25">
        <v>0.247</v>
      </c>
      <c r="K24" s="27"/>
    </row>
    <row r="25" spans="1:11" ht="32.25" customHeight="1" x14ac:dyDescent="0.2">
      <c r="A25" s="10" t="s">
        <v>499</v>
      </c>
      <c r="B25" s="332" t="s">
        <v>852</v>
      </c>
      <c r="C25" s="311">
        <v>0</v>
      </c>
      <c r="D25" s="90">
        <v>8.3680000000000003</v>
      </c>
      <c r="E25" s="91">
        <v>0.93500000000000005</v>
      </c>
      <c r="F25" s="92">
        <v>7.1999999999999995E-2</v>
      </c>
      <c r="G25" s="28">
        <v>356.1</v>
      </c>
      <c r="H25" s="28">
        <v>7.88</v>
      </c>
      <c r="I25" s="89">
        <v>7.88</v>
      </c>
      <c r="J25" s="25">
        <v>0.247</v>
      </c>
      <c r="K25" s="27"/>
    </row>
    <row r="26" spans="1:11" ht="32.25" customHeight="1" x14ac:dyDescent="0.2">
      <c r="A26" s="10" t="s">
        <v>500</v>
      </c>
      <c r="B26" s="332" t="s">
        <v>853</v>
      </c>
      <c r="C26" s="311">
        <v>0</v>
      </c>
      <c r="D26" s="90">
        <v>8.3680000000000003</v>
      </c>
      <c r="E26" s="91">
        <v>0.93500000000000005</v>
      </c>
      <c r="F26" s="92">
        <v>7.1999999999999995E-2</v>
      </c>
      <c r="G26" s="28">
        <v>701.34</v>
      </c>
      <c r="H26" s="28">
        <v>7.88</v>
      </c>
      <c r="I26" s="89">
        <v>7.88</v>
      </c>
      <c r="J26" s="25">
        <v>0.247</v>
      </c>
      <c r="K26" s="27"/>
    </row>
    <row r="27" spans="1:11" ht="32.25" customHeight="1" x14ac:dyDescent="0.2">
      <c r="A27" s="10" t="s">
        <v>501</v>
      </c>
      <c r="B27" s="332" t="s">
        <v>854</v>
      </c>
      <c r="C27" s="311">
        <v>0</v>
      </c>
      <c r="D27" s="90">
        <v>5.5069999999999997</v>
      </c>
      <c r="E27" s="91">
        <v>0.52400000000000002</v>
      </c>
      <c r="F27" s="92">
        <v>3.3000000000000002E-2</v>
      </c>
      <c r="G27" s="28">
        <v>11.14</v>
      </c>
      <c r="H27" s="28">
        <v>7.62</v>
      </c>
      <c r="I27" s="89">
        <v>7.62</v>
      </c>
      <c r="J27" s="25">
        <v>0.156</v>
      </c>
      <c r="K27" s="27"/>
    </row>
    <row r="28" spans="1:11" ht="32.25" customHeight="1" x14ac:dyDescent="0.2">
      <c r="A28" s="10" t="s">
        <v>502</v>
      </c>
      <c r="B28" s="332" t="s">
        <v>855</v>
      </c>
      <c r="C28" s="311">
        <v>0</v>
      </c>
      <c r="D28" s="90">
        <v>5.5069999999999997</v>
      </c>
      <c r="E28" s="91">
        <v>0.52400000000000002</v>
      </c>
      <c r="F28" s="92">
        <v>3.3000000000000002E-2</v>
      </c>
      <c r="G28" s="28">
        <v>136.52000000000001</v>
      </c>
      <c r="H28" s="28">
        <v>7.62</v>
      </c>
      <c r="I28" s="89">
        <v>7.62</v>
      </c>
      <c r="J28" s="25">
        <v>0.156</v>
      </c>
      <c r="K28" s="27"/>
    </row>
    <row r="29" spans="1:11" ht="32.25" customHeight="1" x14ac:dyDescent="0.2">
      <c r="A29" s="10" t="s">
        <v>503</v>
      </c>
      <c r="B29" s="332" t="s">
        <v>856</v>
      </c>
      <c r="C29" s="311">
        <v>0</v>
      </c>
      <c r="D29" s="90">
        <v>5.5069999999999997</v>
      </c>
      <c r="E29" s="91">
        <v>0.52400000000000002</v>
      </c>
      <c r="F29" s="92">
        <v>3.3000000000000002E-2</v>
      </c>
      <c r="G29" s="28">
        <v>223.56</v>
      </c>
      <c r="H29" s="28">
        <v>7.62</v>
      </c>
      <c r="I29" s="89">
        <v>7.62</v>
      </c>
      <c r="J29" s="25">
        <v>0.156</v>
      </c>
      <c r="K29" s="27"/>
    </row>
    <row r="30" spans="1:11" ht="32.25" customHeight="1" x14ac:dyDescent="0.2">
      <c r="A30" s="10" t="s">
        <v>504</v>
      </c>
      <c r="B30" s="332" t="s">
        <v>857</v>
      </c>
      <c r="C30" s="311">
        <v>0</v>
      </c>
      <c r="D30" s="90">
        <v>5.5069999999999997</v>
      </c>
      <c r="E30" s="91">
        <v>0.52400000000000002</v>
      </c>
      <c r="F30" s="92">
        <v>3.3000000000000002E-2</v>
      </c>
      <c r="G30" s="28">
        <v>352.97</v>
      </c>
      <c r="H30" s="28">
        <v>7.62</v>
      </c>
      <c r="I30" s="89">
        <v>7.62</v>
      </c>
      <c r="J30" s="25">
        <v>0.156</v>
      </c>
      <c r="K30" s="27"/>
    </row>
    <row r="31" spans="1:11" ht="32.25" customHeight="1" x14ac:dyDescent="0.2">
      <c r="A31" s="10" t="s">
        <v>505</v>
      </c>
      <c r="B31" s="332" t="s">
        <v>858</v>
      </c>
      <c r="C31" s="311">
        <v>0</v>
      </c>
      <c r="D31" s="90">
        <v>5.5069999999999997</v>
      </c>
      <c r="E31" s="91">
        <v>0.52400000000000002</v>
      </c>
      <c r="F31" s="92">
        <v>3.3000000000000002E-2</v>
      </c>
      <c r="G31" s="28">
        <v>698.21</v>
      </c>
      <c r="H31" s="28">
        <v>7.62</v>
      </c>
      <c r="I31" s="89">
        <v>7.62</v>
      </c>
      <c r="J31" s="25">
        <v>0.156</v>
      </c>
      <c r="K31" s="27"/>
    </row>
    <row r="32" spans="1:11" ht="32.25" customHeight="1" x14ac:dyDescent="0.2">
      <c r="A32" s="10" t="s">
        <v>506</v>
      </c>
      <c r="B32" s="332" t="s">
        <v>859</v>
      </c>
      <c r="C32" s="311">
        <v>0</v>
      </c>
      <c r="D32" s="90">
        <v>3.125</v>
      </c>
      <c r="E32" s="91">
        <v>0.23300000000000001</v>
      </c>
      <c r="F32" s="92">
        <v>8.9999999999999993E-3</v>
      </c>
      <c r="G32" s="28">
        <v>102.86</v>
      </c>
      <c r="H32" s="28">
        <v>8.83</v>
      </c>
      <c r="I32" s="89">
        <v>8.83</v>
      </c>
      <c r="J32" s="25">
        <v>7.6999999999999999E-2</v>
      </c>
      <c r="K32" s="27"/>
    </row>
    <row r="33" spans="1:11" ht="32.25" customHeight="1" x14ac:dyDescent="0.2">
      <c r="A33" s="10" t="s">
        <v>507</v>
      </c>
      <c r="B33" s="332" t="s">
        <v>860</v>
      </c>
      <c r="C33" s="311">
        <v>0</v>
      </c>
      <c r="D33" s="90">
        <v>3.125</v>
      </c>
      <c r="E33" s="91">
        <v>0.23300000000000001</v>
      </c>
      <c r="F33" s="92">
        <v>8.9999999999999993E-3</v>
      </c>
      <c r="G33" s="28">
        <v>952.43</v>
      </c>
      <c r="H33" s="28">
        <v>8.83</v>
      </c>
      <c r="I33" s="89">
        <v>8.83</v>
      </c>
      <c r="J33" s="25">
        <v>7.6999999999999999E-2</v>
      </c>
      <c r="K33" s="27"/>
    </row>
    <row r="34" spans="1:11" ht="32.25" customHeight="1" x14ac:dyDescent="0.2">
      <c r="A34" s="10" t="s">
        <v>508</v>
      </c>
      <c r="B34" s="332" t="s">
        <v>861</v>
      </c>
      <c r="C34" s="311">
        <v>0</v>
      </c>
      <c r="D34" s="90">
        <v>3.125</v>
      </c>
      <c r="E34" s="91">
        <v>0.23300000000000001</v>
      </c>
      <c r="F34" s="92">
        <v>8.9999999999999993E-3</v>
      </c>
      <c r="G34" s="28">
        <v>2585.12</v>
      </c>
      <c r="H34" s="28">
        <v>8.83</v>
      </c>
      <c r="I34" s="89">
        <v>8.83</v>
      </c>
      <c r="J34" s="25">
        <v>7.6999999999999999E-2</v>
      </c>
      <c r="K34" s="27"/>
    </row>
    <row r="35" spans="1:11" ht="32.25" customHeight="1" x14ac:dyDescent="0.2">
      <c r="A35" s="10" t="s">
        <v>509</v>
      </c>
      <c r="B35" s="332" t="s">
        <v>862</v>
      </c>
      <c r="C35" s="311">
        <v>0</v>
      </c>
      <c r="D35" s="90">
        <v>3.125</v>
      </c>
      <c r="E35" s="91">
        <v>0.23300000000000001</v>
      </c>
      <c r="F35" s="92">
        <v>8.9999999999999993E-3</v>
      </c>
      <c r="G35" s="28">
        <v>4700.0600000000004</v>
      </c>
      <c r="H35" s="28">
        <v>8.83</v>
      </c>
      <c r="I35" s="89">
        <v>8.83</v>
      </c>
      <c r="J35" s="25">
        <v>7.6999999999999999E-2</v>
      </c>
      <c r="K35" s="27"/>
    </row>
    <row r="36" spans="1:11" ht="32.25" customHeight="1" x14ac:dyDescent="0.2">
      <c r="A36" s="10" t="s">
        <v>510</v>
      </c>
      <c r="B36" s="332" t="s">
        <v>863</v>
      </c>
      <c r="C36" s="311">
        <v>0</v>
      </c>
      <c r="D36" s="90">
        <v>3.125</v>
      </c>
      <c r="E36" s="91">
        <v>0.23300000000000001</v>
      </c>
      <c r="F36" s="92">
        <v>8.9999999999999993E-3</v>
      </c>
      <c r="G36" s="28">
        <v>11785.66</v>
      </c>
      <c r="H36" s="28">
        <v>8.83</v>
      </c>
      <c r="I36" s="89">
        <v>8.83</v>
      </c>
      <c r="J36" s="25">
        <v>7.6999999999999999E-2</v>
      </c>
      <c r="K36" s="27"/>
    </row>
    <row r="37" spans="1:11" ht="32.25" customHeight="1" x14ac:dyDescent="0.2">
      <c r="A37" s="10" t="s">
        <v>477</v>
      </c>
      <c r="B37" s="332" t="s">
        <v>864</v>
      </c>
      <c r="C37" s="311" t="s">
        <v>804</v>
      </c>
      <c r="D37" s="93">
        <v>39.633000000000003</v>
      </c>
      <c r="E37" s="94">
        <v>2.96</v>
      </c>
      <c r="F37" s="92">
        <v>1.6559999999999999</v>
      </c>
      <c r="G37" s="29" t="s">
        <v>797</v>
      </c>
      <c r="H37" s="29" t="s">
        <v>797</v>
      </c>
      <c r="I37" s="29" t="s">
        <v>797</v>
      </c>
      <c r="J37" s="26" t="s">
        <v>797</v>
      </c>
      <c r="K37" s="27"/>
    </row>
    <row r="38" spans="1:11" ht="32.25" customHeight="1" x14ac:dyDescent="0.2">
      <c r="A38" s="10" t="s">
        <v>666</v>
      </c>
      <c r="B38" s="332" t="s">
        <v>865</v>
      </c>
      <c r="C38" s="311">
        <v>0</v>
      </c>
      <c r="D38" s="90">
        <v>-8.0399999999999991</v>
      </c>
      <c r="E38" s="91">
        <v>-0.95899999999999996</v>
      </c>
      <c r="F38" s="92">
        <v>-7.9000000000000001E-2</v>
      </c>
      <c r="G38" s="28" t="s">
        <v>797</v>
      </c>
      <c r="H38" s="29" t="s">
        <v>797</v>
      </c>
      <c r="I38" s="29" t="s">
        <v>797</v>
      </c>
      <c r="J38" s="26" t="s">
        <v>797</v>
      </c>
      <c r="K38" s="27"/>
    </row>
    <row r="39" spans="1:11" ht="32.25" customHeight="1" x14ac:dyDescent="0.2">
      <c r="A39" s="10" t="s">
        <v>667</v>
      </c>
      <c r="B39" s="332" t="s">
        <v>866</v>
      </c>
      <c r="C39" s="311">
        <v>0</v>
      </c>
      <c r="D39" s="90">
        <v>-6.7160000000000002</v>
      </c>
      <c r="E39" s="91">
        <v>-0.76900000000000002</v>
      </c>
      <c r="F39" s="92">
        <v>-6.0999999999999999E-2</v>
      </c>
      <c r="G39" s="28" t="s">
        <v>797</v>
      </c>
      <c r="H39" s="29" t="s">
        <v>797</v>
      </c>
      <c r="I39" s="29" t="s">
        <v>797</v>
      </c>
      <c r="J39" s="26" t="s">
        <v>797</v>
      </c>
      <c r="K39" s="27"/>
    </row>
    <row r="40" spans="1:11" ht="32.25" customHeight="1" x14ac:dyDescent="0.2">
      <c r="A40" s="10" t="s">
        <v>668</v>
      </c>
      <c r="B40" s="332" t="s">
        <v>867</v>
      </c>
      <c r="C40" s="311">
        <v>0</v>
      </c>
      <c r="D40" s="90">
        <v>-8.0399999999999991</v>
      </c>
      <c r="E40" s="91">
        <v>-0.95899999999999996</v>
      </c>
      <c r="F40" s="92">
        <v>-7.9000000000000001E-2</v>
      </c>
      <c r="G40" s="28" t="s">
        <v>797</v>
      </c>
      <c r="H40" s="29" t="s">
        <v>797</v>
      </c>
      <c r="I40" s="29" t="s">
        <v>797</v>
      </c>
      <c r="J40" s="25">
        <v>0.28000000000000003</v>
      </c>
      <c r="K40" s="27"/>
    </row>
    <row r="41" spans="1:11" ht="32.25" customHeight="1" x14ac:dyDescent="0.2">
      <c r="A41" s="10" t="s">
        <v>669</v>
      </c>
      <c r="B41" s="332" t="s">
        <v>797</v>
      </c>
      <c r="C41" s="311">
        <v>0</v>
      </c>
      <c r="D41" s="90">
        <v>-8.0399999999999991</v>
      </c>
      <c r="E41" s="91">
        <v>-0.95899999999999996</v>
      </c>
      <c r="F41" s="92">
        <v>-7.9000000000000001E-2</v>
      </c>
      <c r="G41" s="28" t="s">
        <v>797</v>
      </c>
      <c r="H41" s="29" t="s">
        <v>797</v>
      </c>
      <c r="I41" s="29" t="s">
        <v>797</v>
      </c>
      <c r="J41" s="26" t="s">
        <v>797</v>
      </c>
      <c r="K41" s="27"/>
    </row>
    <row r="42" spans="1:11" ht="32.25" customHeight="1" x14ac:dyDescent="0.2">
      <c r="A42" s="10" t="s">
        <v>670</v>
      </c>
      <c r="B42" s="332" t="s">
        <v>797</v>
      </c>
      <c r="C42" s="311">
        <v>0</v>
      </c>
      <c r="D42" s="90">
        <v>-6.7160000000000002</v>
      </c>
      <c r="E42" s="91">
        <v>-0.76900000000000002</v>
      </c>
      <c r="F42" s="92">
        <v>-6.0999999999999999E-2</v>
      </c>
      <c r="G42" s="28" t="s">
        <v>797</v>
      </c>
      <c r="H42" s="29" t="s">
        <v>797</v>
      </c>
      <c r="I42" s="29" t="s">
        <v>797</v>
      </c>
      <c r="J42" s="25">
        <v>0.20899999999999999</v>
      </c>
      <c r="K42" s="27"/>
    </row>
    <row r="43" spans="1:11" ht="32.25" customHeight="1" x14ac:dyDescent="0.2">
      <c r="A43" s="10" t="s">
        <v>671</v>
      </c>
      <c r="B43" s="332" t="s">
        <v>797</v>
      </c>
      <c r="C43" s="311">
        <v>0</v>
      </c>
      <c r="D43" s="90">
        <v>-6.7160000000000002</v>
      </c>
      <c r="E43" s="91">
        <v>-0.76900000000000002</v>
      </c>
      <c r="F43" s="92">
        <v>-6.0999999999999999E-2</v>
      </c>
      <c r="G43" s="28" t="s">
        <v>797</v>
      </c>
      <c r="H43" s="29" t="s">
        <v>797</v>
      </c>
      <c r="I43" s="29" t="s">
        <v>797</v>
      </c>
      <c r="J43" s="26" t="s">
        <v>797</v>
      </c>
      <c r="K43" s="27"/>
    </row>
    <row r="44" spans="1:11" ht="32.25" customHeight="1" x14ac:dyDescent="0.2">
      <c r="A44" s="10" t="s">
        <v>672</v>
      </c>
      <c r="B44" s="332" t="s">
        <v>868</v>
      </c>
      <c r="C44" s="311">
        <v>0</v>
      </c>
      <c r="D44" s="90">
        <v>-4.1890000000000001</v>
      </c>
      <c r="E44" s="91">
        <v>-0.39800000000000002</v>
      </c>
      <c r="F44" s="92">
        <v>-2.5000000000000001E-2</v>
      </c>
      <c r="G44" s="28">
        <v>64.37</v>
      </c>
      <c r="H44" s="29" t="s">
        <v>797</v>
      </c>
      <c r="I44" s="29" t="s">
        <v>797</v>
      </c>
      <c r="J44" s="25">
        <v>0.17299999999999999</v>
      </c>
      <c r="K44" s="27"/>
    </row>
    <row r="45" spans="1:11" ht="32.25" customHeight="1" x14ac:dyDescent="0.2">
      <c r="A45" s="10" t="s">
        <v>673</v>
      </c>
      <c r="B45" s="332" t="s">
        <v>797</v>
      </c>
      <c r="C45" s="311">
        <v>0</v>
      </c>
      <c r="D45" s="90">
        <v>-4.1890000000000001</v>
      </c>
      <c r="E45" s="91">
        <v>-0.39800000000000002</v>
      </c>
      <c r="F45" s="92">
        <v>-2.5000000000000001E-2</v>
      </c>
      <c r="G45" s="28">
        <v>64.37</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charges_B'; based on connection level, credits may therefore be lower than stated above.</v>
      </c>
    </row>
    <row r="47" spans="1:11" ht="27.75" customHeight="1" x14ac:dyDescent="0.2">
      <c r="A47" s="330" t="s">
        <v>418</v>
      </c>
    </row>
  </sheetData>
  <mergeCells count="15">
    <mergeCell ref="C5:D5"/>
    <mergeCell ref="G5:H5"/>
    <mergeCell ref="E1:K1"/>
    <mergeCell ref="A2:K2"/>
    <mergeCell ref="A4:E4"/>
    <mergeCell ref="G4:K4"/>
    <mergeCell ref="C9:D9"/>
    <mergeCell ref="G9:H9"/>
    <mergeCell ref="I9:K9"/>
    <mergeCell ref="C6:D6"/>
    <mergeCell ref="G6:H6"/>
    <mergeCell ref="C7:D7"/>
    <mergeCell ref="G7:H7"/>
    <mergeCell ref="B8:E8"/>
    <mergeCell ref="G8:H8"/>
  </mergeCells>
  <hyperlinks>
    <hyperlink ref="A1" location="Overview!A1" display="Back to Overview" xr:uid="{C3E1C08E-0CBB-49CF-B4FD-45A65EE7C2EF}"/>
    <hyperlink ref="A47" location="'Annex 4 LDNO charges_B'!A1" display="Annex 4 LDNO charges_B" xr:uid="{2907C78B-A3BA-49F0-B0B8-5BD3D9E3BBD3}"/>
  </hyperlinks>
  <pageMargins left="0.39370078740157483" right="0.39370078740157483" top="0.51181102362204722" bottom="0.74803149606299213" header="0.27559055118110237" footer="0.27559055118110237"/>
  <pageSetup paperSize="9" scale="39"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7477-D9D1-4639-AE84-BDFA454DF11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54" t="str">
        <f>Overview!B4&amp;" - Effective from "&amp;TEXT(Overview!$D$4,"d mmmm yyyy")&amp;" - Final LDNO tariffs in SP Distribution Area (GSP Group _N)"</f>
        <v>Leep Electricity Networks Limited - Effective from 1 April 2027 - Final LDNO tariffs in SP Distribution Area (GSP Group _N)</v>
      </c>
      <c r="B2" s="454"/>
      <c r="C2" s="454"/>
      <c r="D2" s="454"/>
      <c r="E2" s="454"/>
      <c r="F2" s="454"/>
      <c r="G2" s="454"/>
      <c r="H2" s="454"/>
      <c r="I2" s="454"/>
      <c r="J2" s="454"/>
    </row>
    <row r="3" spans="1:17" ht="8.25" customHeight="1" x14ac:dyDescent="0.2">
      <c r="A3" s="46"/>
      <c r="B3" s="46"/>
      <c r="C3" s="46"/>
      <c r="D3" s="46"/>
      <c r="E3" s="46"/>
      <c r="F3" s="46"/>
      <c r="G3" s="46"/>
      <c r="H3" s="46"/>
      <c r="I3" s="46"/>
      <c r="J3" s="46"/>
      <c r="K3" s="3"/>
    </row>
    <row r="4" spans="1:17" ht="18" customHeight="1" x14ac:dyDescent="0.2">
      <c r="A4" s="384" t="s">
        <v>290</v>
      </c>
      <c r="B4" s="384"/>
      <c r="C4" s="384"/>
      <c r="D4" s="384"/>
      <c r="E4" s="50"/>
      <c r="F4" s="384" t="s">
        <v>289</v>
      </c>
      <c r="G4" s="384"/>
      <c r="H4" s="384"/>
      <c r="I4" s="384"/>
      <c r="J4" s="384"/>
      <c r="K4" s="3"/>
      <c r="L4" s="3"/>
    </row>
    <row r="5" spans="1:17" ht="32.25" customHeight="1" x14ac:dyDescent="0.2">
      <c r="A5" s="39" t="s">
        <v>13</v>
      </c>
      <c r="B5" s="256" t="s">
        <v>281</v>
      </c>
      <c r="C5" s="269" t="s">
        <v>282</v>
      </c>
      <c r="D5" s="41" t="s">
        <v>283</v>
      </c>
      <c r="E5" s="45"/>
      <c r="F5" s="381"/>
      <c r="G5" s="382"/>
      <c r="H5" s="43" t="s">
        <v>287</v>
      </c>
      <c r="I5" s="44" t="s">
        <v>288</v>
      </c>
      <c r="J5" s="41" t="s">
        <v>283</v>
      </c>
      <c r="K5" s="45"/>
      <c r="L5" s="3"/>
      <c r="M5" s="3"/>
    </row>
    <row r="6" spans="1:17" ht="51" customHeight="1" x14ac:dyDescent="0.2">
      <c r="A6" s="42" t="str">
        <f>'Annex 1 LV and HV charges_N'!A6</f>
        <v>Monday to Friday 
(Including Bank Holidays)
All Year</v>
      </c>
      <c r="B6" s="105" t="str">
        <f>'Annex 1 LV and HV charges_N'!B6</f>
        <v>16.30 - 19.30</v>
      </c>
      <c r="C6" s="262" t="str">
        <f>'Annex 1 LV and HV charges_N'!C6</f>
        <v>08.00 - 16.30
19.30 - 22.30</v>
      </c>
      <c r="D6" s="106" t="str">
        <f>'Annex 1 LV and HV charges_N'!E6</f>
        <v>00.00 - 08.00
22.30 - 00.00</v>
      </c>
      <c r="E6" s="45"/>
      <c r="F6" s="418" t="str">
        <f>'Annex 1 LV and HV charges_N'!G6</f>
        <v>Monday to Friday 
(Including Bank Holidays)
June to August Inclusive</v>
      </c>
      <c r="G6" s="418">
        <f>'Annex 1 LV and HV charges_N'!H6</f>
        <v>0</v>
      </c>
      <c r="H6" s="250" t="str">
        <f>'Annex 1 LV and HV charges_N'!I6</f>
        <v/>
      </c>
      <c r="I6" s="248" t="str">
        <f>'Annex 1 LV and HV charges_N'!J6</f>
        <v>08.00 - 22.30</v>
      </c>
      <c r="J6" s="95" t="str">
        <f>'Annex 1 LV and HV charges_N'!K6</f>
        <v>00.00 - 08.00
22.30 - 00.00</v>
      </c>
      <c r="K6" s="45"/>
      <c r="L6" s="3"/>
      <c r="M6" s="3"/>
    </row>
    <row r="7" spans="1:17" ht="51" customHeight="1" x14ac:dyDescent="0.2">
      <c r="A7" s="42" t="str">
        <f>'Annex 1 LV and HV charges_N'!A7</f>
        <v>Saturday and Sunday
All Year</v>
      </c>
      <c r="B7" s="108" t="str">
        <f>'Annex 1 LV and HV charges_N'!B7</f>
        <v/>
      </c>
      <c r="C7" s="262" t="str">
        <f>'Annex 1 LV and HV charges_N'!C7</f>
        <v>16.00 - 20.00</v>
      </c>
      <c r="D7" s="107" t="str">
        <f>'Annex 1 LV and HV charges_N'!E7</f>
        <v>00.00 - 16.00
20.00 - 00.00</v>
      </c>
      <c r="E7" s="45"/>
      <c r="F7" s="418" t="str">
        <f>'Annex 1 LV and HV charges_N'!G7</f>
        <v>Monday to Friday 
(Including Bank Holidays)
November to February Inclusive</v>
      </c>
      <c r="G7" s="418">
        <f>'Annex 1 LV and HV charges_N'!H7</f>
        <v>0</v>
      </c>
      <c r="H7" s="13" t="str">
        <f>'Annex 1 LV and HV charges_N'!I7</f>
        <v>16.30 - 19.30</v>
      </c>
      <c r="I7" s="248" t="str">
        <f>'Annex 1 LV and HV charges_N'!J7</f>
        <v>08.00 - 16.30
19.30 - 22.30</v>
      </c>
      <c r="J7" s="95" t="str">
        <f>'Annex 1 LV and HV charges_N'!K7</f>
        <v>00.00 - 08.00
22.30 - 00.00</v>
      </c>
      <c r="K7" s="45"/>
      <c r="L7" s="3"/>
      <c r="M7" s="3"/>
    </row>
    <row r="8" spans="1:17" ht="51" customHeight="1" x14ac:dyDescent="0.2">
      <c r="A8" s="253" t="str">
        <f>'Annex 1 LV and HV charges_N'!A8</f>
        <v>Notes</v>
      </c>
      <c r="B8" s="375" t="str">
        <f>'Annex 1 LV and HV charges_N'!B8</f>
        <v>All the above times are in UK Clock time</v>
      </c>
      <c r="C8" s="375">
        <f>'Annex 1 LV and HV charges_N'!C8</f>
        <v>0</v>
      </c>
      <c r="D8" s="375">
        <f>'Annex 1 LV and HV charges_N'!D8</f>
        <v>0</v>
      </c>
      <c r="E8" s="45"/>
      <c r="F8" s="418" t="str">
        <f>'Annex 1 LV and HV charges_N'!G8</f>
        <v>Monday to Friday 
(Including Bank Holidays)
March, April, May and September, October</v>
      </c>
      <c r="G8" s="418">
        <f>'Annex 1 LV and HV charges_N'!H8</f>
        <v>0</v>
      </c>
      <c r="H8" s="250" t="str">
        <f>'Annex 1 LV and HV charges_N'!I8</f>
        <v/>
      </c>
      <c r="I8" s="248" t="str">
        <f>'Annex 1 LV and HV charges_N'!J8</f>
        <v>08.00 - 22.30</v>
      </c>
      <c r="J8" s="95" t="str">
        <f>'Annex 1 LV and HV charges_N'!K8</f>
        <v>00.00 - 08.00
22.30 - 00.00</v>
      </c>
      <c r="K8" s="45"/>
      <c r="L8" s="3"/>
      <c r="M8" s="3"/>
    </row>
    <row r="9" spans="1:17" ht="51" customHeight="1" x14ac:dyDescent="0.2">
      <c r="A9" s="295"/>
      <c r="B9" s="296"/>
      <c r="C9" s="296"/>
      <c r="D9" s="296"/>
      <c r="E9" s="45"/>
      <c r="F9" s="371" t="str">
        <f>'Annex 1 LV and HV charges_N'!G9</f>
        <v>Saturday and Sunday
All year</v>
      </c>
      <c r="G9" s="371">
        <f>'Annex 1 LV and HV charges_N'!H9</f>
        <v>0</v>
      </c>
      <c r="H9" s="250" t="str">
        <f>'Annex 1 LV and HV charges_N'!I9</f>
        <v/>
      </c>
      <c r="I9" s="95" t="str">
        <f>'Annex 1 LV and HV charges_N'!J9</f>
        <v>16.00 - 20.00</v>
      </c>
      <c r="J9" s="95" t="str">
        <f>'Annex 1 LV and HV charges_N'!K9</f>
        <v>00:00-16:00
20:00-00:00</v>
      </c>
      <c r="K9" s="45"/>
      <c r="L9" s="3"/>
      <c r="M9" s="3"/>
    </row>
    <row r="10" spans="1:17" s="40" customFormat="1" ht="29.25" customHeight="1" x14ac:dyDescent="0.2">
      <c r="A10" s="184"/>
      <c r="B10" s="255"/>
      <c r="C10" s="185"/>
      <c r="D10" s="255"/>
      <c r="E10" s="47"/>
      <c r="F10" s="413" t="str">
        <f>'Annex 1 LV and HV charges_N'!G10</f>
        <v>Notes</v>
      </c>
      <c r="G10" s="413">
        <f>'Annex 1 LV and HV charges_N'!H10</f>
        <v>0</v>
      </c>
      <c r="H10" s="391" t="str">
        <f>'Annex 1 LV and HV charges_N'!I10</f>
        <v>All the above times are in UK Clock time</v>
      </c>
      <c r="I10" s="392">
        <f>'Annex 1 LV and HV charges_N'!J10</f>
        <v>0</v>
      </c>
      <c r="J10" s="393">
        <f>'Annex 1 LV and HV charges_N'!K10</f>
        <v>0</v>
      </c>
      <c r="K10" s="45"/>
      <c r="L10" s="30"/>
      <c r="M10" s="30"/>
    </row>
    <row r="11" spans="1:17" s="40" customFormat="1" ht="18" x14ac:dyDescent="0.2">
      <c r="A11" s="118"/>
      <c r="B11" s="415"/>
      <c r="C11" s="415"/>
      <c r="D11" s="415"/>
      <c r="E11" s="186"/>
      <c r="F11" s="491"/>
      <c r="G11" s="492"/>
      <c r="H11" s="187"/>
      <c r="I11" s="255"/>
      <c r="J11" s="255"/>
      <c r="K11" s="45"/>
      <c r="L11" s="30"/>
      <c r="M11" s="30"/>
    </row>
    <row r="12" spans="1:17" s="40" customFormat="1" ht="18" x14ac:dyDescent="0.2">
      <c r="A12" s="45"/>
      <c r="B12" s="45"/>
      <c r="C12" s="45"/>
      <c r="D12" s="45"/>
      <c r="E12" s="45"/>
      <c r="F12" s="488"/>
      <c r="G12" s="489"/>
      <c r="H12" s="490"/>
      <c r="I12" s="412"/>
      <c r="J12" s="412"/>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v>0</v>
      </c>
      <c r="D14" s="90">
        <v>7.681</v>
      </c>
      <c r="E14" s="91">
        <v>0.81799999999999995</v>
      </c>
      <c r="F14" s="92">
        <v>1.9E-2</v>
      </c>
      <c r="G14" s="317">
        <v>12.84</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v>0</v>
      </c>
      <c r="D15" s="90">
        <v>7.681</v>
      </c>
      <c r="E15" s="91">
        <v>0.81799999999999995</v>
      </c>
      <c r="F15" s="92">
        <v>1.9E-2</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v>0</v>
      </c>
      <c r="D16" s="90">
        <v>8.5039999999999996</v>
      </c>
      <c r="E16" s="91">
        <v>0.90500000000000003</v>
      </c>
      <c r="F16" s="92">
        <v>2.1000000000000001E-2</v>
      </c>
      <c r="G16" s="317">
        <v>4.8099999999999996</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v>0</v>
      </c>
      <c r="D17" s="90">
        <v>8.5039999999999996</v>
      </c>
      <c r="E17" s="91">
        <v>0.90500000000000003</v>
      </c>
      <c r="F17" s="92">
        <v>2.1000000000000001E-2</v>
      </c>
      <c r="G17" s="317">
        <v>16.690000000000001</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v>0</v>
      </c>
      <c r="D18" s="90">
        <v>8.5039999999999996</v>
      </c>
      <c r="E18" s="91">
        <v>0.90500000000000003</v>
      </c>
      <c r="F18" s="92">
        <v>2.1000000000000001E-2</v>
      </c>
      <c r="G18" s="317">
        <v>29.75</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v>0</v>
      </c>
      <c r="D19" s="90">
        <v>8.5039999999999996</v>
      </c>
      <c r="E19" s="91">
        <v>0.90500000000000003</v>
      </c>
      <c r="F19" s="92">
        <v>2.1000000000000001E-2</v>
      </c>
      <c r="G19" s="317">
        <v>54.4</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v>0</v>
      </c>
      <c r="D20" s="90">
        <v>8.5039999999999996</v>
      </c>
      <c r="E20" s="91">
        <v>0.90500000000000003</v>
      </c>
      <c r="F20" s="92">
        <v>2.1000000000000001E-2</v>
      </c>
      <c r="G20" s="317">
        <v>146.82</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v>0</v>
      </c>
      <c r="D21" s="90">
        <v>8.5039999999999996</v>
      </c>
      <c r="E21" s="91">
        <v>0.90500000000000003</v>
      </c>
      <c r="F21" s="92">
        <v>2.1000000000000001E-2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6.2229999999999999</v>
      </c>
      <c r="E22" s="91">
        <v>0.61499999999999999</v>
      </c>
      <c r="F22" s="92">
        <v>1.4999999999999999E-2</v>
      </c>
      <c r="G22" s="317">
        <v>16.11</v>
      </c>
      <c r="H22" s="317">
        <v>3.16</v>
      </c>
      <c r="I22" s="320">
        <v>3.16</v>
      </c>
      <c r="J22" s="25">
        <v>0.123</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6.2229999999999999</v>
      </c>
      <c r="E23" s="91">
        <v>0.61499999999999999</v>
      </c>
      <c r="F23" s="92">
        <v>1.4999999999999999E-2</v>
      </c>
      <c r="G23" s="317">
        <v>312.01</v>
      </c>
      <c r="H23" s="317">
        <v>3.16</v>
      </c>
      <c r="I23" s="320">
        <v>3.16</v>
      </c>
      <c r="J23" s="25">
        <v>0.123</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6.2229999999999999</v>
      </c>
      <c r="E24" s="91">
        <v>0.61499999999999999</v>
      </c>
      <c r="F24" s="92">
        <v>1.4999999999999999E-2</v>
      </c>
      <c r="G24" s="317">
        <v>509.01</v>
      </c>
      <c r="H24" s="317">
        <v>3.16</v>
      </c>
      <c r="I24" s="320">
        <v>3.16</v>
      </c>
      <c r="J24" s="25">
        <v>0.123</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6.2229999999999999</v>
      </c>
      <c r="E25" s="91">
        <v>0.61499999999999999</v>
      </c>
      <c r="F25" s="92">
        <v>1.4999999999999999E-2</v>
      </c>
      <c r="G25" s="317">
        <v>847.11</v>
      </c>
      <c r="H25" s="317">
        <v>3.16</v>
      </c>
      <c r="I25" s="320">
        <v>3.16</v>
      </c>
      <c r="J25" s="25">
        <v>0.123</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6.2229999999999999</v>
      </c>
      <c r="E26" s="91">
        <v>0.61499999999999999</v>
      </c>
      <c r="F26" s="92">
        <v>1.4999999999999999E-2</v>
      </c>
      <c r="G26" s="317">
        <v>1787.62</v>
      </c>
      <c r="H26" s="317">
        <v>3.16</v>
      </c>
      <c r="I26" s="320">
        <v>3.16</v>
      </c>
      <c r="J26" s="25">
        <v>0.123</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v>0</v>
      </c>
      <c r="D27" s="93">
        <v>21.891999999999999</v>
      </c>
      <c r="E27" s="94">
        <v>2.1059999999999999</v>
      </c>
      <c r="F27" s="92">
        <v>1.415</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-9.1110000000000007</v>
      </c>
      <c r="E28" s="91">
        <v>-0.97</v>
      </c>
      <c r="F28" s="92">
        <v>-2.3E-2</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-9.1110000000000007</v>
      </c>
      <c r="E29" s="91">
        <v>-0.97</v>
      </c>
      <c r="F29" s="92">
        <v>-2.3E-2</v>
      </c>
      <c r="G29" s="317" t="s">
        <v>797</v>
      </c>
      <c r="H29" s="318" t="s">
        <v>797</v>
      </c>
      <c r="I29" s="319" t="s">
        <v>797</v>
      </c>
      <c r="J29" s="25">
        <v>0.20300000000000001</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v>0</v>
      </c>
      <c r="D30" s="90">
        <v>5</v>
      </c>
      <c r="E30" s="91">
        <v>0.53200000000000003</v>
      </c>
      <c r="F30" s="92">
        <v>1.2999999999999999E-2</v>
      </c>
      <c r="G30" s="317">
        <v>8.36</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v>0</v>
      </c>
      <c r="D31" s="90">
        <v>5</v>
      </c>
      <c r="E31" s="91">
        <v>0.53200000000000003</v>
      </c>
      <c r="F31" s="92">
        <v>1.2999999999999999E-2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v>0</v>
      </c>
      <c r="D32" s="90">
        <v>5.5359999999999996</v>
      </c>
      <c r="E32" s="91">
        <v>0.58899999999999997</v>
      </c>
      <c r="F32" s="92">
        <v>1.4E-2</v>
      </c>
      <c r="G32" s="317">
        <v>3.13</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v>0</v>
      </c>
      <c r="D33" s="90">
        <v>5.5359999999999996</v>
      </c>
      <c r="E33" s="91">
        <v>0.58899999999999997</v>
      </c>
      <c r="F33" s="92">
        <v>1.4E-2</v>
      </c>
      <c r="G33" s="317">
        <v>10.86</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v>0</v>
      </c>
      <c r="D34" s="90">
        <v>5.5359999999999996</v>
      </c>
      <c r="E34" s="91">
        <v>0.58899999999999997</v>
      </c>
      <c r="F34" s="92">
        <v>1.4E-2</v>
      </c>
      <c r="G34" s="317">
        <v>19.37</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v>0</v>
      </c>
      <c r="D35" s="90">
        <v>5.5359999999999996</v>
      </c>
      <c r="E35" s="91">
        <v>0.58899999999999997</v>
      </c>
      <c r="F35" s="92">
        <v>1.4E-2</v>
      </c>
      <c r="G35" s="317">
        <v>35.42</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v>0</v>
      </c>
      <c r="D36" s="90">
        <v>5.5359999999999996</v>
      </c>
      <c r="E36" s="91">
        <v>0.58899999999999997</v>
      </c>
      <c r="F36" s="92">
        <v>1.4E-2</v>
      </c>
      <c r="G36" s="317">
        <v>95.57</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v>0</v>
      </c>
      <c r="D37" s="90">
        <v>5.5359999999999996</v>
      </c>
      <c r="E37" s="91">
        <v>0.58899999999999997</v>
      </c>
      <c r="F37" s="92">
        <v>1.4E-2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4.0510000000000002</v>
      </c>
      <c r="E38" s="91">
        <v>0.40100000000000002</v>
      </c>
      <c r="F38" s="92">
        <v>0.01</v>
      </c>
      <c r="G38" s="317">
        <v>10.49</v>
      </c>
      <c r="H38" s="317">
        <v>2.0499999999999998</v>
      </c>
      <c r="I38" s="320">
        <v>2.0499999999999998</v>
      </c>
      <c r="J38" s="25">
        <v>0.08</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4.0510000000000002</v>
      </c>
      <c r="E39" s="91">
        <v>0.40100000000000002</v>
      </c>
      <c r="F39" s="92">
        <v>0.01</v>
      </c>
      <c r="G39" s="317">
        <v>203.11</v>
      </c>
      <c r="H39" s="317">
        <v>2.0499999999999998</v>
      </c>
      <c r="I39" s="320">
        <v>2.0499999999999998</v>
      </c>
      <c r="J39" s="25">
        <v>0.08</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4.0510000000000002</v>
      </c>
      <c r="E40" s="91">
        <v>0.40100000000000002</v>
      </c>
      <c r="F40" s="92">
        <v>0.01</v>
      </c>
      <c r="G40" s="317">
        <v>331.34</v>
      </c>
      <c r="H40" s="317">
        <v>2.0499999999999998</v>
      </c>
      <c r="I40" s="320">
        <v>2.0499999999999998</v>
      </c>
      <c r="J40" s="25">
        <v>0.08</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4.0510000000000002</v>
      </c>
      <c r="E41" s="91">
        <v>0.40100000000000002</v>
      </c>
      <c r="F41" s="92">
        <v>0.01</v>
      </c>
      <c r="G41" s="317">
        <v>551.44000000000005</v>
      </c>
      <c r="H41" s="317">
        <v>2.0499999999999998</v>
      </c>
      <c r="I41" s="320">
        <v>2.0499999999999998</v>
      </c>
      <c r="J41" s="25">
        <v>0.08</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4.0510000000000002</v>
      </c>
      <c r="E42" s="91">
        <v>0.40100000000000002</v>
      </c>
      <c r="F42" s="92">
        <v>0.01</v>
      </c>
      <c r="G42" s="317">
        <v>1163.68</v>
      </c>
      <c r="H42" s="317">
        <v>2.0499999999999998</v>
      </c>
      <c r="I42" s="320">
        <v>2.0499999999999998</v>
      </c>
      <c r="J42" s="25">
        <v>0.08</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3.7</v>
      </c>
      <c r="E43" s="91">
        <v>0.28299999999999997</v>
      </c>
      <c r="F43" s="92">
        <v>8.0000000000000002E-3</v>
      </c>
      <c r="G43" s="317">
        <v>6.14</v>
      </c>
      <c r="H43" s="317">
        <v>4.8</v>
      </c>
      <c r="I43" s="320">
        <v>4.8</v>
      </c>
      <c r="J43" s="25">
        <v>6.0999999999999999E-2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3.7</v>
      </c>
      <c r="E44" s="91">
        <v>0.28299999999999997</v>
      </c>
      <c r="F44" s="92">
        <v>8.0000000000000002E-3</v>
      </c>
      <c r="G44" s="317">
        <v>325.64</v>
      </c>
      <c r="H44" s="317">
        <v>4.8</v>
      </c>
      <c r="I44" s="320">
        <v>4.8</v>
      </c>
      <c r="J44" s="25">
        <v>6.0999999999999999E-2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3.7</v>
      </c>
      <c r="E45" s="91">
        <v>0.28299999999999997</v>
      </c>
      <c r="F45" s="92">
        <v>8.0000000000000002E-3</v>
      </c>
      <c r="G45" s="317">
        <v>538.36</v>
      </c>
      <c r="H45" s="317">
        <v>4.8</v>
      </c>
      <c r="I45" s="320">
        <v>4.8</v>
      </c>
      <c r="J45" s="25">
        <v>6.0999999999999999E-2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3.7</v>
      </c>
      <c r="E46" s="91">
        <v>0.28299999999999997</v>
      </c>
      <c r="F46" s="92">
        <v>8.0000000000000002E-3</v>
      </c>
      <c r="G46" s="317">
        <v>903.44</v>
      </c>
      <c r="H46" s="317">
        <v>4.8</v>
      </c>
      <c r="I46" s="320">
        <v>4.8</v>
      </c>
      <c r="J46" s="25">
        <v>6.0999999999999999E-2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3.7</v>
      </c>
      <c r="E47" s="91">
        <v>0.28299999999999997</v>
      </c>
      <c r="F47" s="92">
        <v>8.0000000000000002E-3</v>
      </c>
      <c r="G47" s="317">
        <v>1918.99</v>
      </c>
      <c r="H47" s="317">
        <v>4.8</v>
      </c>
      <c r="I47" s="320">
        <v>4.8</v>
      </c>
      <c r="J47" s="25">
        <v>6.0999999999999999E-2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3.0649999999999999</v>
      </c>
      <c r="E48" s="91">
        <v>0.20200000000000001</v>
      </c>
      <c r="F48" s="92">
        <v>7.0000000000000001E-3</v>
      </c>
      <c r="G48" s="317">
        <v>107.07</v>
      </c>
      <c r="H48" s="317">
        <v>6.57</v>
      </c>
      <c r="I48" s="320">
        <v>6.57</v>
      </c>
      <c r="J48" s="25">
        <v>4.3999999999999997E-2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3.0649999999999999</v>
      </c>
      <c r="E49" s="91">
        <v>0.20200000000000001</v>
      </c>
      <c r="F49" s="92">
        <v>7.0000000000000001E-3</v>
      </c>
      <c r="G49" s="317">
        <v>1884.87</v>
      </c>
      <c r="H49" s="317">
        <v>6.57</v>
      </c>
      <c r="I49" s="320">
        <v>6.57</v>
      </c>
      <c r="J49" s="25">
        <v>4.3999999999999997E-2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3.0649999999999999</v>
      </c>
      <c r="E50" s="91">
        <v>0.20200000000000001</v>
      </c>
      <c r="F50" s="92">
        <v>7.0000000000000001E-3</v>
      </c>
      <c r="G50" s="317">
        <v>5776.75</v>
      </c>
      <c r="H50" s="317">
        <v>6.57</v>
      </c>
      <c r="I50" s="320">
        <v>6.57</v>
      </c>
      <c r="J50" s="25">
        <v>4.3999999999999997E-2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3.0649999999999999</v>
      </c>
      <c r="E51" s="91">
        <v>0.20200000000000001</v>
      </c>
      <c r="F51" s="92">
        <v>7.0000000000000001E-3</v>
      </c>
      <c r="G51" s="317">
        <v>11572.29</v>
      </c>
      <c r="H51" s="317">
        <v>6.57</v>
      </c>
      <c r="I51" s="320">
        <v>6.57</v>
      </c>
      <c r="J51" s="25">
        <v>4.3999999999999997E-2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3.0649999999999999</v>
      </c>
      <c r="E52" s="91">
        <v>0.20200000000000001</v>
      </c>
      <c r="F52" s="92">
        <v>7.0000000000000001E-3</v>
      </c>
      <c r="G52" s="317">
        <v>30304.98</v>
      </c>
      <c r="H52" s="317">
        <v>6.57</v>
      </c>
      <c r="I52" s="320">
        <v>6.57</v>
      </c>
      <c r="J52" s="25">
        <v>4.3999999999999997E-2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v>0</v>
      </c>
      <c r="D53" s="93">
        <v>14.250999999999999</v>
      </c>
      <c r="E53" s="94">
        <v>1.371</v>
      </c>
      <c r="F53" s="92">
        <v>0.92100000000000004</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-9.1110000000000007</v>
      </c>
      <c r="E54" s="91">
        <v>-0.97</v>
      </c>
      <c r="F54" s="92">
        <v>-2.3E-2</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-7.7439999999999998</v>
      </c>
      <c r="E55" s="91">
        <v>-0.79400000000000004</v>
      </c>
      <c r="F55" s="92">
        <v>-1.9E-2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-9.1110000000000007</v>
      </c>
      <c r="E56" s="91">
        <v>-0.97</v>
      </c>
      <c r="F56" s="92">
        <v>-2.3E-2</v>
      </c>
      <c r="G56" s="317" t="s">
        <v>797</v>
      </c>
      <c r="H56" s="318" t="s">
        <v>797</v>
      </c>
      <c r="I56" s="319" t="s">
        <v>797</v>
      </c>
      <c r="J56" s="25">
        <v>0.20300000000000001</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-7.7439999999999998</v>
      </c>
      <c r="E57" s="91">
        <v>-0.79400000000000004</v>
      </c>
      <c r="F57" s="92">
        <v>-1.9E-2</v>
      </c>
      <c r="G57" s="317" t="s">
        <v>797</v>
      </c>
      <c r="H57" s="318" t="s">
        <v>797</v>
      </c>
      <c r="I57" s="319" t="s">
        <v>797</v>
      </c>
      <c r="J57" s="25">
        <v>0.16</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-4.9379999999999997</v>
      </c>
      <c r="E58" s="91">
        <v>-0.377</v>
      </c>
      <c r="F58" s="92">
        <v>-1.0999999999999999E-2</v>
      </c>
      <c r="G58" s="317" t="s">
        <v>797</v>
      </c>
      <c r="H58" s="318" t="s">
        <v>797</v>
      </c>
      <c r="I58" s="319" t="s">
        <v>797</v>
      </c>
      <c r="J58" s="25">
        <v>0.14000000000000001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v>0</v>
      </c>
      <c r="D59" s="90">
        <v>3.0139999999999998</v>
      </c>
      <c r="E59" s="91">
        <v>0.32100000000000001</v>
      </c>
      <c r="F59" s="92">
        <v>8.0000000000000002E-3</v>
      </c>
      <c r="G59" s="317">
        <v>5.04</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v>0</v>
      </c>
      <c r="D60" s="90">
        <v>3.0139999999999998</v>
      </c>
      <c r="E60" s="91">
        <v>0.32100000000000001</v>
      </c>
      <c r="F60" s="92">
        <v>8.0000000000000002E-3</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v>0</v>
      </c>
      <c r="D61" s="90">
        <v>3.3359999999999999</v>
      </c>
      <c r="E61" s="91">
        <v>0.35499999999999998</v>
      </c>
      <c r="F61" s="92">
        <v>8.0000000000000002E-3</v>
      </c>
      <c r="G61" s="317">
        <v>1.89</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v>0</v>
      </c>
      <c r="D62" s="90">
        <v>3.3359999999999999</v>
      </c>
      <c r="E62" s="91">
        <v>0.35499999999999998</v>
      </c>
      <c r="F62" s="92">
        <v>8.0000000000000002E-3</v>
      </c>
      <c r="G62" s="317">
        <v>6.55</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v>0</v>
      </c>
      <c r="D63" s="90">
        <v>3.3359999999999999</v>
      </c>
      <c r="E63" s="91">
        <v>0.35499999999999998</v>
      </c>
      <c r="F63" s="92">
        <v>8.0000000000000002E-3</v>
      </c>
      <c r="G63" s="317">
        <v>11.67</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v>0</v>
      </c>
      <c r="D64" s="90">
        <v>3.3359999999999999</v>
      </c>
      <c r="E64" s="91">
        <v>0.35499999999999998</v>
      </c>
      <c r="F64" s="92">
        <v>8.0000000000000002E-3</v>
      </c>
      <c r="G64" s="317">
        <v>21.35</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v>0</v>
      </c>
      <c r="D65" s="90">
        <v>3.3359999999999999</v>
      </c>
      <c r="E65" s="91">
        <v>0.35499999999999998</v>
      </c>
      <c r="F65" s="92">
        <v>8.0000000000000002E-3</v>
      </c>
      <c r="G65" s="317">
        <v>57.6</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v>0</v>
      </c>
      <c r="D66" s="90">
        <v>3.3359999999999999</v>
      </c>
      <c r="E66" s="91">
        <v>0.35499999999999998</v>
      </c>
      <c r="F66" s="92">
        <v>8.0000000000000002E-3</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2.4420000000000002</v>
      </c>
      <c r="E67" s="91">
        <v>0.24099999999999999</v>
      </c>
      <c r="F67" s="92">
        <v>6.0000000000000001E-3</v>
      </c>
      <c r="G67" s="317">
        <v>6.32</v>
      </c>
      <c r="H67" s="317">
        <v>1.24</v>
      </c>
      <c r="I67" s="320">
        <v>1.24</v>
      </c>
      <c r="J67" s="25">
        <v>4.8000000000000001E-2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2.4420000000000002</v>
      </c>
      <c r="E68" s="91">
        <v>0.24099999999999999</v>
      </c>
      <c r="F68" s="92">
        <v>6.0000000000000001E-3</v>
      </c>
      <c r="G68" s="317">
        <v>122.41</v>
      </c>
      <c r="H68" s="317">
        <v>1.24</v>
      </c>
      <c r="I68" s="320">
        <v>1.24</v>
      </c>
      <c r="J68" s="25">
        <v>4.8000000000000001E-2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2.4420000000000002</v>
      </c>
      <c r="E69" s="91">
        <v>0.24099999999999999</v>
      </c>
      <c r="F69" s="92">
        <v>6.0000000000000001E-3</v>
      </c>
      <c r="G69" s="317">
        <v>199.71</v>
      </c>
      <c r="H69" s="317">
        <v>1.24</v>
      </c>
      <c r="I69" s="320">
        <v>1.24</v>
      </c>
      <c r="J69" s="25">
        <v>4.8000000000000001E-2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2.4420000000000002</v>
      </c>
      <c r="E70" s="91">
        <v>0.24099999999999999</v>
      </c>
      <c r="F70" s="92">
        <v>6.0000000000000001E-3</v>
      </c>
      <c r="G70" s="317">
        <v>332.36</v>
      </c>
      <c r="H70" s="317">
        <v>1.24</v>
      </c>
      <c r="I70" s="320">
        <v>1.24</v>
      </c>
      <c r="J70" s="25">
        <v>4.8000000000000001E-2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2.4420000000000002</v>
      </c>
      <c r="E71" s="91">
        <v>0.24099999999999999</v>
      </c>
      <c r="F71" s="92">
        <v>6.0000000000000001E-3</v>
      </c>
      <c r="G71" s="317">
        <v>701.36</v>
      </c>
      <c r="H71" s="317">
        <v>1.24</v>
      </c>
      <c r="I71" s="320">
        <v>1.24</v>
      </c>
      <c r="J71" s="25">
        <v>4.8000000000000001E-2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2.15</v>
      </c>
      <c r="E72" s="91">
        <v>0.16400000000000001</v>
      </c>
      <c r="F72" s="92">
        <v>5.0000000000000001E-3</v>
      </c>
      <c r="G72" s="317">
        <v>3.57</v>
      </c>
      <c r="H72" s="317">
        <v>2.79</v>
      </c>
      <c r="I72" s="320">
        <v>2.79</v>
      </c>
      <c r="J72" s="25">
        <v>3.5000000000000003E-2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2.15</v>
      </c>
      <c r="E73" s="91">
        <v>0.16400000000000001</v>
      </c>
      <c r="F73" s="92">
        <v>5.0000000000000001E-3</v>
      </c>
      <c r="G73" s="317">
        <v>189.21</v>
      </c>
      <c r="H73" s="317">
        <v>2.79</v>
      </c>
      <c r="I73" s="320">
        <v>2.79</v>
      </c>
      <c r="J73" s="25">
        <v>3.5000000000000003E-2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2.15</v>
      </c>
      <c r="E74" s="91">
        <v>0.16400000000000001</v>
      </c>
      <c r="F74" s="92">
        <v>5.0000000000000001E-3</v>
      </c>
      <c r="G74" s="317">
        <v>312.81</v>
      </c>
      <c r="H74" s="317">
        <v>2.79</v>
      </c>
      <c r="I74" s="320">
        <v>2.79</v>
      </c>
      <c r="J74" s="25">
        <v>3.5000000000000003E-2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2.15</v>
      </c>
      <c r="E75" s="91">
        <v>0.16400000000000001</v>
      </c>
      <c r="F75" s="92">
        <v>5.0000000000000001E-3</v>
      </c>
      <c r="G75" s="317">
        <v>524.92999999999995</v>
      </c>
      <c r="H75" s="317">
        <v>2.79</v>
      </c>
      <c r="I75" s="320">
        <v>2.79</v>
      </c>
      <c r="J75" s="25">
        <v>3.5000000000000003E-2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2.15</v>
      </c>
      <c r="E76" s="91">
        <v>0.16400000000000001</v>
      </c>
      <c r="F76" s="92">
        <v>5.0000000000000001E-3</v>
      </c>
      <c r="G76" s="317">
        <v>1115.01</v>
      </c>
      <c r="H76" s="317">
        <v>2.79</v>
      </c>
      <c r="I76" s="320">
        <v>2.79</v>
      </c>
      <c r="J76" s="25">
        <v>3.5000000000000003E-2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1.7569999999999999</v>
      </c>
      <c r="E77" s="91">
        <v>0.11600000000000001</v>
      </c>
      <c r="F77" s="92">
        <v>4.0000000000000001E-3</v>
      </c>
      <c r="G77" s="317">
        <v>61.39</v>
      </c>
      <c r="H77" s="317">
        <v>3.77</v>
      </c>
      <c r="I77" s="320">
        <v>3.77</v>
      </c>
      <c r="J77" s="25">
        <v>2.5000000000000001E-2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1.7569999999999999</v>
      </c>
      <c r="E78" s="91">
        <v>0.11600000000000001</v>
      </c>
      <c r="F78" s="92">
        <v>4.0000000000000001E-3</v>
      </c>
      <c r="G78" s="317">
        <v>1080.6099999999999</v>
      </c>
      <c r="H78" s="317">
        <v>3.77</v>
      </c>
      <c r="I78" s="320">
        <v>3.77</v>
      </c>
      <c r="J78" s="25">
        <v>2.5000000000000001E-2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1.7569999999999999</v>
      </c>
      <c r="E79" s="91">
        <v>0.11600000000000001</v>
      </c>
      <c r="F79" s="92">
        <v>4.0000000000000001E-3</v>
      </c>
      <c r="G79" s="317">
        <v>3311.86</v>
      </c>
      <c r="H79" s="317">
        <v>3.77</v>
      </c>
      <c r="I79" s="320">
        <v>3.77</v>
      </c>
      <c r="J79" s="25">
        <v>2.5000000000000001E-2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1.7569999999999999</v>
      </c>
      <c r="E80" s="91">
        <v>0.11600000000000001</v>
      </c>
      <c r="F80" s="92">
        <v>4.0000000000000001E-3</v>
      </c>
      <c r="G80" s="317">
        <v>6634.5</v>
      </c>
      <c r="H80" s="317">
        <v>3.77</v>
      </c>
      <c r="I80" s="320">
        <v>3.77</v>
      </c>
      <c r="J80" s="25">
        <v>2.5000000000000001E-2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1.7569999999999999</v>
      </c>
      <c r="E81" s="91">
        <v>0.11600000000000001</v>
      </c>
      <c r="F81" s="92">
        <v>4.0000000000000001E-3</v>
      </c>
      <c r="G81" s="317">
        <v>17374.13</v>
      </c>
      <c r="H81" s="317">
        <v>3.77</v>
      </c>
      <c r="I81" s="320">
        <v>3.77</v>
      </c>
      <c r="J81" s="25">
        <v>2.5000000000000001E-2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v>0</v>
      </c>
      <c r="D82" s="93">
        <v>8.5890000000000004</v>
      </c>
      <c r="E82" s="94">
        <v>0.82599999999999996</v>
      </c>
      <c r="F82" s="92">
        <v>0.55500000000000005</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-3.452</v>
      </c>
      <c r="E83" s="91">
        <v>-0.36799999999999999</v>
      </c>
      <c r="F83" s="92">
        <v>-8.9999999999999993E-3</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-3.335</v>
      </c>
      <c r="E84" s="91">
        <v>-0.34200000000000003</v>
      </c>
      <c r="F84" s="92">
        <v>-8.0000000000000002E-3</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-3.452</v>
      </c>
      <c r="E85" s="91">
        <v>-0.36799999999999999</v>
      </c>
      <c r="F85" s="92">
        <v>-8.9999999999999993E-3</v>
      </c>
      <c r="G85" s="317" t="s">
        <v>797</v>
      </c>
      <c r="H85" s="318" t="s">
        <v>797</v>
      </c>
      <c r="I85" s="319" t="s">
        <v>797</v>
      </c>
      <c r="J85" s="25">
        <v>7.6999999999999999E-2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-3.335</v>
      </c>
      <c r="E86" s="91">
        <v>-0.34200000000000003</v>
      </c>
      <c r="F86" s="92">
        <v>-8.0000000000000002E-3</v>
      </c>
      <c r="G86" s="317" t="s">
        <v>797</v>
      </c>
      <c r="H86" s="318" t="s">
        <v>797</v>
      </c>
      <c r="I86" s="319" t="s">
        <v>797</v>
      </c>
      <c r="J86" s="25">
        <v>6.9000000000000006E-2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-4.9379999999999997</v>
      </c>
      <c r="E87" s="91">
        <v>-0.377</v>
      </c>
      <c r="F87" s="92">
        <v>-1.0999999999999999E-2</v>
      </c>
      <c r="G87" s="317">
        <v>104.1</v>
      </c>
      <c r="H87" s="318" t="s">
        <v>797</v>
      </c>
      <c r="I87" s="319" t="s">
        <v>797</v>
      </c>
      <c r="J87" s="25">
        <v>0.14000000000000001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v>0</v>
      </c>
      <c r="D88" s="90">
        <v>1.468</v>
      </c>
      <c r="E88" s="91">
        <v>0.156</v>
      </c>
      <c r="F88" s="92">
        <v>4.0000000000000001E-3</v>
      </c>
      <c r="G88" s="317">
        <v>2.4500000000000002</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v>0</v>
      </c>
      <c r="D89" s="90">
        <v>1.468</v>
      </c>
      <c r="E89" s="91">
        <v>0.156</v>
      </c>
      <c r="F89" s="92">
        <v>4.0000000000000001E-3</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v>0</v>
      </c>
      <c r="D90" s="90">
        <v>1.625</v>
      </c>
      <c r="E90" s="91">
        <v>0.17299999999999999</v>
      </c>
      <c r="F90" s="92">
        <v>4.0000000000000001E-3</v>
      </c>
      <c r="G90" s="317">
        <v>0.92</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v>0</v>
      </c>
      <c r="D91" s="90">
        <v>1.625</v>
      </c>
      <c r="E91" s="91">
        <v>0.17299999999999999</v>
      </c>
      <c r="F91" s="92">
        <v>4.0000000000000001E-3</v>
      </c>
      <c r="G91" s="317">
        <v>3.19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v>0</v>
      </c>
      <c r="D92" s="90">
        <v>1.625</v>
      </c>
      <c r="E92" s="91">
        <v>0.17299999999999999</v>
      </c>
      <c r="F92" s="92">
        <v>4.0000000000000001E-3</v>
      </c>
      <c r="G92" s="317">
        <v>5.69</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v>0</v>
      </c>
      <c r="D93" s="90">
        <v>1.625</v>
      </c>
      <c r="E93" s="91">
        <v>0.17299999999999999</v>
      </c>
      <c r="F93" s="92">
        <v>4.0000000000000001E-3</v>
      </c>
      <c r="G93" s="317">
        <v>10.4</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v>0</v>
      </c>
      <c r="D94" s="90">
        <v>1.625</v>
      </c>
      <c r="E94" s="91">
        <v>0.17299999999999999</v>
      </c>
      <c r="F94" s="92">
        <v>4.0000000000000001E-3</v>
      </c>
      <c r="G94" s="317">
        <v>28.06</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v>0</v>
      </c>
      <c r="D95" s="90">
        <v>1.625</v>
      </c>
      <c r="E95" s="91">
        <v>0.17299999999999999</v>
      </c>
      <c r="F95" s="92">
        <v>4.0000000000000001E-3</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1.19</v>
      </c>
      <c r="E96" s="91">
        <v>0.11799999999999999</v>
      </c>
      <c r="F96" s="92">
        <v>3.0000000000000001E-3</v>
      </c>
      <c r="G96" s="317">
        <v>3.08</v>
      </c>
      <c r="H96" s="317">
        <v>0.6</v>
      </c>
      <c r="I96" s="320">
        <v>0.6</v>
      </c>
      <c r="J96" s="25">
        <v>2.4E-2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1.19</v>
      </c>
      <c r="E97" s="91">
        <v>0.11799999999999999</v>
      </c>
      <c r="F97" s="92">
        <v>3.0000000000000001E-3</v>
      </c>
      <c r="G97" s="317">
        <v>59.64</v>
      </c>
      <c r="H97" s="317">
        <v>0.6</v>
      </c>
      <c r="I97" s="320">
        <v>0.6</v>
      </c>
      <c r="J97" s="25">
        <v>2.4E-2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1.19</v>
      </c>
      <c r="E98" s="91">
        <v>0.11799999999999999</v>
      </c>
      <c r="F98" s="92">
        <v>3.0000000000000001E-3</v>
      </c>
      <c r="G98" s="317">
        <v>97.29</v>
      </c>
      <c r="H98" s="317">
        <v>0.6</v>
      </c>
      <c r="I98" s="320">
        <v>0.6</v>
      </c>
      <c r="J98" s="25">
        <v>2.4E-2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1.19</v>
      </c>
      <c r="E99" s="91">
        <v>0.11799999999999999</v>
      </c>
      <c r="F99" s="92">
        <v>3.0000000000000001E-3</v>
      </c>
      <c r="G99" s="317">
        <v>161.91999999999999</v>
      </c>
      <c r="H99" s="317">
        <v>0.6</v>
      </c>
      <c r="I99" s="320">
        <v>0.6</v>
      </c>
      <c r="J99" s="25">
        <v>2.4E-2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1.19</v>
      </c>
      <c r="E100" s="91">
        <v>0.11799999999999999</v>
      </c>
      <c r="F100" s="92">
        <v>3.0000000000000001E-3</v>
      </c>
      <c r="G100" s="317">
        <v>341.69</v>
      </c>
      <c r="H100" s="317">
        <v>0.6</v>
      </c>
      <c r="I100" s="320">
        <v>0.6</v>
      </c>
      <c r="J100" s="25">
        <v>2.4E-2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1.0469999999999999</v>
      </c>
      <c r="E101" s="91">
        <v>0.08</v>
      </c>
      <c r="F101" s="92">
        <v>2E-3</v>
      </c>
      <c r="G101" s="317">
        <v>1.74</v>
      </c>
      <c r="H101" s="317">
        <v>1.36</v>
      </c>
      <c r="I101" s="320">
        <v>1.36</v>
      </c>
      <c r="J101" s="25">
        <v>1.7000000000000001E-2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1.0469999999999999</v>
      </c>
      <c r="E102" s="91">
        <v>0.08</v>
      </c>
      <c r="F102" s="92">
        <v>2E-3</v>
      </c>
      <c r="G102" s="317">
        <v>92.18</v>
      </c>
      <c r="H102" s="317">
        <v>1.36</v>
      </c>
      <c r="I102" s="320">
        <v>1.36</v>
      </c>
      <c r="J102" s="25">
        <v>1.7000000000000001E-2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1.0469999999999999</v>
      </c>
      <c r="E103" s="91">
        <v>0.08</v>
      </c>
      <c r="F103" s="92">
        <v>2E-3</v>
      </c>
      <c r="G103" s="317">
        <v>152.38999999999999</v>
      </c>
      <c r="H103" s="317">
        <v>1.36</v>
      </c>
      <c r="I103" s="320">
        <v>1.36</v>
      </c>
      <c r="J103" s="25">
        <v>1.7000000000000001E-2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1.0469999999999999</v>
      </c>
      <c r="E104" s="91">
        <v>0.08</v>
      </c>
      <c r="F104" s="92">
        <v>2E-3</v>
      </c>
      <c r="G104" s="317">
        <v>255.74</v>
      </c>
      <c r="H104" s="317">
        <v>1.36</v>
      </c>
      <c r="I104" s="320">
        <v>1.36</v>
      </c>
      <c r="J104" s="25">
        <v>1.7000000000000001E-2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1.0469999999999999</v>
      </c>
      <c r="E105" s="91">
        <v>0.08</v>
      </c>
      <c r="F105" s="92">
        <v>2E-3</v>
      </c>
      <c r="G105" s="317">
        <v>543.21</v>
      </c>
      <c r="H105" s="317">
        <v>1.36</v>
      </c>
      <c r="I105" s="320">
        <v>1.36</v>
      </c>
      <c r="J105" s="25">
        <v>1.7000000000000001E-2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0.85599999999999998</v>
      </c>
      <c r="E106" s="91">
        <v>5.6000000000000001E-2</v>
      </c>
      <c r="F106" s="92">
        <v>2E-3</v>
      </c>
      <c r="G106" s="317">
        <v>29.91</v>
      </c>
      <c r="H106" s="317">
        <v>1.84</v>
      </c>
      <c r="I106" s="320">
        <v>1.84</v>
      </c>
      <c r="J106" s="25">
        <v>1.2E-2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0.85599999999999998</v>
      </c>
      <c r="E107" s="91">
        <v>5.6000000000000001E-2</v>
      </c>
      <c r="F107" s="92">
        <v>2E-3</v>
      </c>
      <c r="G107" s="317">
        <v>526.45000000000005</v>
      </c>
      <c r="H107" s="317">
        <v>1.84</v>
      </c>
      <c r="I107" s="320">
        <v>1.84</v>
      </c>
      <c r="J107" s="25">
        <v>1.2E-2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0.85599999999999998</v>
      </c>
      <c r="E108" s="91">
        <v>5.6000000000000001E-2</v>
      </c>
      <c r="F108" s="92">
        <v>2E-3</v>
      </c>
      <c r="G108" s="317">
        <v>1613.47</v>
      </c>
      <c r="H108" s="317">
        <v>1.84</v>
      </c>
      <c r="I108" s="320">
        <v>1.84</v>
      </c>
      <c r="J108" s="25">
        <v>1.2E-2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0.85599999999999998</v>
      </c>
      <c r="E109" s="91">
        <v>5.6000000000000001E-2</v>
      </c>
      <c r="F109" s="92">
        <v>2E-3</v>
      </c>
      <c r="G109" s="317">
        <v>3232.19</v>
      </c>
      <c r="H109" s="317">
        <v>1.84</v>
      </c>
      <c r="I109" s="320">
        <v>1.84</v>
      </c>
      <c r="J109" s="25">
        <v>1.2E-2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0.85599999999999998</v>
      </c>
      <c r="E110" s="91">
        <v>5.6000000000000001E-2</v>
      </c>
      <c r="F110" s="92">
        <v>2E-3</v>
      </c>
      <c r="G110" s="317">
        <v>8464.31</v>
      </c>
      <c r="H110" s="317">
        <v>1.84</v>
      </c>
      <c r="I110" s="320">
        <v>1.84</v>
      </c>
      <c r="J110" s="25">
        <v>1.2E-2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v>0</v>
      </c>
      <c r="D111" s="93">
        <v>4.1849999999999996</v>
      </c>
      <c r="E111" s="94">
        <v>0.40300000000000002</v>
      </c>
      <c r="F111" s="92">
        <v>0.27100000000000002</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-1.6819999999999999</v>
      </c>
      <c r="E112" s="91">
        <v>-0.17899999999999999</v>
      </c>
      <c r="F112" s="92">
        <v>-4.0000000000000001E-3</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-1.625</v>
      </c>
      <c r="E113" s="91">
        <v>-0.16700000000000001</v>
      </c>
      <c r="F113" s="92">
        <v>-4.0000000000000001E-3</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-1.6819999999999999</v>
      </c>
      <c r="E114" s="91">
        <v>-0.17899999999999999</v>
      </c>
      <c r="F114" s="92">
        <v>-4.0000000000000001E-3</v>
      </c>
      <c r="G114" s="317" t="s">
        <v>797</v>
      </c>
      <c r="H114" s="318" t="s">
        <v>797</v>
      </c>
      <c r="I114" s="319" t="s">
        <v>797</v>
      </c>
      <c r="J114" s="25">
        <v>3.6999999999999998E-2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-1.625</v>
      </c>
      <c r="E115" s="91">
        <v>-0.16700000000000001</v>
      </c>
      <c r="F115" s="92">
        <v>-4.0000000000000001E-3</v>
      </c>
      <c r="G115" s="317" t="s">
        <v>797</v>
      </c>
      <c r="H115" s="318" t="s">
        <v>797</v>
      </c>
      <c r="I115" s="319" t="s">
        <v>797</v>
      </c>
      <c r="J115" s="25">
        <v>3.3000000000000002E-2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-2.4060000000000001</v>
      </c>
      <c r="E116" s="91">
        <v>-0.184</v>
      </c>
      <c r="F116" s="92">
        <v>-5.0000000000000001E-3</v>
      </c>
      <c r="G116" s="317">
        <v>50.71</v>
      </c>
      <c r="H116" s="318" t="s">
        <v>797</v>
      </c>
      <c r="I116" s="319" t="s">
        <v>797</v>
      </c>
      <c r="J116" s="25">
        <v>6.8000000000000005E-2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v>0</v>
      </c>
      <c r="D117" s="90">
        <v>0.26900000000000002</v>
      </c>
      <c r="E117" s="91">
        <v>2.9000000000000001E-2</v>
      </c>
      <c r="F117" s="92">
        <v>1E-3</v>
      </c>
      <c r="G117" s="317">
        <v>0.45</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v>0</v>
      </c>
      <c r="D118" s="90">
        <v>0.26900000000000002</v>
      </c>
      <c r="E118" s="91">
        <v>2.9000000000000001E-2</v>
      </c>
      <c r="F118" s="92">
        <v>1E-3</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v>0</v>
      </c>
      <c r="D119" s="90">
        <v>0.29799999999999999</v>
      </c>
      <c r="E119" s="91">
        <v>3.2000000000000001E-2</v>
      </c>
      <c r="F119" s="92">
        <v>1E-3</v>
      </c>
      <c r="G119" s="317">
        <v>0.17</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v>0</v>
      </c>
      <c r="D120" s="90">
        <v>0.29799999999999999</v>
      </c>
      <c r="E120" s="91">
        <v>3.2000000000000001E-2</v>
      </c>
      <c r="F120" s="92">
        <v>1E-3</v>
      </c>
      <c r="G120" s="317">
        <v>0.57999999999999996</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v>0</v>
      </c>
      <c r="D121" s="90">
        <v>0.29799999999999999</v>
      </c>
      <c r="E121" s="91">
        <v>3.2000000000000001E-2</v>
      </c>
      <c r="F121" s="92">
        <v>1E-3</v>
      </c>
      <c r="G121" s="317">
        <v>1.04</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v>0</v>
      </c>
      <c r="D122" s="90">
        <v>0.29799999999999999</v>
      </c>
      <c r="E122" s="91">
        <v>3.2000000000000001E-2</v>
      </c>
      <c r="F122" s="92">
        <v>1E-3</v>
      </c>
      <c r="G122" s="317">
        <v>1.9</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v>0</v>
      </c>
      <c r="D123" s="90">
        <v>0.29799999999999999</v>
      </c>
      <c r="E123" s="91">
        <v>3.2000000000000001E-2</v>
      </c>
      <c r="F123" s="92">
        <v>1E-3</v>
      </c>
      <c r="G123" s="317">
        <v>5.14</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v>0</v>
      </c>
      <c r="D124" s="90">
        <v>0.29799999999999999</v>
      </c>
      <c r="E124" s="91">
        <v>3.2000000000000001E-2</v>
      </c>
      <c r="F124" s="92">
        <v>1E-3</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0.218</v>
      </c>
      <c r="E125" s="91">
        <v>2.1999999999999999E-2</v>
      </c>
      <c r="F125" s="92">
        <v>1E-3</v>
      </c>
      <c r="G125" s="317">
        <v>0.56000000000000005</v>
      </c>
      <c r="H125" s="317">
        <v>0.11</v>
      </c>
      <c r="I125" s="320">
        <v>0.11</v>
      </c>
      <c r="J125" s="25">
        <v>4.0000000000000001E-3</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0.218</v>
      </c>
      <c r="E126" s="91">
        <v>2.1999999999999999E-2</v>
      </c>
      <c r="F126" s="92">
        <v>1E-3</v>
      </c>
      <c r="G126" s="317">
        <v>10.92</v>
      </c>
      <c r="H126" s="317">
        <v>0.11</v>
      </c>
      <c r="I126" s="320">
        <v>0.11</v>
      </c>
      <c r="J126" s="25">
        <v>4.0000000000000001E-3</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0.218</v>
      </c>
      <c r="E127" s="91">
        <v>2.1999999999999999E-2</v>
      </c>
      <c r="F127" s="92">
        <v>1E-3</v>
      </c>
      <c r="G127" s="317">
        <v>17.809999999999999</v>
      </c>
      <c r="H127" s="317">
        <v>0.11</v>
      </c>
      <c r="I127" s="320">
        <v>0.11</v>
      </c>
      <c r="J127" s="25">
        <v>4.0000000000000001E-3</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0.218</v>
      </c>
      <c r="E128" s="91">
        <v>2.1999999999999999E-2</v>
      </c>
      <c r="F128" s="92">
        <v>1E-3</v>
      </c>
      <c r="G128" s="317">
        <v>29.64</v>
      </c>
      <c r="H128" s="317">
        <v>0.11</v>
      </c>
      <c r="I128" s="320">
        <v>0.11</v>
      </c>
      <c r="J128" s="25">
        <v>4.0000000000000001E-3</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0.218</v>
      </c>
      <c r="E129" s="91">
        <v>2.1999999999999999E-2</v>
      </c>
      <c r="F129" s="92">
        <v>1E-3</v>
      </c>
      <c r="G129" s="317">
        <v>62.55</v>
      </c>
      <c r="H129" s="317">
        <v>0.11</v>
      </c>
      <c r="I129" s="320">
        <v>0.11</v>
      </c>
      <c r="J129" s="25">
        <v>4.0000000000000001E-3</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0.192</v>
      </c>
      <c r="E130" s="91">
        <v>1.4999999999999999E-2</v>
      </c>
      <c r="F130" s="92" t="s">
        <v>797</v>
      </c>
      <c r="G130" s="317">
        <v>0.32</v>
      </c>
      <c r="H130" s="317">
        <v>0.25</v>
      </c>
      <c r="I130" s="320">
        <v>0.25</v>
      </c>
      <c r="J130" s="25">
        <v>3.0000000000000001E-3</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0.192</v>
      </c>
      <c r="E131" s="91">
        <v>1.4999999999999999E-2</v>
      </c>
      <c r="F131" s="92" t="s">
        <v>797</v>
      </c>
      <c r="G131" s="317">
        <v>16.88</v>
      </c>
      <c r="H131" s="317">
        <v>0.25</v>
      </c>
      <c r="I131" s="320">
        <v>0.25</v>
      </c>
      <c r="J131" s="25">
        <v>3.0000000000000001E-3</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0.192</v>
      </c>
      <c r="E132" s="91">
        <v>1.4999999999999999E-2</v>
      </c>
      <c r="F132" s="92" t="s">
        <v>797</v>
      </c>
      <c r="G132" s="317">
        <v>27.9</v>
      </c>
      <c r="H132" s="317">
        <v>0.25</v>
      </c>
      <c r="I132" s="320">
        <v>0.25</v>
      </c>
      <c r="J132" s="25">
        <v>3.0000000000000001E-3</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0.192</v>
      </c>
      <c r="E133" s="91">
        <v>1.4999999999999999E-2</v>
      </c>
      <c r="F133" s="92" t="s">
        <v>797</v>
      </c>
      <c r="G133" s="317">
        <v>46.82</v>
      </c>
      <c r="H133" s="317">
        <v>0.25</v>
      </c>
      <c r="I133" s="320">
        <v>0.25</v>
      </c>
      <c r="J133" s="25">
        <v>3.0000000000000001E-3</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0.192</v>
      </c>
      <c r="E134" s="91">
        <v>1.4999999999999999E-2</v>
      </c>
      <c r="F134" s="92" t="s">
        <v>797</v>
      </c>
      <c r="G134" s="317">
        <v>99.45</v>
      </c>
      <c r="H134" s="317">
        <v>0.25</v>
      </c>
      <c r="I134" s="320">
        <v>0.25</v>
      </c>
      <c r="J134" s="25">
        <v>3.0000000000000001E-3</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0.157</v>
      </c>
      <c r="E135" s="91">
        <v>0.01</v>
      </c>
      <c r="F135" s="92" t="s">
        <v>797</v>
      </c>
      <c r="G135" s="317">
        <v>5.48</v>
      </c>
      <c r="H135" s="317">
        <v>0.34</v>
      </c>
      <c r="I135" s="320">
        <v>0.34</v>
      </c>
      <c r="J135" s="25">
        <v>2E-3</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0.157</v>
      </c>
      <c r="E136" s="91">
        <v>0.01</v>
      </c>
      <c r="F136" s="92" t="s">
        <v>797</v>
      </c>
      <c r="G136" s="317">
        <v>96.38</v>
      </c>
      <c r="H136" s="317">
        <v>0.34</v>
      </c>
      <c r="I136" s="320">
        <v>0.34</v>
      </c>
      <c r="J136" s="25">
        <v>2E-3</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0.157</v>
      </c>
      <c r="E137" s="91">
        <v>0.01</v>
      </c>
      <c r="F137" s="92" t="s">
        <v>797</v>
      </c>
      <c r="G137" s="317">
        <v>295.39</v>
      </c>
      <c r="H137" s="317">
        <v>0.34</v>
      </c>
      <c r="I137" s="320">
        <v>0.34</v>
      </c>
      <c r="J137" s="25">
        <v>2E-3</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0.157</v>
      </c>
      <c r="E138" s="91">
        <v>0.01</v>
      </c>
      <c r="F138" s="92" t="s">
        <v>797</v>
      </c>
      <c r="G138" s="317">
        <v>591.73</v>
      </c>
      <c r="H138" s="317">
        <v>0.34</v>
      </c>
      <c r="I138" s="320">
        <v>0.34</v>
      </c>
      <c r="J138" s="25">
        <v>2E-3</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0.157</v>
      </c>
      <c r="E139" s="91">
        <v>0.01</v>
      </c>
      <c r="F139" s="92" t="s">
        <v>797</v>
      </c>
      <c r="G139" s="317">
        <v>1549.61</v>
      </c>
      <c r="H139" s="317">
        <v>0.34</v>
      </c>
      <c r="I139" s="320">
        <v>0.34</v>
      </c>
      <c r="J139" s="25">
        <v>2E-3</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v>0</v>
      </c>
      <c r="D140" s="93">
        <v>0.76600000000000001</v>
      </c>
      <c r="E140" s="94">
        <v>7.3999999999999996E-2</v>
      </c>
      <c r="F140" s="92">
        <v>0.05</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-0.308</v>
      </c>
      <c r="E141" s="91">
        <v>-3.3000000000000002E-2</v>
      </c>
      <c r="F141" s="92">
        <v>-1E-3</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-0.29699999999999999</v>
      </c>
      <c r="E142" s="91">
        <v>-0.03</v>
      </c>
      <c r="F142" s="92">
        <v>-1E-3</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-0.308</v>
      </c>
      <c r="E143" s="91">
        <v>-3.3000000000000002E-2</v>
      </c>
      <c r="F143" s="92">
        <v>-1E-3</v>
      </c>
      <c r="G143" s="317" t="s">
        <v>797</v>
      </c>
      <c r="H143" s="318" t="s">
        <v>797</v>
      </c>
      <c r="I143" s="319" t="s">
        <v>797</v>
      </c>
      <c r="J143" s="25">
        <v>7.0000000000000001E-3</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-0.29699999999999999</v>
      </c>
      <c r="E144" s="91">
        <v>-0.03</v>
      </c>
      <c r="F144" s="92">
        <v>-1E-3</v>
      </c>
      <c r="G144" s="317" t="s">
        <v>797</v>
      </c>
      <c r="H144" s="318" t="s">
        <v>797</v>
      </c>
      <c r="I144" s="319" t="s">
        <v>797</v>
      </c>
      <c r="J144" s="25">
        <v>6.0000000000000001E-3</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-0.44</v>
      </c>
      <c r="E145" s="91">
        <v>-3.4000000000000002E-2</v>
      </c>
      <c r="F145" s="92">
        <v>-1E-3</v>
      </c>
      <c r="G145" s="317">
        <v>9.2799999999999994</v>
      </c>
      <c r="H145" s="318" t="s">
        <v>797</v>
      </c>
      <c r="I145" s="319" t="s">
        <v>797</v>
      </c>
      <c r="J145" s="25">
        <v>1.2999999999999999E-2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t="s">
        <v>797</v>
      </c>
      <c r="E146" s="91" t="s">
        <v>797</v>
      </c>
      <c r="F146" s="92" t="s">
        <v>797</v>
      </c>
      <c r="G146" s="317" t="s">
        <v>797</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t="s">
        <v>797</v>
      </c>
      <c r="E147" s="91" t="s">
        <v>797</v>
      </c>
      <c r="F147" s="92" t="s">
        <v>797</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t="s">
        <v>797</v>
      </c>
      <c r="E148" s="91" t="s">
        <v>797</v>
      </c>
      <c r="F148" s="92" t="s">
        <v>797</v>
      </c>
      <c r="G148" s="317" t="s">
        <v>797</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t="s">
        <v>797</v>
      </c>
      <c r="E149" s="91" t="s">
        <v>797</v>
      </c>
      <c r="F149" s="92" t="s">
        <v>797</v>
      </c>
      <c r="G149" s="317" t="s">
        <v>797</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t="s">
        <v>797</v>
      </c>
      <c r="E150" s="91" t="s">
        <v>797</v>
      </c>
      <c r="F150" s="92" t="s">
        <v>797</v>
      </c>
      <c r="G150" s="317" t="s">
        <v>797</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t="s">
        <v>797</v>
      </c>
      <c r="E151" s="91" t="s">
        <v>797</v>
      </c>
      <c r="F151" s="92" t="s">
        <v>797</v>
      </c>
      <c r="G151" s="317" t="s">
        <v>797</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t="s">
        <v>797</v>
      </c>
      <c r="E152" s="91" t="s">
        <v>797</v>
      </c>
      <c r="F152" s="92" t="s">
        <v>797</v>
      </c>
      <c r="G152" s="317" t="s">
        <v>797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t="s">
        <v>797</v>
      </c>
      <c r="E153" s="91" t="s">
        <v>797</v>
      </c>
      <c r="F153" s="92" t="s">
        <v>797</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t="s">
        <v>797</v>
      </c>
      <c r="E154" s="91" t="s">
        <v>797</v>
      </c>
      <c r="F154" s="92" t="s">
        <v>797</v>
      </c>
      <c r="G154" s="317" t="s">
        <v>797</v>
      </c>
      <c r="H154" s="317" t="s">
        <v>797</v>
      </c>
      <c r="I154" s="320" t="s">
        <v>797</v>
      </c>
      <c r="J154" s="25" t="s">
        <v>797</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t="s">
        <v>797</v>
      </c>
      <c r="E155" s="91" t="s">
        <v>797</v>
      </c>
      <c r="F155" s="92" t="s">
        <v>797</v>
      </c>
      <c r="G155" s="317" t="s">
        <v>797</v>
      </c>
      <c r="H155" s="317" t="s">
        <v>797</v>
      </c>
      <c r="I155" s="320" t="s">
        <v>797</v>
      </c>
      <c r="J155" s="25" t="s">
        <v>797</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t="s">
        <v>797</v>
      </c>
      <c r="E156" s="91" t="s">
        <v>797</v>
      </c>
      <c r="F156" s="92" t="s">
        <v>797</v>
      </c>
      <c r="G156" s="317" t="s">
        <v>797</v>
      </c>
      <c r="H156" s="317" t="s">
        <v>797</v>
      </c>
      <c r="I156" s="320" t="s">
        <v>797</v>
      </c>
      <c r="J156" s="25" t="s">
        <v>797</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t="s">
        <v>797</v>
      </c>
      <c r="E157" s="91" t="s">
        <v>797</v>
      </c>
      <c r="F157" s="92" t="s">
        <v>797</v>
      </c>
      <c r="G157" s="317" t="s">
        <v>797</v>
      </c>
      <c r="H157" s="317" t="s">
        <v>797</v>
      </c>
      <c r="I157" s="320" t="s">
        <v>797</v>
      </c>
      <c r="J157" s="25" t="s">
        <v>797</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t="s">
        <v>797</v>
      </c>
      <c r="E158" s="91" t="s">
        <v>797</v>
      </c>
      <c r="F158" s="92" t="s">
        <v>797</v>
      </c>
      <c r="G158" s="317" t="s">
        <v>797</v>
      </c>
      <c r="H158" s="317" t="s">
        <v>797</v>
      </c>
      <c r="I158" s="320" t="s">
        <v>797</v>
      </c>
      <c r="J158" s="25" t="s">
        <v>797</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t="s">
        <v>797</v>
      </c>
      <c r="E159" s="91" t="s">
        <v>797</v>
      </c>
      <c r="F159" s="92" t="s">
        <v>797</v>
      </c>
      <c r="G159" s="317" t="s">
        <v>797</v>
      </c>
      <c r="H159" s="317" t="s">
        <v>797</v>
      </c>
      <c r="I159" s="320" t="s">
        <v>797</v>
      </c>
      <c r="J159" s="25" t="s">
        <v>797</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t="s">
        <v>797</v>
      </c>
      <c r="E160" s="91" t="s">
        <v>797</v>
      </c>
      <c r="F160" s="92" t="s">
        <v>797</v>
      </c>
      <c r="G160" s="317" t="s">
        <v>797</v>
      </c>
      <c r="H160" s="317" t="s">
        <v>797</v>
      </c>
      <c r="I160" s="320" t="s">
        <v>797</v>
      </c>
      <c r="J160" s="25" t="s">
        <v>797</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t="s">
        <v>797</v>
      </c>
      <c r="E161" s="91" t="s">
        <v>797</v>
      </c>
      <c r="F161" s="92" t="s">
        <v>797</v>
      </c>
      <c r="G161" s="317" t="s">
        <v>797</v>
      </c>
      <c r="H161" s="317" t="s">
        <v>797</v>
      </c>
      <c r="I161" s="320" t="s">
        <v>797</v>
      </c>
      <c r="J161" s="25" t="s">
        <v>797</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t="s">
        <v>797</v>
      </c>
      <c r="E162" s="91" t="s">
        <v>797</v>
      </c>
      <c r="F162" s="92" t="s">
        <v>797</v>
      </c>
      <c r="G162" s="317" t="s">
        <v>797</v>
      </c>
      <c r="H162" s="317" t="s">
        <v>797</v>
      </c>
      <c r="I162" s="320" t="s">
        <v>797</v>
      </c>
      <c r="J162" s="25" t="s">
        <v>797</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t="s">
        <v>797</v>
      </c>
      <c r="E163" s="91" t="s">
        <v>797</v>
      </c>
      <c r="F163" s="92" t="s">
        <v>797</v>
      </c>
      <c r="G163" s="317" t="s">
        <v>797</v>
      </c>
      <c r="H163" s="317" t="s">
        <v>797</v>
      </c>
      <c r="I163" s="320" t="s">
        <v>797</v>
      </c>
      <c r="J163" s="25" t="s">
        <v>797</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t="s">
        <v>797</v>
      </c>
      <c r="E164" s="91" t="s">
        <v>797</v>
      </c>
      <c r="F164" s="92" t="s">
        <v>797</v>
      </c>
      <c r="G164" s="317" t="s">
        <v>797</v>
      </c>
      <c r="H164" s="317" t="s">
        <v>797</v>
      </c>
      <c r="I164" s="320" t="s">
        <v>797</v>
      </c>
      <c r="J164" s="25" t="s">
        <v>797</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t="s">
        <v>797</v>
      </c>
      <c r="E165" s="91" t="s">
        <v>797</v>
      </c>
      <c r="F165" s="92" t="s">
        <v>797</v>
      </c>
      <c r="G165" s="317" t="s">
        <v>797</v>
      </c>
      <c r="H165" s="317" t="s">
        <v>797</v>
      </c>
      <c r="I165" s="320" t="s">
        <v>797</v>
      </c>
      <c r="J165" s="25" t="s">
        <v>797</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t="s">
        <v>797</v>
      </c>
      <c r="E166" s="91" t="s">
        <v>797</v>
      </c>
      <c r="F166" s="92" t="s">
        <v>797</v>
      </c>
      <c r="G166" s="317" t="s">
        <v>797</v>
      </c>
      <c r="H166" s="317" t="s">
        <v>797</v>
      </c>
      <c r="I166" s="320" t="s">
        <v>797</v>
      </c>
      <c r="J166" s="25" t="s">
        <v>797</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t="s">
        <v>797</v>
      </c>
      <c r="E167" s="91" t="s">
        <v>797</v>
      </c>
      <c r="F167" s="92" t="s">
        <v>797</v>
      </c>
      <c r="G167" s="317" t="s">
        <v>797</v>
      </c>
      <c r="H167" s="317" t="s">
        <v>797</v>
      </c>
      <c r="I167" s="320" t="s">
        <v>797</v>
      </c>
      <c r="J167" s="25" t="s">
        <v>797</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797</v>
      </c>
      <c r="E168" s="91" t="s">
        <v>797</v>
      </c>
      <c r="F168" s="92" t="s">
        <v>797</v>
      </c>
      <c r="G168" s="317" t="s">
        <v>797</v>
      </c>
      <c r="H168" s="317" t="s">
        <v>797</v>
      </c>
      <c r="I168" s="320" t="s">
        <v>797</v>
      </c>
      <c r="J168" s="25" t="s">
        <v>797</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t="s">
        <v>797</v>
      </c>
      <c r="E169" s="94" t="s">
        <v>797</v>
      </c>
      <c r="F169" s="92" t="s">
        <v>797</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t="s">
        <v>797</v>
      </c>
      <c r="E170" s="91" t="s">
        <v>797</v>
      </c>
      <c r="F170" s="92" t="s">
        <v>797</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t="s">
        <v>797</v>
      </c>
      <c r="E171" s="91" t="s">
        <v>797</v>
      </c>
      <c r="F171" s="92" t="s">
        <v>797</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t="s">
        <v>797</v>
      </c>
      <c r="E172" s="91" t="s">
        <v>797</v>
      </c>
      <c r="F172" s="92" t="s">
        <v>797</v>
      </c>
      <c r="G172" s="317" t="s">
        <v>797</v>
      </c>
      <c r="H172" s="318" t="s">
        <v>797</v>
      </c>
      <c r="I172" s="319" t="s">
        <v>797</v>
      </c>
      <c r="J172" s="25" t="s">
        <v>797</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t="s">
        <v>797</v>
      </c>
      <c r="E173" s="91" t="s">
        <v>797</v>
      </c>
      <c r="F173" s="92" t="s">
        <v>797</v>
      </c>
      <c r="G173" s="317" t="s">
        <v>797</v>
      </c>
      <c r="H173" s="318" t="s">
        <v>797</v>
      </c>
      <c r="I173" s="319" t="s">
        <v>797</v>
      </c>
      <c r="J173" s="25" t="s">
        <v>797</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t="s">
        <v>797</v>
      </c>
      <c r="E174" s="91" t="s">
        <v>797</v>
      </c>
      <c r="F174" s="92" t="s">
        <v>797</v>
      </c>
      <c r="G174" s="317" t="s">
        <v>797</v>
      </c>
      <c r="H174" s="318" t="s">
        <v>797</v>
      </c>
      <c r="I174" s="319" t="s">
        <v>797</v>
      </c>
      <c r="J174" s="25" t="s">
        <v>797</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797</v>
      </c>
      <c r="E175" s="91" t="s">
        <v>797</v>
      </c>
      <c r="F175" s="92" t="s">
        <v>797</v>
      </c>
      <c r="G175" s="317" t="s">
        <v>797</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797</v>
      </c>
      <c r="E176" s="91" t="s">
        <v>797</v>
      </c>
      <c r="F176" s="92" t="s">
        <v>797</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797</v>
      </c>
      <c r="E177" s="91" t="s">
        <v>797</v>
      </c>
      <c r="F177" s="92" t="s">
        <v>797</v>
      </c>
      <c r="G177" s="317" t="s">
        <v>797</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797</v>
      </c>
      <c r="E178" s="91" t="s">
        <v>797</v>
      </c>
      <c r="F178" s="92" t="s">
        <v>797</v>
      </c>
      <c r="G178" s="317" t="s">
        <v>797</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797</v>
      </c>
      <c r="E179" s="91" t="s">
        <v>797</v>
      </c>
      <c r="F179" s="92" t="s">
        <v>797</v>
      </c>
      <c r="G179" s="317" t="s">
        <v>797</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797</v>
      </c>
      <c r="E180" s="91" t="s">
        <v>797</v>
      </c>
      <c r="F180" s="92" t="s">
        <v>797</v>
      </c>
      <c r="G180" s="317" t="s">
        <v>797</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797</v>
      </c>
      <c r="E181" s="91" t="s">
        <v>797</v>
      </c>
      <c r="F181" s="92" t="s">
        <v>797</v>
      </c>
      <c r="G181" s="317" t="s">
        <v>797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797</v>
      </c>
      <c r="E182" s="91" t="s">
        <v>797</v>
      </c>
      <c r="F182" s="92" t="s">
        <v>797</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797</v>
      </c>
      <c r="E183" s="91" t="s">
        <v>797</v>
      </c>
      <c r="F183" s="92" t="s">
        <v>797</v>
      </c>
      <c r="G183" s="317" t="s">
        <v>797</v>
      </c>
      <c r="H183" s="317" t="s">
        <v>797</v>
      </c>
      <c r="I183" s="320" t="s">
        <v>797</v>
      </c>
      <c r="J183" s="25" t="s">
        <v>797</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797</v>
      </c>
      <c r="E184" s="91" t="s">
        <v>797</v>
      </c>
      <c r="F184" s="92" t="s">
        <v>797</v>
      </c>
      <c r="G184" s="317" t="s">
        <v>797</v>
      </c>
      <c r="H184" s="317" t="s">
        <v>797</v>
      </c>
      <c r="I184" s="320" t="s">
        <v>797</v>
      </c>
      <c r="J184" s="25" t="s">
        <v>797</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797</v>
      </c>
      <c r="E185" s="91" t="s">
        <v>797</v>
      </c>
      <c r="F185" s="92" t="s">
        <v>797</v>
      </c>
      <c r="G185" s="317" t="s">
        <v>797</v>
      </c>
      <c r="H185" s="317" t="s">
        <v>797</v>
      </c>
      <c r="I185" s="320" t="s">
        <v>797</v>
      </c>
      <c r="J185" s="25" t="s">
        <v>797</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797</v>
      </c>
      <c r="E186" s="91" t="s">
        <v>797</v>
      </c>
      <c r="F186" s="92" t="s">
        <v>797</v>
      </c>
      <c r="G186" s="317" t="s">
        <v>797</v>
      </c>
      <c r="H186" s="317" t="s">
        <v>797</v>
      </c>
      <c r="I186" s="320" t="s">
        <v>797</v>
      </c>
      <c r="J186" s="25" t="s">
        <v>797</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797</v>
      </c>
      <c r="E187" s="91" t="s">
        <v>797</v>
      </c>
      <c r="F187" s="92" t="s">
        <v>797</v>
      </c>
      <c r="G187" s="317" t="s">
        <v>797</v>
      </c>
      <c r="H187" s="317" t="s">
        <v>797</v>
      </c>
      <c r="I187" s="320" t="s">
        <v>797</v>
      </c>
      <c r="J187" s="25" t="s">
        <v>797</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797</v>
      </c>
      <c r="E188" s="91" t="s">
        <v>797</v>
      </c>
      <c r="F188" s="92" t="s">
        <v>797</v>
      </c>
      <c r="G188" s="317" t="s">
        <v>797</v>
      </c>
      <c r="H188" s="317" t="s">
        <v>797</v>
      </c>
      <c r="I188" s="320" t="s">
        <v>797</v>
      </c>
      <c r="J188" s="25" t="s">
        <v>797</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797</v>
      </c>
      <c r="E189" s="91" t="s">
        <v>797</v>
      </c>
      <c r="F189" s="92" t="s">
        <v>797</v>
      </c>
      <c r="G189" s="317" t="s">
        <v>797</v>
      </c>
      <c r="H189" s="317" t="s">
        <v>797</v>
      </c>
      <c r="I189" s="320" t="s">
        <v>797</v>
      </c>
      <c r="J189" s="25" t="s">
        <v>797</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797</v>
      </c>
      <c r="E190" s="91" t="s">
        <v>797</v>
      </c>
      <c r="F190" s="92" t="s">
        <v>797</v>
      </c>
      <c r="G190" s="317" t="s">
        <v>797</v>
      </c>
      <c r="H190" s="317" t="s">
        <v>797</v>
      </c>
      <c r="I190" s="320" t="s">
        <v>797</v>
      </c>
      <c r="J190" s="25" t="s">
        <v>797</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797</v>
      </c>
      <c r="E191" s="91" t="s">
        <v>797</v>
      </c>
      <c r="F191" s="92" t="s">
        <v>797</v>
      </c>
      <c r="G191" s="317" t="s">
        <v>797</v>
      </c>
      <c r="H191" s="317" t="s">
        <v>797</v>
      </c>
      <c r="I191" s="320" t="s">
        <v>797</v>
      </c>
      <c r="J191" s="25" t="s">
        <v>797</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797</v>
      </c>
      <c r="E192" s="91" t="s">
        <v>797</v>
      </c>
      <c r="F192" s="92" t="s">
        <v>797</v>
      </c>
      <c r="G192" s="317" t="s">
        <v>797</v>
      </c>
      <c r="H192" s="317" t="s">
        <v>797</v>
      </c>
      <c r="I192" s="320" t="s">
        <v>797</v>
      </c>
      <c r="J192" s="25" t="s">
        <v>797</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797</v>
      </c>
      <c r="E193" s="91" t="s">
        <v>797</v>
      </c>
      <c r="F193" s="92" t="s">
        <v>797</v>
      </c>
      <c r="G193" s="317" t="s">
        <v>797</v>
      </c>
      <c r="H193" s="317" t="s">
        <v>797</v>
      </c>
      <c r="I193" s="320" t="s">
        <v>797</v>
      </c>
      <c r="J193" s="25" t="s">
        <v>797</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797</v>
      </c>
      <c r="E194" s="91" t="s">
        <v>797</v>
      </c>
      <c r="F194" s="92" t="s">
        <v>797</v>
      </c>
      <c r="G194" s="317" t="s">
        <v>797</v>
      </c>
      <c r="H194" s="317" t="s">
        <v>797</v>
      </c>
      <c r="I194" s="320" t="s">
        <v>797</v>
      </c>
      <c r="J194" s="25" t="s">
        <v>797</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797</v>
      </c>
      <c r="E195" s="91" t="s">
        <v>797</v>
      </c>
      <c r="F195" s="92" t="s">
        <v>797</v>
      </c>
      <c r="G195" s="317" t="s">
        <v>797</v>
      </c>
      <c r="H195" s="317" t="s">
        <v>797</v>
      </c>
      <c r="I195" s="320" t="s">
        <v>797</v>
      </c>
      <c r="J195" s="25" t="s">
        <v>797</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797</v>
      </c>
      <c r="E196" s="91" t="s">
        <v>797</v>
      </c>
      <c r="F196" s="92" t="s">
        <v>797</v>
      </c>
      <c r="G196" s="317" t="s">
        <v>797</v>
      </c>
      <c r="H196" s="317" t="s">
        <v>797</v>
      </c>
      <c r="I196" s="320" t="s">
        <v>797</v>
      </c>
      <c r="J196" s="25" t="s">
        <v>797</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797</v>
      </c>
      <c r="E197" s="91" t="s">
        <v>797</v>
      </c>
      <c r="F197" s="92" t="s">
        <v>797</v>
      </c>
      <c r="G197" s="317" t="s">
        <v>797</v>
      </c>
      <c r="H197" s="317" t="s">
        <v>797</v>
      </c>
      <c r="I197" s="320" t="s">
        <v>797</v>
      </c>
      <c r="J197" s="25" t="s">
        <v>797</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797</v>
      </c>
      <c r="E198" s="94" t="s">
        <v>797</v>
      </c>
      <c r="F198" s="92" t="s">
        <v>797</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797</v>
      </c>
      <c r="E199" s="91" t="s">
        <v>797</v>
      </c>
      <c r="F199" s="92" t="s">
        <v>797</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797</v>
      </c>
      <c r="E200" s="91" t="s">
        <v>797</v>
      </c>
      <c r="F200" s="92" t="s">
        <v>797</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797</v>
      </c>
      <c r="E201" s="91" t="s">
        <v>797</v>
      </c>
      <c r="F201" s="92" t="s">
        <v>797</v>
      </c>
      <c r="G201" s="317" t="s">
        <v>797</v>
      </c>
      <c r="H201" s="318" t="s">
        <v>797</v>
      </c>
      <c r="I201" s="319" t="s">
        <v>797</v>
      </c>
      <c r="J201" s="25" t="s">
        <v>797</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797</v>
      </c>
      <c r="E202" s="91" t="s">
        <v>797</v>
      </c>
      <c r="F202" s="92" t="s">
        <v>797</v>
      </c>
      <c r="G202" s="317" t="s">
        <v>797</v>
      </c>
      <c r="H202" s="318" t="s">
        <v>797</v>
      </c>
      <c r="I202" s="319" t="s">
        <v>797</v>
      </c>
      <c r="J202" s="25" t="s">
        <v>797</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797</v>
      </c>
      <c r="E203" s="91" t="s">
        <v>797</v>
      </c>
      <c r="F203" s="92" t="s">
        <v>797</v>
      </c>
      <c r="G203" s="317" t="s">
        <v>797</v>
      </c>
      <c r="H203" s="318" t="s">
        <v>797</v>
      </c>
      <c r="I203" s="319" t="s">
        <v>797</v>
      </c>
      <c r="J203" s="25" t="s">
        <v>797</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5">
    <mergeCell ref="F7:G7"/>
    <mergeCell ref="A2:J2"/>
    <mergeCell ref="A4:D4"/>
    <mergeCell ref="F4:J4"/>
    <mergeCell ref="F5:G5"/>
    <mergeCell ref="F6:G6"/>
    <mergeCell ref="F12:G12"/>
    <mergeCell ref="H12:J12"/>
    <mergeCell ref="F9:G9"/>
    <mergeCell ref="B8:D8"/>
    <mergeCell ref="F8:G8"/>
    <mergeCell ref="F10:G10"/>
    <mergeCell ref="H10:J10"/>
    <mergeCell ref="B11:D11"/>
    <mergeCell ref="F11:G11"/>
  </mergeCells>
  <conditionalFormatting sqref="K14:Q203">
    <cfRule type="cellIs" dxfId="30" priority="2" operator="equal">
      <formula>0</formula>
    </cfRule>
    <cfRule type="cellIs" dxfId="29" priority="3" operator="lessThan">
      <formula>0</formula>
    </cfRule>
    <cfRule type="cellIs" dxfId="28" priority="4" operator="greaterThan">
      <formula>0</formula>
    </cfRule>
  </conditionalFormatting>
  <conditionalFormatting sqref="K14:R203">
    <cfRule type="expression" dxfId="27" priority="1">
      <formula>$K14&lt;&gt;""</formula>
    </cfRule>
  </conditionalFormatting>
  <hyperlinks>
    <hyperlink ref="A1" location="Overview!A1" display="Back to Overview" xr:uid="{E94A7E1D-97CC-46CC-AC65-E39C0EC4336E}"/>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1B81F-6368-4D84-80F7-80CCEF2395B9}">
  <sheetPr>
    <pageSetUpPr fitToPage="1"/>
  </sheetPr>
  <dimension ref="A1:S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9" ht="27.75" customHeight="1" x14ac:dyDescent="0.2">
      <c r="A1" s="31" t="s">
        <v>19</v>
      </c>
      <c r="B1" s="493"/>
      <c r="C1" s="493"/>
      <c r="D1" s="493"/>
      <c r="F1" s="494"/>
      <c r="G1" s="494"/>
      <c r="H1" s="494"/>
      <c r="I1" s="3"/>
      <c r="J1" s="1"/>
    </row>
    <row r="2" spans="1:19" ht="31.5" customHeight="1" x14ac:dyDescent="0.2">
      <c r="A2" s="454" t="str">
        <f>Overview!B4&amp;" - Effective from "&amp;TEXT(Overview!$D$4,"d mmmm yyyy")&amp;" - Final LDNO tariffs in SSE SHEPD Area (GSP Group_P)"</f>
        <v>Leep Electricity Networks Limited - Effective from 1 April 2027 - Final LDNO tariffs in SSE SHEPD Area (GSP Group_P)</v>
      </c>
      <c r="B2" s="454"/>
      <c r="C2" s="454"/>
      <c r="D2" s="454"/>
      <c r="E2" s="454"/>
      <c r="F2" s="454"/>
      <c r="G2" s="454"/>
      <c r="H2" s="454"/>
      <c r="I2" s="454"/>
      <c r="J2" s="454"/>
    </row>
    <row r="3" spans="1:19" ht="8.25" customHeight="1" x14ac:dyDescent="0.2">
      <c r="A3" s="46"/>
      <c r="B3" s="46"/>
      <c r="C3" s="46"/>
      <c r="D3" s="46"/>
      <c r="E3" s="46"/>
      <c r="F3" s="46"/>
      <c r="G3" s="46"/>
      <c r="H3" s="46"/>
      <c r="I3" s="46"/>
      <c r="J3" s="46"/>
    </row>
    <row r="4" spans="1:19" ht="27" customHeight="1" x14ac:dyDescent="0.2">
      <c r="A4" s="454" t="s">
        <v>290</v>
      </c>
      <c r="B4" s="454"/>
      <c r="C4" s="454"/>
      <c r="D4" s="454"/>
      <c r="E4" s="274"/>
      <c r="F4" s="454" t="s">
        <v>289</v>
      </c>
      <c r="G4" s="454"/>
      <c r="H4" s="454"/>
      <c r="I4" s="454"/>
      <c r="J4" s="454"/>
      <c r="K4" s="3"/>
      <c r="M4" s="399"/>
      <c r="N4" s="400"/>
      <c r="O4" s="400"/>
      <c r="P4" s="400"/>
      <c r="Q4" s="400"/>
      <c r="R4" s="400"/>
      <c r="S4" s="401"/>
    </row>
    <row r="5" spans="1:19" ht="32.25" customHeight="1" x14ac:dyDescent="0.2">
      <c r="A5" s="275" t="s">
        <v>13</v>
      </c>
      <c r="B5" s="276" t="s">
        <v>281</v>
      </c>
      <c r="C5" s="277" t="s">
        <v>282</v>
      </c>
      <c r="D5" s="278" t="s">
        <v>283</v>
      </c>
      <c r="E5" s="46"/>
      <c r="F5" s="486"/>
      <c r="G5" s="487"/>
      <c r="H5" s="279" t="s">
        <v>287</v>
      </c>
      <c r="I5" s="280" t="s">
        <v>288</v>
      </c>
      <c r="J5" s="278" t="s">
        <v>283</v>
      </c>
      <c r="K5" s="3"/>
      <c r="L5" s="3"/>
      <c r="M5" s="400"/>
      <c r="N5" s="400"/>
      <c r="O5" s="400"/>
      <c r="P5" s="400"/>
      <c r="Q5" s="400"/>
      <c r="R5" s="400"/>
      <c r="S5" s="401"/>
    </row>
    <row r="6" spans="1:19" ht="38.25" customHeight="1" x14ac:dyDescent="0.2">
      <c r="A6" s="42" t="str">
        <f>'Annex 1 LV and HV charges_P'!A6</f>
        <v>Monday to Friday 
(Including Bank Holidays)
All Year</v>
      </c>
      <c r="B6" s="13" t="str">
        <f>'Annex 1 LV and HV charges_P'!B6</f>
        <v>16:00 - 19:00</v>
      </c>
      <c r="C6" s="281" t="str">
        <f>'Annex 1 LV and HV charges_P'!C6</f>
        <v/>
      </c>
      <c r="D6" s="250" t="str">
        <f>'Annex 1 LV and HV charges_P'!E6</f>
        <v/>
      </c>
      <c r="E6" s="46"/>
      <c r="F6" s="417" t="str">
        <f>'Annex 1 LV and HV charges_P'!G6</f>
        <v>Monday to Friday 
(Including Bank Holidays)
March to October Inclusive</v>
      </c>
      <c r="G6" s="417">
        <f>'Annex 1 LV and HV charges_P'!H6</f>
        <v>0</v>
      </c>
      <c r="H6" s="250" t="str">
        <f>'Annex 1 LV and HV charges_P'!I6</f>
        <v/>
      </c>
      <c r="I6" s="248" t="str">
        <f>'Annex 1 LV and HV charges_P'!J6</f>
        <v>07:00 - 21:00</v>
      </c>
      <c r="J6" s="250" t="str">
        <f>'Annex 1 LV and HV charges_P'!K6</f>
        <v/>
      </c>
      <c r="K6" s="3"/>
      <c r="L6" s="3"/>
    </row>
    <row r="7" spans="1:19" ht="38.25" customHeight="1" x14ac:dyDescent="0.2">
      <c r="A7" s="42" t="str">
        <f>'Annex 1 LV and HV charges_P'!A7</f>
        <v>Monday to Friday 
(Including Bank Holidays)
All Year</v>
      </c>
      <c r="B7" s="250" t="str">
        <f>'Annex 1 LV and HV charges_P'!B7</f>
        <v/>
      </c>
      <c r="C7" s="265" t="str">
        <f>'Annex 1 LV and HV charges_P'!C7</f>
        <v>07:00 - 16:00
19:00 - 21:00</v>
      </c>
      <c r="D7" s="250" t="str">
        <f>'Annex 1 LV and HV charges_P'!E7</f>
        <v/>
      </c>
      <c r="E7" s="46"/>
      <c r="F7" s="417" t="str">
        <f>'Annex 1 LV and HV charges_P'!G7</f>
        <v>Monday to Friday 
(Including Bank Holidays)
November to February Inclusive</v>
      </c>
      <c r="G7" s="417">
        <f>'Annex 1 LV and HV charges_P'!H7</f>
        <v>0</v>
      </c>
      <c r="H7" s="248" t="str">
        <f>'Annex 1 LV and HV charges_P'!I7</f>
        <v>16:00 - 19:00</v>
      </c>
      <c r="I7" s="248" t="str">
        <f>'Annex 1 LV and HV charges_P'!J7</f>
        <v>07:00 - 16:00
19:00 - 21:00</v>
      </c>
      <c r="J7" s="250" t="str">
        <f>'Annex 1 LV and HV charges_P'!K7</f>
        <v/>
      </c>
      <c r="K7" s="3"/>
      <c r="L7" s="3"/>
    </row>
    <row r="8" spans="1:19" ht="38.25" customHeight="1" x14ac:dyDescent="0.2">
      <c r="A8" s="42" t="str">
        <f>'Annex 1 LV and HV charges_P'!A8</f>
        <v>Monday to Friday 
(Including Bank Holidays)
All Year</v>
      </c>
      <c r="B8" s="250" t="str">
        <f>'Annex 1 LV and HV charges_P'!B8</f>
        <v/>
      </c>
      <c r="C8" s="281" t="str">
        <f>'Annex 1 LV and HV charges_P'!C8</f>
        <v/>
      </c>
      <c r="D8" s="95" t="str">
        <f>'Annex 1 LV and HV charges_P'!E8</f>
        <v>00:00 - 07:00
21:00 - 24:00</v>
      </c>
      <c r="E8" s="46"/>
      <c r="F8" s="417" t="str">
        <f>'Annex 1 LV and HV charges_P'!G8</f>
        <v>Monday to Friday 
(Including Bank Holidays)
April to March Inclusive</v>
      </c>
      <c r="G8" s="417">
        <f>'Annex 1 LV and HV charges_P'!H8</f>
        <v>0</v>
      </c>
      <c r="H8" s="250" t="str">
        <f>'Annex 1 LV and HV charges_P'!I8</f>
        <v/>
      </c>
      <c r="I8" s="250" t="str">
        <f>'Annex 1 LV and HV charges_P'!J8</f>
        <v/>
      </c>
      <c r="J8" s="95" t="str">
        <f>'Annex 1 LV and HV charges_P'!K8</f>
        <v>00:00 - 07:00
21:00 - 24:00</v>
      </c>
      <c r="K8" s="3"/>
      <c r="L8" s="3"/>
    </row>
    <row r="9" spans="1:19" s="40" customFormat="1" ht="38.25" customHeight="1" x14ac:dyDescent="0.2">
      <c r="A9" s="257" t="str">
        <f>'Annex 1 LV and HV charges_P'!A9</f>
        <v>Saturday and Sunday
All Year</v>
      </c>
      <c r="B9" s="250" t="str">
        <f>'Annex 1 LV and HV charges_P'!B9</f>
        <v/>
      </c>
      <c r="C9" s="265" t="str">
        <f>'Annex 1 LV and HV charges_P'!C9</f>
        <v>12:00 - 20:00</v>
      </c>
      <c r="D9" s="95" t="str">
        <f>'Annex 1 LV and HV charges_P'!E9</f>
        <v>00:00 - 12:00
20:00 - 24:00</v>
      </c>
      <c r="E9" s="282"/>
      <c r="F9" s="417" t="str">
        <f>'Annex 1 LV and HV charges_P'!G9</f>
        <v>Saturday and Sunday
All year</v>
      </c>
      <c r="G9" s="417">
        <f>'Annex 1 LV and HV charges_P'!H9</f>
        <v>0</v>
      </c>
      <c r="H9" s="250" t="str">
        <f>'Annex 1 LV and HV charges_P'!I9</f>
        <v/>
      </c>
      <c r="I9" s="248" t="str">
        <f>'Annex 1 LV and HV charges_P'!J9</f>
        <v>12:00 - 20:00</v>
      </c>
      <c r="J9" s="95" t="str">
        <f>'Annex 1 LV and HV charges_P'!K9</f>
        <v>00:00 - 12:00
20:00 - 24:00</v>
      </c>
      <c r="K9" s="30"/>
      <c r="L9" s="30"/>
    </row>
    <row r="10" spans="1:19" s="40" customFormat="1" ht="18" customHeight="1" x14ac:dyDescent="0.2">
      <c r="A10" s="257" t="str">
        <f>'Annex 1 LV and HV charges_P'!A10</f>
        <v>Notes</v>
      </c>
      <c r="B10" s="407" t="str">
        <f>'Annex 1 LV and HV charges_P'!B10</f>
        <v>All the above times are in UK Clock time</v>
      </c>
      <c r="C10" s="408">
        <f>'Annex 1 LV and HV charges_P'!C10</f>
        <v>0</v>
      </c>
      <c r="D10" s="409">
        <f>'Annex 1 LV and HV charges_P'!D10</f>
        <v>0</v>
      </c>
      <c r="F10" s="417" t="str">
        <f>'Annex 1 LV and HV charges_P'!G10</f>
        <v>Notes</v>
      </c>
      <c r="G10" s="417">
        <f>'Annex 1 LV and HV charges_P'!H10</f>
        <v>0</v>
      </c>
      <c r="H10" s="422" t="str">
        <f>'Annex 1 LV and HV charges_P'!I10</f>
        <v>All the above times are in UK Clock time</v>
      </c>
      <c r="I10" s="422">
        <f>'Annex 1 LV and HV charges_P'!J10</f>
        <v>0</v>
      </c>
      <c r="J10" s="422">
        <f>'Annex 1 LV and HV charges_P'!K10</f>
        <v>0</v>
      </c>
      <c r="K10" s="30"/>
      <c r="L10" s="30"/>
    </row>
    <row r="11" spans="1:19" s="40" customFormat="1" ht="21" customHeight="1" x14ac:dyDescent="0.2">
      <c r="B11" s="45"/>
      <c r="C11" s="45"/>
      <c r="D11" s="45"/>
      <c r="E11" s="30"/>
      <c r="F11" s="30"/>
      <c r="G11" s="30"/>
      <c r="H11" s="30"/>
      <c r="I11" s="30"/>
      <c r="J11" s="30"/>
      <c r="K11" s="30"/>
    </row>
    <row r="12" spans="1:19" s="40" customFormat="1" ht="12" customHeight="1" x14ac:dyDescent="0.2">
      <c r="A12" s="45"/>
      <c r="B12" s="45"/>
      <c r="C12" s="45"/>
      <c r="D12" s="45"/>
      <c r="E12" s="45"/>
      <c r="F12" s="48"/>
      <c r="G12" s="48"/>
      <c r="H12" s="49"/>
      <c r="I12" s="49"/>
      <c r="J12" s="49"/>
      <c r="K12" s="30"/>
    </row>
    <row r="13" spans="1:19" ht="66" customHeight="1" x14ac:dyDescent="0.2">
      <c r="A13" s="19" t="s">
        <v>359</v>
      </c>
      <c r="B13" s="19" t="s">
        <v>31</v>
      </c>
      <c r="C13" s="16" t="s">
        <v>24</v>
      </c>
      <c r="D13" s="16" t="s">
        <v>478</v>
      </c>
      <c r="E13" s="16" t="s">
        <v>479</v>
      </c>
      <c r="F13" s="16" t="s">
        <v>480</v>
      </c>
      <c r="G13" s="16" t="s">
        <v>25</v>
      </c>
      <c r="H13" s="16" t="s">
        <v>26</v>
      </c>
      <c r="I13" s="16" t="s">
        <v>360</v>
      </c>
      <c r="J13" s="16" t="s">
        <v>259</v>
      </c>
    </row>
    <row r="14" spans="1:19" ht="27" customHeight="1" x14ac:dyDescent="0.2">
      <c r="A14" s="322" t="s">
        <v>680</v>
      </c>
      <c r="B14" s="24"/>
      <c r="C14" s="324" t="s">
        <v>802</v>
      </c>
      <c r="D14" s="90">
        <v>9.407</v>
      </c>
      <c r="E14" s="91">
        <v>3.4209999999999998</v>
      </c>
      <c r="F14" s="92">
        <v>0.72899999999999998</v>
      </c>
      <c r="G14" s="317">
        <v>10.99</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9" ht="27" customHeight="1" x14ac:dyDescent="0.2">
      <c r="A15" s="322" t="s">
        <v>543</v>
      </c>
      <c r="B15" s="24"/>
      <c r="C15" s="324">
        <v>2</v>
      </c>
      <c r="D15" s="90">
        <v>9.407</v>
      </c>
      <c r="E15" s="91">
        <v>3.4209999999999998</v>
      </c>
      <c r="F15" s="92">
        <v>0.72899999999999998</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9" ht="27" customHeight="1" x14ac:dyDescent="0.2">
      <c r="A16" s="322" t="s">
        <v>687</v>
      </c>
      <c r="B16" s="24"/>
      <c r="C16" s="324" t="s">
        <v>803</v>
      </c>
      <c r="D16" s="90">
        <v>10.483000000000001</v>
      </c>
      <c r="E16" s="91">
        <v>3.8119999999999998</v>
      </c>
      <c r="F16" s="92">
        <v>0.81200000000000006</v>
      </c>
      <c r="G16" s="317">
        <v>16.149999999999999</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10.483000000000001</v>
      </c>
      <c r="E17" s="91">
        <v>3.8119999999999998</v>
      </c>
      <c r="F17" s="92">
        <v>0.81200000000000006</v>
      </c>
      <c r="G17" s="317">
        <v>15.44</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10.483000000000001</v>
      </c>
      <c r="E18" s="91">
        <v>3.8119999999999998</v>
      </c>
      <c r="F18" s="92">
        <v>0.81200000000000006</v>
      </c>
      <c r="G18" s="317">
        <v>12.46</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10.483000000000001</v>
      </c>
      <c r="E19" s="91">
        <v>3.8119999999999998</v>
      </c>
      <c r="F19" s="92">
        <v>0.81200000000000006</v>
      </c>
      <c r="G19" s="317">
        <v>7.74</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10.425000000000001</v>
      </c>
      <c r="E20" s="91">
        <v>3.7530000000000001</v>
      </c>
      <c r="F20" s="92">
        <v>0.754</v>
      </c>
      <c r="G20" s="317" t="s">
        <v>797</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10.483000000000001</v>
      </c>
      <c r="E21" s="91">
        <v>3.8119999999999998</v>
      </c>
      <c r="F21" s="92">
        <v>0.81200000000000006</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6.1180000000000003</v>
      </c>
      <c r="E22" s="91">
        <v>2.121</v>
      </c>
      <c r="F22" s="92">
        <v>0.50900000000000001</v>
      </c>
      <c r="G22" s="317">
        <v>35.44</v>
      </c>
      <c r="H22" s="317">
        <v>11.32</v>
      </c>
      <c r="I22" s="320">
        <v>11.32</v>
      </c>
      <c r="J22" s="25">
        <v>0.33400000000000002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6.0940000000000003</v>
      </c>
      <c r="E23" s="91">
        <v>2.0979999999999999</v>
      </c>
      <c r="F23" s="92">
        <v>0.48499999999999999</v>
      </c>
      <c r="G23" s="317" t="s">
        <v>797</v>
      </c>
      <c r="H23" s="317">
        <v>11.32</v>
      </c>
      <c r="I23" s="320">
        <v>11.32</v>
      </c>
      <c r="J23" s="25">
        <v>0.33400000000000002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6.0350000000000001</v>
      </c>
      <c r="E24" s="91">
        <v>2.0390000000000001</v>
      </c>
      <c r="F24" s="92">
        <v>0.42599999999999999</v>
      </c>
      <c r="G24" s="317" t="s">
        <v>797</v>
      </c>
      <c r="H24" s="317">
        <v>11.32</v>
      </c>
      <c r="I24" s="320">
        <v>11.32</v>
      </c>
      <c r="J24" s="25">
        <v>0.33400000000000002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6.0060000000000002</v>
      </c>
      <c r="E25" s="91">
        <v>2.0099999999999998</v>
      </c>
      <c r="F25" s="92">
        <v>0.39700000000000002</v>
      </c>
      <c r="G25" s="317" t="s">
        <v>797</v>
      </c>
      <c r="H25" s="317">
        <v>11.32</v>
      </c>
      <c r="I25" s="320">
        <v>11.32</v>
      </c>
      <c r="J25" s="25">
        <v>0.33400000000000002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5.9779999999999998</v>
      </c>
      <c r="E26" s="91">
        <v>1.982</v>
      </c>
      <c r="F26" s="92">
        <v>0.36899999999999999</v>
      </c>
      <c r="G26" s="317" t="s">
        <v>797</v>
      </c>
      <c r="H26" s="317">
        <v>11.32</v>
      </c>
      <c r="I26" s="320">
        <v>11.32</v>
      </c>
      <c r="J26" s="25">
        <v>0.33400000000000002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21.914999999999999</v>
      </c>
      <c r="E27" s="94">
        <v>5.8250000000000002</v>
      </c>
      <c r="F27" s="92">
        <v>3.452</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2113</v>
      </c>
      <c r="D28" s="90">
        <v>-8.7249999999999996</v>
      </c>
      <c r="E28" s="91">
        <v>-3.1720000000000002</v>
      </c>
      <c r="F28" s="92">
        <v>-0.67600000000000005</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-8.7249999999999996</v>
      </c>
      <c r="E29" s="91">
        <v>-3.1720000000000002</v>
      </c>
      <c r="F29" s="92">
        <v>-0.67600000000000005</v>
      </c>
      <c r="G29" s="317" t="s">
        <v>797</v>
      </c>
      <c r="H29" s="318" t="s">
        <v>797</v>
      </c>
      <c r="I29" s="319" t="s">
        <v>797</v>
      </c>
      <c r="J29" s="25">
        <v>0.55900000000000005</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6.2039999999999997</v>
      </c>
      <c r="E30" s="91">
        <v>2.2559999999999998</v>
      </c>
      <c r="F30" s="92">
        <v>0.48099999999999998</v>
      </c>
      <c r="G30" s="317">
        <v>7.25</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6.2039999999999997</v>
      </c>
      <c r="E31" s="91">
        <v>2.2559999999999998</v>
      </c>
      <c r="F31" s="92">
        <v>0.48099999999999998</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6.9139999999999997</v>
      </c>
      <c r="E32" s="91">
        <v>2.5139999999999998</v>
      </c>
      <c r="F32" s="92">
        <v>0.53600000000000003</v>
      </c>
      <c r="G32" s="317">
        <v>10.65</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6.9139999999999997</v>
      </c>
      <c r="E33" s="91">
        <v>2.5139999999999998</v>
      </c>
      <c r="F33" s="92">
        <v>0.53600000000000003</v>
      </c>
      <c r="G33" s="317">
        <v>10.18</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6.9139999999999997</v>
      </c>
      <c r="E34" s="91">
        <v>2.5139999999999998</v>
      </c>
      <c r="F34" s="92">
        <v>0.53600000000000003</v>
      </c>
      <c r="G34" s="317">
        <v>8.2200000000000006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6.9139999999999997</v>
      </c>
      <c r="E35" s="91">
        <v>2.5139999999999998</v>
      </c>
      <c r="F35" s="92">
        <v>0.53600000000000003</v>
      </c>
      <c r="G35" s="317">
        <v>5.1100000000000003</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6.875</v>
      </c>
      <c r="E36" s="91">
        <v>2.4750000000000001</v>
      </c>
      <c r="F36" s="92">
        <v>0.497</v>
      </c>
      <c r="G36" s="317" t="s">
        <v>797</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6.9139999999999997</v>
      </c>
      <c r="E37" s="91">
        <v>2.5139999999999998</v>
      </c>
      <c r="F37" s="92">
        <v>0.53600000000000003</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4.0350000000000001</v>
      </c>
      <c r="E38" s="91">
        <v>1.399</v>
      </c>
      <c r="F38" s="92">
        <v>0.33600000000000002</v>
      </c>
      <c r="G38" s="317">
        <v>23.37</v>
      </c>
      <c r="H38" s="317">
        <v>7.47</v>
      </c>
      <c r="I38" s="320">
        <v>7.47</v>
      </c>
      <c r="J38" s="25">
        <v>0.22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4.0190000000000001</v>
      </c>
      <c r="E39" s="91">
        <v>1.383</v>
      </c>
      <c r="F39" s="92">
        <v>0.32</v>
      </c>
      <c r="G39" s="317" t="s">
        <v>797</v>
      </c>
      <c r="H39" s="317">
        <v>7.47</v>
      </c>
      <c r="I39" s="320">
        <v>7.47</v>
      </c>
      <c r="J39" s="25">
        <v>0.22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3.98</v>
      </c>
      <c r="E40" s="91">
        <v>1.345</v>
      </c>
      <c r="F40" s="92">
        <v>0.28100000000000003</v>
      </c>
      <c r="G40" s="317" t="s">
        <v>797</v>
      </c>
      <c r="H40" s="317">
        <v>7.47</v>
      </c>
      <c r="I40" s="320">
        <v>7.47</v>
      </c>
      <c r="J40" s="25">
        <v>0.22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3.9609999999999999</v>
      </c>
      <c r="E41" s="91">
        <v>1.3260000000000001</v>
      </c>
      <c r="F41" s="92">
        <v>0.26200000000000001</v>
      </c>
      <c r="G41" s="317" t="s">
        <v>797</v>
      </c>
      <c r="H41" s="317">
        <v>7.47</v>
      </c>
      <c r="I41" s="320">
        <v>7.47</v>
      </c>
      <c r="J41" s="25">
        <v>0.22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3.9430000000000001</v>
      </c>
      <c r="E42" s="91">
        <v>1.3069999999999999</v>
      </c>
      <c r="F42" s="92">
        <v>0.24399999999999999</v>
      </c>
      <c r="G42" s="317" t="s">
        <v>797</v>
      </c>
      <c r="H42" s="317">
        <v>7.47</v>
      </c>
      <c r="I42" s="320">
        <v>7.47</v>
      </c>
      <c r="J42" s="25">
        <v>0.22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2.5710000000000002</v>
      </c>
      <c r="E43" s="91">
        <v>0.69599999999999995</v>
      </c>
      <c r="F43" s="92">
        <v>0.28000000000000003</v>
      </c>
      <c r="G43" s="317">
        <v>86.89</v>
      </c>
      <c r="H43" s="317">
        <v>14.35</v>
      </c>
      <c r="I43" s="320">
        <v>14.35</v>
      </c>
      <c r="J43" s="25">
        <v>0.126</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2.548</v>
      </c>
      <c r="E44" s="91">
        <v>0.67200000000000004</v>
      </c>
      <c r="F44" s="92">
        <v>0.25700000000000001</v>
      </c>
      <c r="G44" s="317">
        <v>52.03</v>
      </c>
      <c r="H44" s="317">
        <v>14.35</v>
      </c>
      <c r="I44" s="320">
        <v>14.35</v>
      </c>
      <c r="J44" s="25">
        <v>0.126</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2.4900000000000002</v>
      </c>
      <c r="E45" s="91">
        <v>0.61399999999999999</v>
      </c>
      <c r="F45" s="92">
        <v>0.19900000000000001</v>
      </c>
      <c r="G45" s="317">
        <v>52.03</v>
      </c>
      <c r="H45" s="317">
        <v>14.35</v>
      </c>
      <c r="I45" s="320">
        <v>14.35</v>
      </c>
      <c r="J45" s="25">
        <v>0.126</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2.4620000000000002</v>
      </c>
      <c r="E46" s="91">
        <v>0.58599999999999997</v>
      </c>
      <c r="F46" s="92">
        <v>0.17</v>
      </c>
      <c r="G46" s="317">
        <v>52.03</v>
      </c>
      <c r="H46" s="317">
        <v>14.35</v>
      </c>
      <c r="I46" s="320">
        <v>14.35</v>
      </c>
      <c r="J46" s="25">
        <v>0.126</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2.4340000000000002</v>
      </c>
      <c r="E47" s="91">
        <v>0.55800000000000005</v>
      </c>
      <c r="F47" s="92">
        <v>0.14299999999999999</v>
      </c>
      <c r="G47" s="317">
        <v>52.03</v>
      </c>
      <c r="H47" s="317">
        <v>14.35</v>
      </c>
      <c r="I47" s="320">
        <v>14.35</v>
      </c>
      <c r="J47" s="25">
        <v>0.126</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1.39</v>
      </c>
      <c r="E48" s="91">
        <v>0.39500000000000002</v>
      </c>
      <c r="F48" s="92">
        <v>0.253</v>
      </c>
      <c r="G48" s="317">
        <v>420.49</v>
      </c>
      <c r="H48" s="317">
        <v>16.8</v>
      </c>
      <c r="I48" s="320">
        <v>16.8</v>
      </c>
      <c r="J48" s="25">
        <v>0.08</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1.39</v>
      </c>
      <c r="E49" s="91">
        <v>0.39500000000000002</v>
      </c>
      <c r="F49" s="92">
        <v>0.253</v>
      </c>
      <c r="G49" s="317">
        <v>228.62</v>
      </c>
      <c r="H49" s="317">
        <v>16.8</v>
      </c>
      <c r="I49" s="320">
        <v>16.8</v>
      </c>
      <c r="J49" s="25">
        <v>0.08</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1.3120000000000001</v>
      </c>
      <c r="E50" s="91">
        <v>0.318</v>
      </c>
      <c r="F50" s="92">
        <v>0.17599999999999999</v>
      </c>
      <c r="G50" s="317" t="s">
        <v>797</v>
      </c>
      <c r="H50" s="317">
        <v>16.8</v>
      </c>
      <c r="I50" s="320">
        <v>16.8</v>
      </c>
      <c r="J50" s="25">
        <v>0.08</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1.2669999999999999</v>
      </c>
      <c r="E51" s="91">
        <v>0.27200000000000002</v>
      </c>
      <c r="F51" s="92">
        <v>0.13</v>
      </c>
      <c r="G51" s="317" t="s">
        <v>797</v>
      </c>
      <c r="H51" s="317">
        <v>16.8</v>
      </c>
      <c r="I51" s="320">
        <v>16.8</v>
      </c>
      <c r="J51" s="25">
        <v>0.08</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1.2450000000000001</v>
      </c>
      <c r="E52" s="91">
        <v>0.25</v>
      </c>
      <c r="F52" s="92">
        <v>0.108</v>
      </c>
      <c r="G52" s="317" t="s">
        <v>797</v>
      </c>
      <c r="H52" s="317">
        <v>16.8</v>
      </c>
      <c r="I52" s="320">
        <v>16.8</v>
      </c>
      <c r="J52" s="25">
        <v>0.08</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14.452999999999999</v>
      </c>
      <c r="E53" s="94">
        <v>3.8410000000000002</v>
      </c>
      <c r="F53" s="92">
        <v>2.2770000000000001</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2074</v>
      </c>
      <c r="D54" s="90">
        <v>-8.7249999999999996</v>
      </c>
      <c r="E54" s="91">
        <v>-3.1720000000000002</v>
      </c>
      <c r="F54" s="92">
        <v>-0.67600000000000005</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2074</v>
      </c>
      <c r="D55" s="90">
        <v>-7.3609999999999998</v>
      </c>
      <c r="E55" s="91">
        <v>-2.6160000000000001</v>
      </c>
      <c r="F55" s="92">
        <v>-0.59099999999999997</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-8.7249999999999996</v>
      </c>
      <c r="E56" s="91">
        <v>-3.1720000000000002</v>
      </c>
      <c r="F56" s="92">
        <v>-0.67600000000000005</v>
      </c>
      <c r="G56" s="317" t="s">
        <v>797</v>
      </c>
      <c r="H56" s="318" t="s">
        <v>797</v>
      </c>
      <c r="I56" s="319" t="s">
        <v>797</v>
      </c>
      <c r="J56" s="25">
        <v>0.55900000000000005</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-7.3609999999999998</v>
      </c>
      <c r="E57" s="91">
        <v>-2.6160000000000001</v>
      </c>
      <c r="F57" s="92">
        <v>-0.59099999999999997</v>
      </c>
      <c r="G57" s="317" t="s">
        <v>797</v>
      </c>
      <c r="H57" s="318" t="s">
        <v>797</v>
      </c>
      <c r="I57" s="319" t="s">
        <v>797</v>
      </c>
      <c r="J57" s="25">
        <v>0.41599999999999998</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-3.2589999999999999</v>
      </c>
      <c r="E58" s="91">
        <v>-0.88200000000000001</v>
      </c>
      <c r="F58" s="92">
        <v>-0.35499999999999998</v>
      </c>
      <c r="G58" s="317" t="s">
        <v>797</v>
      </c>
      <c r="H58" s="318" t="s">
        <v>797</v>
      </c>
      <c r="I58" s="319" t="s">
        <v>797</v>
      </c>
      <c r="J58" s="25">
        <v>0.35699999999999998</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4.1109999999999998</v>
      </c>
      <c r="E59" s="91">
        <v>1.4950000000000001</v>
      </c>
      <c r="F59" s="92">
        <v>0.31900000000000001</v>
      </c>
      <c r="G59" s="317">
        <v>4.8</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4.1109999999999998</v>
      </c>
      <c r="E60" s="91">
        <v>1.4950000000000001</v>
      </c>
      <c r="F60" s="92">
        <v>0.31900000000000001</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4.5819999999999999</v>
      </c>
      <c r="E61" s="91">
        <v>1.6659999999999999</v>
      </c>
      <c r="F61" s="92">
        <v>0.35499999999999998</v>
      </c>
      <c r="G61" s="317">
        <v>7.06</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4.5819999999999999</v>
      </c>
      <c r="E62" s="91">
        <v>1.6659999999999999</v>
      </c>
      <c r="F62" s="92">
        <v>0.35499999999999998</v>
      </c>
      <c r="G62" s="317">
        <v>6.75</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4.5819999999999999</v>
      </c>
      <c r="E63" s="91">
        <v>1.6659999999999999</v>
      </c>
      <c r="F63" s="92">
        <v>0.35499999999999998</v>
      </c>
      <c r="G63" s="317">
        <v>5.44</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4.5819999999999999</v>
      </c>
      <c r="E64" s="91">
        <v>1.6659999999999999</v>
      </c>
      <c r="F64" s="92">
        <v>0.35499999999999998</v>
      </c>
      <c r="G64" s="317">
        <v>3.38</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4.556</v>
      </c>
      <c r="E65" s="91">
        <v>1.64</v>
      </c>
      <c r="F65" s="92">
        <v>0.32900000000000001</v>
      </c>
      <c r="G65" s="317" t="s">
        <v>797</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4.5819999999999999</v>
      </c>
      <c r="E66" s="91">
        <v>1.6659999999999999</v>
      </c>
      <c r="F66" s="92">
        <v>0.35499999999999998</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2.6739999999999999</v>
      </c>
      <c r="E67" s="91">
        <v>0.92700000000000005</v>
      </c>
      <c r="F67" s="92">
        <v>0.222</v>
      </c>
      <c r="G67" s="317">
        <v>15.49</v>
      </c>
      <c r="H67" s="317">
        <v>4.95</v>
      </c>
      <c r="I67" s="320">
        <v>4.95</v>
      </c>
      <c r="J67" s="25">
        <v>0.14599999999999999</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2.6629999999999998</v>
      </c>
      <c r="E68" s="91">
        <v>0.91700000000000004</v>
      </c>
      <c r="F68" s="92">
        <v>0.21199999999999999</v>
      </c>
      <c r="G68" s="317" t="s">
        <v>797</v>
      </c>
      <c r="H68" s="317">
        <v>4.95</v>
      </c>
      <c r="I68" s="320">
        <v>4.95</v>
      </c>
      <c r="J68" s="25">
        <v>0.14599999999999999</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2.6379999999999999</v>
      </c>
      <c r="E69" s="91">
        <v>0.89100000000000001</v>
      </c>
      <c r="F69" s="92">
        <v>0.186</v>
      </c>
      <c r="G69" s="317" t="s">
        <v>797</v>
      </c>
      <c r="H69" s="317">
        <v>4.95</v>
      </c>
      <c r="I69" s="320">
        <v>4.95</v>
      </c>
      <c r="J69" s="25">
        <v>0.14599999999999999</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2.625</v>
      </c>
      <c r="E70" s="91">
        <v>0.878</v>
      </c>
      <c r="F70" s="92">
        <v>0.17399999999999999</v>
      </c>
      <c r="G70" s="317" t="s">
        <v>797</v>
      </c>
      <c r="H70" s="317">
        <v>4.95</v>
      </c>
      <c r="I70" s="320">
        <v>4.95</v>
      </c>
      <c r="J70" s="25">
        <v>0.14599999999999999</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2.613</v>
      </c>
      <c r="E71" s="91">
        <v>0.86599999999999999</v>
      </c>
      <c r="F71" s="92">
        <v>0.161</v>
      </c>
      <c r="G71" s="317" t="s">
        <v>797</v>
      </c>
      <c r="H71" s="317">
        <v>4.95</v>
      </c>
      <c r="I71" s="320">
        <v>4.95</v>
      </c>
      <c r="J71" s="25">
        <v>0.14599999999999999</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1.6479999999999999</v>
      </c>
      <c r="E72" s="91">
        <v>0.44600000000000001</v>
      </c>
      <c r="F72" s="92">
        <v>0.17899999999999999</v>
      </c>
      <c r="G72" s="317">
        <v>55.71</v>
      </c>
      <c r="H72" s="317">
        <v>9.1999999999999993</v>
      </c>
      <c r="I72" s="320">
        <v>9.1999999999999993</v>
      </c>
      <c r="J72" s="25">
        <v>8.1000000000000003E-2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1.633</v>
      </c>
      <c r="E73" s="91">
        <v>0.43099999999999999</v>
      </c>
      <c r="F73" s="92">
        <v>0.16400000000000001</v>
      </c>
      <c r="G73" s="317">
        <v>33.36</v>
      </c>
      <c r="H73" s="317">
        <v>9.1999999999999993</v>
      </c>
      <c r="I73" s="320">
        <v>9.1999999999999993</v>
      </c>
      <c r="J73" s="25">
        <v>8.1000000000000003E-2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1.5960000000000001</v>
      </c>
      <c r="E74" s="91">
        <v>0.39400000000000002</v>
      </c>
      <c r="F74" s="92">
        <v>0.127</v>
      </c>
      <c r="G74" s="317">
        <v>33.36</v>
      </c>
      <c r="H74" s="317">
        <v>9.1999999999999993</v>
      </c>
      <c r="I74" s="320">
        <v>9.1999999999999993</v>
      </c>
      <c r="J74" s="25">
        <v>8.1000000000000003E-2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1.5780000000000001</v>
      </c>
      <c r="E75" s="91">
        <v>0.376</v>
      </c>
      <c r="F75" s="92">
        <v>0.109</v>
      </c>
      <c r="G75" s="317">
        <v>33.36</v>
      </c>
      <c r="H75" s="317">
        <v>9.1999999999999993</v>
      </c>
      <c r="I75" s="320">
        <v>9.1999999999999993</v>
      </c>
      <c r="J75" s="25">
        <v>8.1000000000000003E-2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1.56</v>
      </c>
      <c r="E76" s="91">
        <v>0.35799999999999998</v>
      </c>
      <c r="F76" s="92">
        <v>9.0999999999999998E-2</v>
      </c>
      <c r="G76" s="317">
        <v>33.36</v>
      </c>
      <c r="H76" s="317">
        <v>9.1999999999999993</v>
      </c>
      <c r="I76" s="320">
        <v>9.1999999999999993</v>
      </c>
      <c r="J76" s="25">
        <v>8.1000000000000003E-2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0.88300000000000001</v>
      </c>
      <c r="E77" s="91">
        <v>0.251</v>
      </c>
      <c r="F77" s="92">
        <v>0.161</v>
      </c>
      <c r="G77" s="317">
        <v>267.13</v>
      </c>
      <c r="H77" s="317">
        <v>10.67</v>
      </c>
      <c r="I77" s="320">
        <v>10.67</v>
      </c>
      <c r="J77" s="25">
        <v>5.0999999999999997E-2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0.88300000000000001</v>
      </c>
      <c r="E78" s="91">
        <v>0.251</v>
      </c>
      <c r="F78" s="92">
        <v>0.161</v>
      </c>
      <c r="G78" s="317">
        <v>145.24</v>
      </c>
      <c r="H78" s="317">
        <v>10.67</v>
      </c>
      <c r="I78" s="320">
        <v>10.67</v>
      </c>
      <c r="J78" s="25">
        <v>5.0999999999999997E-2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0.83399999999999996</v>
      </c>
      <c r="E79" s="91">
        <v>0.20200000000000001</v>
      </c>
      <c r="F79" s="92">
        <v>0.112</v>
      </c>
      <c r="G79" s="317" t="s">
        <v>797</v>
      </c>
      <c r="H79" s="317">
        <v>10.67</v>
      </c>
      <c r="I79" s="320">
        <v>10.67</v>
      </c>
      <c r="J79" s="25">
        <v>5.0999999999999997E-2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0.80500000000000005</v>
      </c>
      <c r="E80" s="91">
        <v>0.17299999999999999</v>
      </c>
      <c r="F80" s="92">
        <v>8.3000000000000004E-2</v>
      </c>
      <c r="G80" s="317" t="s">
        <v>797</v>
      </c>
      <c r="H80" s="317">
        <v>10.67</v>
      </c>
      <c r="I80" s="320">
        <v>10.67</v>
      </c>
      <c r="J80" s="25">
        <v>5.0999999999999997E-2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0.79100000000000004</v>
      </c>
      <c r="E81" s="91">
        <v>0.159</v>
      </c>
      <c r="F81" s="92">
        <v>6.9000000000000006E-2</v>
      </c>
      <c r="G81" s="317" t="s">
        <v>797</v>
      </c>
      <c r="H81" s="317">
        <v>10.67</v>
      </c>
      <c r="I81" s="320">
        <v>10.67</v>
      </c>
      <c r="J81" s="25">
        <v>5.0999999999999997E-2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9.577</v>
      </c>
      <c r="E82" s="94">
        <v>2.5459999999999998</v>
      </c>
      <c r="F82" s="92">
        <v>1.5089999999999999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2074</v>
      </c>
      <c r="D83" s="90">
        <v>-3.738</v>
      </c>
      <c r="E83" s="91">
        <v>-1.359</v>
      </c>
      <c r="F83" s="92">
        <v>-0.28999999999999998</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2074</v>
      </c>
      <c r="D84" s="90">
        <v>-3.411</v>
      </c>
      <c r="E84" s="91">
        <v>-1.212</v>
      </c>
      <c r="F84" s="92">
        <v>-0.27400000000000002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-3.738</v>
      </c>
      <c r="E85" s="91">
        <v>-1.359</v>
      </c>
      <c r="F85" s="92">
        <v>-0.28999999999999998</v>
      </c>
      <c r="G85" s="317" t="s">
        <v>797</v>
      </c>
      <c r="H85" s="318" t="s">
        <v>797</v>
      </c>
      <c r="I85" s="319" t="s">
        <v>797</v>
      </c>
      <c r="J85" s="25">
        <v>0.23899999999999999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-3.411</v>
      </c>
      <c r="E86" s="91">
        <v>-1.212</v>
      </c>
      <c r="F86" s="92">
        <v>-0.27400000000000002</v>
      </c>
      <c r="G86" s="317" t="s">
        <v>797</v>
      </c>
      <c r="H86" s="318" t="s">
        <v>797</v>
      </c>
      <c r="I86" s="319" t="s">
        <v>797</v>
      </c>
      <c r="J86" s="25">
        <v>0.193</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-3.2589999999999999</v>
      </c>
      <c r="E87" s="91">
        <v>-0.88200000000000001</v>
      </c>
      <c r="F87" s="92">
        <v>-0.35499999999999998</v>
      </c>
      <c r="G87" s="317">
        <v>820.69</v>
      </c>
      <c r="H87" s="318" t="s">
        <v>797</v>
      </c>
      <c r="I87" s="319" t="s">
        <v>797</v>
      </c>
      <c r="J87" s="25">
        <v>0.35699999999999998</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2.552</v>
      </c>
      <c r="E88" s="91">
        <v>0.92800000000000005</v>
      </c>
      <c r="F88" s="92">
        <v>0.19800000000000001</v>
      </c>
      <c r="G88" s="317">
        <v>2.98</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2.552</v>
      </c>
      <c r="E89" s="91">
        <v>0.92800000000000005</v>
      </c>
      <c r="F89" s="92">
        <v>0.19800000000000001</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2.8439999999999999</v>
      </c>
      <c r="E90" s="91">
        <v>1.034</v>
      </c>
      <c r="F90" s="92">
        <v>0.22</v>
      </c>
      <c r="G90" s="317">
        <v>4.38</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2.8439999999999999</v>
      </c>
      <c r="E91" s="91">
        <v>1.034</v>
      </c>
      <c r="F91" s="92">
        <v>0.22</v>
      </c>
      <c r="G91" s="317">
        <v>4.1900000000000004</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2.8439999999999999</v>
      </c>
      <c r="E92" s="91">
        <v>1.034</v>
      </c>
      <c r="F92" s="92">
        <v>0.22</v>
      </c>
      <c r="G92" s="317">
        <v>3.38</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2.8439999999999999</v>
      </c>
      <c r="E93" s="91">
        <v>1.034</v>
      </c>
      <c r="F93" s="92">
        <v>0.22</v>
      </c>
      <c r="G93" s="317">
        <v>2.1</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2.8279999999999998</v>
      </c>
      <c r="E94" s="91">
        <v>1.018</v>
      </c>
      <c r="F94" s="92">
        <v>0.20399999999999999</v>
      </c>
      <c r="G94" s="317" t="s">
        <v>797</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2.8439999999999999</v>
      </c>
      <c r="E95" s="91">
        <v>1.034</v>
      </c>
      <c r="F95" s="92">
        <v>0.22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1.66</v>
      </c>
      <c r="E96" s="91">
        <v>0.57599999999999996</v>
      </c>
      <c r="F96" s="92">
        <v>0.13800000000000001</v>
      </c>
      <c r="G96" s="317">
        <v>9.61</v>
      </c>
      <c r="H96" s="317">
        <v>3.07</v>
      </c>
      <c r="I96" s="320">
        <v>3.07</v>
      </c>
      <c r="J96" s="25">
        <v>9.0999999999999998E-2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1.653</v>
      </c>
      <c r="E97" s="91">
        <v>0.56899999999999995</v>
      </c>
      <c r="F97" s="92">
        <v>0.13200000000000001</v>
      </c>
      <c r="G97" s="317" t="s">
        <v>797</v>
      </c>
      <c r="H97" s="317">
        <v>3.07</v>
      </c>
      <c r="I97" s="320">
        <v>3.07</v>
      </c>
      <c r="J97" s="25">
        <v>9.0999999999999998E-2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1.637</v>
      </c>
      <c r="E98" s="91">
        <v>0.55300000000000005</v>
      </c>
      <c r="F98" s="92">
        <v>0.11600000000000001</v>
      </c>
      <c r="G98" s="317" t="s">
        <v>797</v>
      </c>
      <c r="H98" s="317">
        <v>3.07</v>
      </c>
      <c r="I98" s="320">
        <v>3.07</v>
      </c>
      <c r="J98" s="25">
        <v>9.0999999999999998E-2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1.629</v>
      </c>
      <c r="E99" s="91">
        <v>0.54500000000000004</v>
      </c>
      <c r="F99" s="92">
        <v>0.108</v>
      </c>
      <c r="G99" s="317" t="s">
        <v>797</v>
      </c>
      <c r="H99" s="317">
        <v>3.07</v>
      </c>
      <c r="I99" s="320">
        <v>3.07</v>
      </c>
      <c r="J99" s="25">
        <v>9.0999999999999998E-2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1.6220000000000001</v>
      </c>
      <c r="E100" s="91">
        <v>0.53800000000000003</v>
      </c>
      <c r="F100" s="92">
        <v>0.1</v>
      </c>
      <c r="G100" s="317" t="s">
        <v>797</v>
      </c>
      <c r="H100" s="317">
        <v>3.07</v>
      </c>
      <c r="I100" s="320">
        <v>3.07</v>
      </c>
      <c r="J100" s="25">
        <v>9.0999999999999998E-2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1.0229999999999999</v>
      </c>
      <c r="E101" s="91">
        <v>0.27700000000000002</v>
      </c>
      <c r="F101" s="92">
        <v>0.111</v>
      </c>
      <c r="G101" s="317">
        <v>34.58</v>
      </c>
      <c r="H101" s="317">
        <v>5.71</v>
      </c>
      <c r="I101" s="320">
        <v>5.71</v>
      </c>
      <c r="J101" s="25">
        <v>0.05</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1.014</v>
      </c>
      <c r="E102" s="91">
        <v>0.26700000000000002</v>
      </c>
      <c r="F102" s="92">
        <v>0.10199999999999999</v>
      </c>
      <c r="G102" s="317">
        <v>20.71</v>
      </c>
      <c r="H102" s="317">
        <v>5.71</v>
      </c>
      <c r="I102" s="320">
        <v>5.71</v>
      </c>
      <c r="J102" s="25">
        <v>0.05</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0.99099999999999999</v>
      </c>
      <c r="E103" s="91">
        <v>0.24399999999999999</v>
      </c>
      <c r="F103" s="92">
        <v>7.9000000000000001E-2</v>
      </c>
      <c r="G103" s="317">
        <v>20.71</v>
      </c>
      <c r="H103" s="317">
        <v>5.71</v>
      </c>
      <c r="I103" s="320">
        <v>5.71</v>
      </c>
      <c r="J103" s="25">
        <v>0.05</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0.98</v>
      </c>
      <c r="E104" s="91">
        <v>0.23300000000000001</v>
      </c>
      <c r="F104" s="92">
        <v>6.8000000000000005E-2</v>
      </c>
      <c r="G104" s="317">
        <v>20.71</v>
      </c>
      <c r="H104" s="317">
        <v>5.71</v>
      </c>
      <c r="I104" s="320">
        <v>5.71</v>
      </c>
      <c r="J104" s="25">
        <v>0.05</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0.96899999999999997</v>
      </c>
      <c r="E105" s="91">
        <v>0.222</v>
      </c>
      <c r="F105" s="92">
        <v>5.7000000000000002E-2</v>
      </c>
      <c r="G105" s="317">
        <v>20.71</v>
      </c>
      <c r="H105" s="317">
        <v>5.71</v>
      </c>
      <c r="I105" s="320">
        <v>5.71</v>
      </c>
      <c r="J105" s="25">
        <v>0.05</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0.54800000000000004</v>
      </c>
      <c r="E106" s="91">
        <v>0.156</v>
      </c>
      <c r="F106" s="92">
        <v>0.1</v>
      </c>
      <c r="G106" s="317">
        <v>165.82</v>
      </c>
      <c r="H106" s="317">
        <v>6.62</v>
      </c>
      <c r="I106" s="320">
        <v>6.62</v>
      </c>
      <c r="J106" s="25">
        <v>3.2000000000000001E-2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0.54800000000000004</v>
      </c>
      <c r="E107" s="91">
        <v>0.156</v>
      </c>
      <c r="F107" s="92">
        <v>0.1</v>
      </c>
      <c r="G107" s="317">
        <v>90.16</v>
      </c>
      <c r="H107" s="317">
        <v>6.62</v>
      </c>
      <c r="I107" s="320">
        <v>6.62</v>
      </c>
      <c r="J107" s="25">
        <v>3.2000000000000001E-2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0.51700000000000002</v>
      </c>
      <c r="E108" s="91">
        <v>0.125</v>
      </c>
      <c r="F108" s="92">
        <v>6.9000000000000006E-2</v>
      </c>
      <c r="G108" s="317" t="s">
        <v>797</v>
      </c>
      <c r="H108" s="317">
        <v>6.62</v>
      </c>
      <c r="I108" s="320">
        <v>6.62</v>
      </c>
      <c r="J108" s="25">
        <v>3.2000000000000001E-2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0.5</v>
      </c>
      <c r="E109" s="91">
        <v>0.107</v>
      </c>
      <c r="F109" s="92">
        <v>5.0999999999999997E-2</v>
      </c>
      <c r="G109" s="317" t="s">
        <v>797</v>
      </c>
      <c r="H109" s="317">
        <v>6.62</v>
      </c>
      <c r="I109" s="320">
        <v>6.62</v>
      </c>
      <c r="J109" s="25">
        <v>3.2000000000000001E-2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0.49099999999999999</v>
      </c>
      <c r="E110" s="91">
        <v>9.9000000000000005E-2</v>
      </c>
      <c r="F110" s="92">
        <v>4.2999999999999997E-2</v>
      </c>
      <c r="G110" s="317" t="s">
        <v>797</v>
      </c>
      <c r="H110" s="317">
        <v>6.62</v>
      </c>
      <c r="I110" s="320">
        <v>6.62</v>
      </c>
      <c r="J110" s="25">
        <v>3.2000000000000001E-2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5.9450000000000003</v>
      </c>
      <c r="E111" s="94">
        <v>1.58</v>
      </c>
      <c r="F111" s="92">
        <v>0.93600000000000005</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2074</v>
      </c>
      <c r="D112" s="90">
        <v>-2.3199999999999998</v>
      </c>
      <c r="E112" s="91">
        <v>-0.84399999999999997</v>
      </c>
      <c r="F112" s="92">
        <v>-0.18</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2074</v>
      </c>
      <c r="D113" s="90">
        <v>-2.117</v>
      </c>
      <c r="E113" s="91">
        <v>-0.752</v>
      </c>
      <c r="F113" s="92">
        <v>-0.17</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-2.3199999999999998</v>
      </c>
      <c r="E114" s="91">
        <v>-0.84399999999999997</v>
      </c>
      <c r="F114" s="92">
        <v>-0.18</v>
      </c>
      <c r="G114" s="317" t="s">
        <v>797</v>
      </c>
      <c r="H114" s="318" t="s">
        <v>797</v>
      </c>
      <c r="I114" s="319" t="s">
        <v>797</v>
      </c>
      <c r="J114" s="25">
        <v>0.14899999999999999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-2.117</v>
      </c>
      <c r="E115" s="91">
        <v>-0.752</v>
      </c>
      <c r="F115" s="92">
        <v>-0.17</v>
      </c>
      <c r="G115" s="317" t="s">
        <v>797</v>
      </c>
      <c r="H115" s="318" t="s">
        <v>797</v>
      </c>
      <c r="I115" s="319" t="s">
        <v>797</v>
      </c>
      <c r="J115" s="25">
        <v>0.12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-2.0230000000000001</v>
      </c>
      <c r="E116" s="91">
        <v>-0.54700000000000004</v>
      </c>
      <c r="F116" s="92">
        <v>-0.22</v>
      </c>
      <c r="G116" s="317">
        <v>509.44</v>
      </c>
      <c r="H116" s="318" t="s">
        <v>797</v>
      </c>
      <c r="I116" s="319" t="s">
        <v>797</v>
      </c>
      <c r="J116" s="25">
        <v>0.221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0.97499999999999998</v>
      </c>
      <c r="E117" s="91">
        <v>0.35499999999999998</v>
      </c>
      <c r="F117" s="92">
        <v>7.5999999999999998E-2</v>
      </c>
      <c r="G117" s="317">
        <v>1.1399999999999999</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0.97499999999999998</v>
      </c>
      <c r="E118" s="91">
        <v>0.35499999999999998</v>
      </c>
      <c r="F118" s="92">
        <v>7.5999999999999998E-2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1.087</v>
      </c>
      <c r="E119" s="91">
        <v>0.39500000000000002</v>
      </c>
      <c r="F119" s="92">
        <v>8.4000000000000005E-2</v>
      </c>
      <c r="G119" s="317">
        <v>1.68</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1.087</v>
      </c>
      <c r="E120" s="91">
        <v>0.39500000000000002</v>
      </c>
      <c r="F120" s="92">
        <v>8.4000000000000005E-2</v>
      </c>
      <c r="G120" s="317">
        <v>1.6</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1.087</v>
      </c>
      <c r="E121" s="91">
        <v>0.39500000000000002</v>
      </c>
      <c r="F121" s="92">
        <v>8.4000000000000005E-2</v>
      </c>
      <c r="G121" s="317">
        <v>1.29</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1.087</v>
      </c>
      <c r="E122" s="91">
        <v>0.39500000000000002</v>
      </c>
      <c r="F122" s="92">
        <v>8.4000000000000005E-2</v>
      </c>
      <c r="G122" s="317">
        <v>0.8</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1.081</v>
      </c>
      <c r="E123" s="91">
        <v>0.38900000000000001</v>
      </c>
      <c r="F123" s="92">
        <v>7.8E-2</v>
      </c>
      <c r="G123" s="317" t="s">
        <v>797</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1.087</v>
      </c>
      <c r="E124" s="91">
        <v>0.39500000000000002</v>
      </c>
      <c r="F124" s="92">
        <v>8.4000000000000005E-2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0.63400000000000001</v>
      </c>
      <c r="E125" s="91">
        <v>0.22</v>
      </c>
      <c r="F125" s="92">
        <v>5.2999999999999999E-2</v>
      </c>
      <c r="G125" s="317">
        <v>3.67</v>
      </c>
      <c r="H125" s="317">
        <v>1.17</v>
      </c>
      <c r="I125" s="320">
        <v>1.17</v>
      </c>
      <c r="J125" s="25">
        <v>3.5000000000000003E-2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0.63200000000000001</v>
      </c>
      <c r="E126" s="91">
        <v>0.218</v>
      </c>
      <c r="F126" s="92">
        <v>0.05</v>
      </c>
      <c r="G126" s="317" t="s">
        <v>797</v>
      </c>
      <c r="H126" s="317">
        <v>1.17</v>
      </c>
      <c r="I126" s="320">
        <v>1.17</v>
      </c>
      <c r="J126" s="25">
        <v>3.5000000000000003E-2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0.626</v>
      </c>
      <c r="E127" s="91">
        <v>0.21099999999999999</v>
      </c>
      <c r="F127" s="92">
        <v>4.3999999999999997E-2</v>
      </c>
      <c r="G127" s="317" t="s">
        <v>797</v>
      </c>
      <c r="H127" s="317">
        <v>1.17</v>
      </c>
      <c r="I127" s="320">
        <v>1.17</v>
      </c>
      <c r="J127" s="25">
        <v>3.5000000000000003E-2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0.623</v>
      </c>
      <c r="E128" s="91">
        <v>0.20799999999999999</v>
      </c>
      <c r="F128" s="92">
        <v>4.1000000000000002E-2</v>
      </c>
      <c r="G128" s="317" t="s">
        <v>797</v>
      </c>
      <c r="H128" s="317">
        <v>1.17</v>
      </c>
      <c r="I128" s="320">
        <v>1.17</v>
      </c>
      <c r="J128" s="25">
        <v>3.5000000000000003E-2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0.62</v>
      </c>
      <c r="E129" s="91">
        <v>0.20599999999999999</v>
      </c>
      <c r="F129" s="92">
        <v>3.7999999999999999E-2</v>
      </c>
      <c r="G129" s="317" t="s">
        <v>797</v>
      </c>
      <c r="H129" s="317">
        <v>1.17</v>
      </c>
      <c r="I129" s="320">
        <v>1.17</v>
      </c>
      <c r="J129" s="25">
        <v>3.5000000000000003E-2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0.39100000000000001</v>
      </c>
      <c r="E130" s="91">
        <v>0.106</v>
      </c>
      <c r="F130" s="92">
        <v>4.2999999999999997E-2</v>
      </c>
      <c r="G130" s="317">
        <v>13.22</v>
      </c>
      <c r="H130" s="317">
        <v>2.1800000000000002</v>
      </c>
      <c r="I130" s="320">
        <v>2.1800000000000002</v>
      </c>
      <c r="J130" s="25">
        <v>1.9E-2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0.38800000000000001</v>
      </c>
      <c r="E131" s="91">
        <v>0.10199999999999999</v>
      </c>
      <c r="F131" s="92">
        <v>3.9E-2</v>
      </c>
      <c r="G131" s="317">
        <v>7.91</v>
      </c>
      <c r="H131" s="317">
        <v>2.1800000000000002</v>
      </c>
      <c r="I131" s="320">
        <v>2.1800000000000002</v>
      </c>
      <c r="J131" s="25">
        <v>1.9E-2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0.379</v>
      </c>
      <c r="E132" s="91">
        <v>9.2999999999999999E-2</v>
      </c>
      <c r="F132" s="92">
        <v>0.03</v>
      </c>
      <c r="G132" s="317">
        <v>7.91</v>
      </c>
      <c r="H132" s="317">
        <v>2.1800000000000002</v>
      </c>
      <c r="I132" s="320">
        <v>2.1800000000000002</v>
      </c>
      <c r="J132" s="25">
        <v>1.9E-2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0.374</v>
      </c>
      <c r="E133" s="91">
        <v>8.8999999999999996E-2</v>
      </c>
      <c r="F133" s="92">
        <v>2.5999999999999999E-2</v>
      </c>
      <c r="G133" s="317">
        <v>7.91</v>
      </c>
      <c r="H133" s="317">
        <v>2.1800000000000002</v>
      </c>
      <c r="I133" s="320">
        <v>2.1800000000000002</v>
      </c>
      <c r="J133" s="25">
        <v>1.9E-2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0.37</v>
      </c>
      <c r="E134" s="91">
        <v>8.5000000000000006E-2</v>
      </c>
      <c r="F134" s="92">
        <v>2.1999999999999999E-2</v>
      </c>
      <c r="G134" s="317">
        <v>7.91</v>
      </c>
      <c r="H134" s="317">
        <v>2.1800000000000002</v>
      </c>
      <c r="I134" s="320">
        <v>2.1800000000000002</v>
      </c>
      <c r="J134" s="25">
        <v>1.9E-2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0.20899999999999999</v>
      </c>
      <c r="E135" s="91">
        <v>0.06</v>
      </c>
      <c r="F135" s="92">
        <v>3.7999999999999999E-2</v>
      </c>
      <c r="G135" s="317">
        <v>63.38</v>
      </c>
      <c r="H135" s="317">
        <v>2.5299999999999998</v>
      </c>
      <c r="I135" s="320">
        <v>2.5299999999999998</v>
      </c>
      <c r="J135" s="25">
        <v>1.2E-2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0.20899999999999999</v>
      </c>
      <c r="E136" s="91">
        <v>0.06</v>
      </c>
      <c r="F136" s="92">
        <v>3.7999999999999999E-2</v>
      </c>
      <c r="G136" s="317">
        <v>34.46</v>
      </c>
      <c r="H136" s="317">
        <v>2.5299999999999998</v>
      </c>
      <c r="I136" s="320">
        <v>2.5299999999999998</v>
      </c>
      <c r="J136" s="25">
        <v>1.2E-2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0.19800000000000001</v>
      </c>
      <c r="E137" s="91">
        <v>4.8000000000000001E-2</v>
      </c>
      <c r="F137" s="92">
        <v>2.5999999999999999E-2</v>
      </c>
      <c r="G137" s="317" t="s">
        <v>797</v>
      </c>
      <c r="H137" s="317">
        <v>2.5299999999999998</v>
      </c>
      <c r="I137" s="320">
        <v>2.5299999999999998</v>
      </c>
      <c r="J137" s="25">
        <v>1.2E-2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0.191</v>
      </c>
      <c r="E138" s="91">
        <v>4.1000000000000002E-2</v>
      </c>
      <c r="F138" s="92">
        <v>0.02</v>
      </c>
      <c r="G138" s="317" t="s">
        <v>797</v>
      </c>
      <c r="H138" s="317">
        <v>2.5299999999999998</v>
      </c>
      <c r="I138" s="320">
        <v>2.5299999999999998</v>
      </c>
      <c r="J138" s="25">
        <v>1.2E-2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0.188</v>
      </c>
      <c r="E139" s="91">
        <v>3.7999999999999999E-2</v>
      </c>
      <c r="F139" s="92">
        <v>1.6E-2</v>
      </c>
      <c r="G139" s="317" t="s">
        <v>797</v>
      </c>
      <c r="H139" s="317">
        <v>2.5299999999999998</v>
      </c>
      <c r="I139" s="320">
        <v>2.5299999999999998</v>
      </c>
      <c r="J139" s="25">
        <v>1.2E-2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804</v>
      </c>
      <c r="D140" s="93">
        <v>2.2719999999999998</v>
      </c>
      <c r="E140" s="94">
        <v>0.60399999999999998</v>
      </c>
      <c r="F140" s="92">
        <v>0.35799999999999998</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2074</v>
      </c>
      <c r="D141" s="90">
        <v>-0.88700000000000001</v>
      </c>
      <c r="E141" s="91">
        <v>-0.32200000000000001</v>
      </c>
      <c r="F141" s="92">
        <v>-6.9000000000000006E-2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2074</v>
      </c>
      <c r="D142" s="90">
        <v>-0.80900000000000005</v>
      </c>
      <c r="E142" s="91">
        <v>-0.28799999999999998</v>
      </c>
      <c r="F142" s="92">
        <v>-6.5000000000000002E-2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-0.88700000000000001</v>
      </c>
      <c r="E143" s="91">
        <v>-0.32200000000000001</v>
      </c>
      <c r="F143" s="92">
        <v>-6.9000000000000006E-2</v>
      </c>
      <c r="G143" s="317" t="s">
        <v>797</v>
      </c>
      <c r="H143" s="318" t="s">
        <v>797</v>
      </c>
      <c r="I143" s="319" t="s">
        <v>797</v>
      </c>
      <c r="J143" s="25">
        <v>5.7000000000000002E-2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-0.80900000000000005</v>
      </c>
      <c r="E144" s="91">
        <v>-0.28799999999999998</v>
      </c>
      <c r="F144" s="92">
        <v>-6.5000000000000002E-2</v>
      </c>
      <c r="G144" s="317" t="s">
        <v>797</v>
      </c>
      <c r="H144" s="318" t="s">
        <v>797</v>
      </c>
      <c r="I144" s="319" t="s">
        <v>797</v>
      </c>
      <c r="J144" s="25">
        <v>4.5999999999999999E-2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-0.77300000000000002</v>
      </c>
      <c r="E145" s="91">
        <v>-0.20899999999999999</v>
      </c>
      <c r="F145" s="92">
        <v>-8.4000000000000005E-2</v>
      </c>
      <c r="G145" s="317">
        <v>194.71</v>
      </c>
      <c r="H145" s="318" t="s">
        <v>797</v>
      </c>
      <c r="I145" s="319" t="s">
        <v>797</v>
      </c>
      <c r="J145" s="25">
        <v>8.5000000000000006E-2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0.82899999999999996</v>
      </c>
      <c r="E146" s="91">
        <v>0.30099999999999999</v>
      </c>
      <c r="F146" s="92">
        <v>6.4000000000000001E-2</v>
      </c>
      <c r="G146" s="317">
        <v>0.97</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0.82899999999999996</v>
      </c>
      <c r="E147" s="91">
        <v>0.30099999999999999</v>
      </c>
      <c r="F147" s="92">
        <v>6.4000000000000001E-2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0.92300000000000004</v>
      </c>
      <c r="E148" s="91">
        <v>0.33600000000000002</v>
      </c>
      <c r="F148" s="92">
        <v>7.1999999999999995E-2</v>
      </c>
      <c r="G148" s="317">
        <v>1.42</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0.92300000000000004</v>
      </c>
      <c r="E149" s="91">
        <v>0.33600000000000002</v>
      </c>
      <c r="F149" s="92">
        <v>7.1999999999999995E-2</v>
      </c>
      <c r="G149" s="317">
        <v>1.36</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0.92300000000000004</v>
      </c>
      <c r="E150" s="91">
        <v>0.33600000000000002</v>
      </c>
      <c r="F150" s="92">
        <v>7.1999999999999995E-2</v>
      </c>
      <c r="G150" s="317">
        <v>1.1000000000000001</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0.92300000000000004</v>
      </c>
      <c r="E151" s="91">
        <v>0.33600000000000002</v>
      </c>
      <c r="F151" s="92">
        <v>7.1999999999999995E-2</v>
      </c>
      <c r="G151" s="317">
        <v>0.68</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0.91800000000000004</v>
      </c>
      <c r="E152" s="91">
        <v>0.33100000000000002</v>
      </c>
      <c r="F152" s="92">
        <v>6.6000000000000003E-2</v>
      </c>
      <c r="G152" s="317" t="s">
        <v>797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0.92300000000000004</v>
      </c>
      <c r="E153" s="91">
        <v>0.33600000000000002</v>
      </c>
      <c r="F153" s="92">
        <v>7.1999999999999995E-2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0.53900000000000003</v>
      </c>
      <c r="E154" s="91">
        <v>0.187</v>
      </c>
      <c r="F154" s="92">
        <v>4.4999999999999998E-2</v>
      </c>
      <c r="G154" s="317">
        <v>3.12</v>
      </c>
      <c r="H154" s="317">
        <v>1</v>
      </c>
      <c r="I154" s="320">
        <v>1</v>
      </c>
      <c r="J154" s="25">
        <v>2.9000000000000001E-2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0.53700000000000003</v>
      </c>
      <c r="E155" s="91">
        <v>0.185</v>
      </c>
      <c r="F155" s="92">
        <v>4.2999999999999997E-2</v>
      </c>
      <c r="G155" s="317" t="s">
        <v>797</v>
      </c>
      <c r="H155" s="317">
        <v>1</v>
      </c>
      <c r="I155" s="320">
        <v>1</v>
      </c>
      <c r="J155" s="25">
        <v>2.9000000000000001E-2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0.53200000000000003</v>
      </c>
      <c r="E156" s="91">
        <v>0.18</v>
      </c>
      <c r="F156" s="92">
        <v>3.7999999999999999E-2</v>
      </c>
      <c r="G156" s="317" t="s">
        <v>797</v>
      </c>
      <c r="H156" s="317">
        <v>1</v>
      </c>
      <c r="I156" s="320">
        <v>1</v>
      </c>
      <c r="J156" s="25">
        <v>2.9000000000000001E-2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0.52900000000000003</v>
      </c>
      <c r="E157" s="91">
        <v>0.17699999999999999</v>
      </c>
      <c r="F157" s="92">
        <v>3.5000000000000003E-2</v>
      </c>
      <c r="G157" s="317" t="s">
        <v>797</v>
      </c>
      <c r="H157" s="317">
        <v>1</v>
      </c>
      <c r="I157" s="320">
        <v>1</v>
      </c>
      <c r="J157" s="25">
        <v>2.9000000000000001E-2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0.52700000000000002</v>
      </c>
      <c r="E158" s="91">
        <v>0.17499999999999999</v>
      </c>
      <c r="F158" s="92">
        <v>3.3000000000000002E-2</v>
      </c>
      <c r="G158" s="317" t="s">
        <v>797</v>
      </c>
      <c r="H158" s="317">
        <v>1</v>
      </c>
      <c r="I158" s="320">
        <v>1</v>
      </c>
      <c r="J158" s="25">
        <v>2.9000000000000001E-2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0.33200000000000002</v>
      </c>
      <c r="E159" s="91">
        <v>0.09</v>
      </c>
      <c r="F159" s="92">
        <v>3.5999999999999997E-2</v>
      </c>
      <c r="G159" s="317">
        <v>11.23</v>
      </c>
      <c r="H159" s="317">
        <v>1.85</v>
      </c>
      <c r="I159" s="320">
        <v>1.85</v>
      </c>
      <c r="J159" s="25">
        <v>1.6E-2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0.32900000000000001</v>
      </c>
      <c r="E160" s="91">
        <v>8.6999999999999994E-2</v>
      </c>
      <c r="F160" s="92">
        <v>3.3000000000000002E-2</v>
      </c>
      <c r="G160" s="317">
        <v>6.72</v>
      </c>
      <c r="H160" s="317">
        <v>1.85</v>
      </c>
      <c r="I160" s="320">
        <v>1.85</v>
      </c>
      <c r="J160" s="25">
        <v>1.6E-2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0.32200000000000001</v>
      </c>
      <c r="E161" s="91">
        <v>7.9000000000000001E-2</v>
      </c>
      <c r="F161" s="92">
        <v>2.5999999999999999E-2</v>
      </c>
      <c r="G161" s="317">
        <v>6.72</v>
      </c>
      <c r="H161" s="317">
        <v>1.85</v>
      </c>
      <c r="I161" s="320">
        <v>1.85</v>
      </c>
      <c r="J161" s="25">
        <v>1.6E-2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0.318</v>
      </c>
      <c r="E162" s="91">
        <v>7.5999999999999998E-2</v>
      </c>
      <c r="F162" s="92">
        <v>2.1999999999999999E-2</v>
      </c>
      <c r="G162" s="317">
        <v>6.72</v>
      </c>
      <c r="H162" s="317">
        <v>1.85</v>
      </c>
      <c r="I162" s="320">
        <v>1.85</v>
      </c>
      <c r="J162" s="25">
        <v>1.6E-2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0.315</v>
      </c>
      <c r="E163" s="91">
        <v>7.1999999999999995E-2</v>
      </c>
      <c r="F163" s="92">
        <v>1.7999999999999999E-2</v>
      </c>
      <c r="G163" s="317">
        <v>6.72</v>
      </c>
      <c r="H163" s="317">
        <v>1.85</v>
      </c>
      <c r="I163" s="320">
        <v>1.85</v>
      </c>
      <c r="J163" s="25">
        <v>1.6E-2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0.17799999999999999</v>
      </c>
      <c r="E164" s="91">
        <v>5.0999999999999997E-2</v>
      </c>
      <c r="F164" s="92">
        <v>3.2000000000000001E-2</v>
      </c>
      <c r="G164" s="317">
        <v>53.84</v>
      </c>
      <c r="H164" s="317">
        <v>2.15</v>
      </c>
      <c r="I164" s="320">
        <v>2.15</v>
      </c>
      <c r="J164" s="25">
        <v>0.01</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0.17799999999999999</v>
      </c>
      <c r="E165" s="91">
        <v>5.0999999999999997E-2</v>
      </c>
      <c r="F165" s="92">
        <v>3.2000000000000001E-2</v>
      </c>
      <c r="G165" s="317">
        <v>29.27</v>
      </c>
      <c r="H165" s="317">
        <v>2.15</v>
      </c>
      <c r="I165" s="320">
        <v>2.15</v>
      </c>
      <c r="J165" s="25">
        <v>0.01</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0.16800000000000001</v>
      </c>
      <c r="E166" s="91">
        <v>4.1000000000000002E-2</v>
      </c>
      <c r="F166" s="92">
        <v>2.1999999999999999E-2</v>
      </c>
      <c r="G166" s="317" t="s">
        <v>797</v>
      </c>
      <c r="H166" s="317">
        <v>2.15</v>
      </c>
      <c r="I166" s="320">
        <v>2.15</v>
      </c>
      <c r="J166" s="25">
        <v>0.01</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0.16200000000000001</v>
      </c>
      <c r="E167" s="91">
        <v>3.5000000000000003E-2</v>
      </c>
      <c r="F167" s="92">
        <v>1.7000000000000001E-2</v>
      </c>
      <c r="G167" s="317" t="s">
        <v>797</v>
      </c>
      <c r="H167" s="317">
        <v>2.15</v>
      </c>
      <c r="I167" s="320">
        <v>2.15</v>
      </c>
      <c r="J167" s="25">
        <v>0.01</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0.159</v>
      </c>
      <c r="E168" s="91">
        <v>3.2000000000000001E-2</v>
      </c>
      <c r="F168" s="92">
        <v>1.4E-2</v>
      </c>
      <c r="G168" s="317" t="s">
        <v>797</v>
      </c>
      <c r="H168" s="317">
        <v>2.15</v>
      </c>
      <c r="I168" s="320">
        <v>2.15</v>
      </c>
      <c r="J168" s="25">
        <v>0.01</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1.93</v>
      </c>
      <c r="E169" s="94">
        <v>0.51300000000000001</v>
      </c>
      <c r="F169" s="92">
        <v>0.30399999999999999</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2074</v>
      </c>
      <c r="D170" s="90">
        <v>-0.753</v>
      </c>
      <c r="E170" s="91">
        <v>-0.27400000000000002</v>
      </c>
      <c r="F170" s="92">
        <v>-5.8000000000000003E-2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2074</v>
      </c>
      <c r="D171" s="90">
        <v>-0.68700000000000006</v>
      </c>
      <c r="E171" s="91">
        <v>-0.24399999999999999</v>
      </c>
      <c r="F171" s="92">
        <v>-5.5E-2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-0.753</v>
      </c>
      <c r="E172" s="91">
        <v>-0.27400000000000002</v>
      </c>
      <c r="F172" s="92">
        <v>-5.8000000000000003E-2</v>
      </c>
      <c r="G172" s="317" t="s">
        <v>797</v>
      </c>
      <c r="H172" s="318" t="s">
        <v>797</v>
      </c>
      <c r="I172" s="319" t="s">
        <v>797</v>
      </c>
      <c r="J172" s="25">
        <v>4.8000000000000001E-2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-0.68700000000000006</v>
      </c>
      <c r="E173" s="91">
        <v>-0.24399999999999999</v>
      </c>
      <c r="F173" s="92">
        <v>-5.5E-2</v>
      </c>
      <c r="G173" s="317" t="s">
        <v>797</v>
      </c>
      <c r="H173" s="318" t="s">
        <v>797</v>
      </c>
      <c r="I173" s="319" t="s">
        <v>797</v>
      </c>
      <c r="J173" s="25">
        <v>3.9E-2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-0.65700000000000003</v>
      </c>
      <c r="E174" s="91">
        <v>-0.17799999999999999</v>
      </c>
      <c r="F174" s="92">
        <v>-7.1999999999999995E-2</v>
      </c>
      <c r="G174" s="317">
        <v>165.41</v>
      </c>
      <c r="H174" s="318" t="s">
        <v>797</v>
      </c>
      <c r="I174" s="319" t="s">
        <v>797</v>
      </c>
      <c r="J174" s="25">
        <v>7.1999999999999995E-2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0.82899999999999996</v>
      </c>
      <c r="E175" s="91">
        <v>0.30099999999999999</v>
      </c>
      <c r="F175" s="92">
        <v>6.4000000000000001E-2</v>
      </c>
      <c r="G175" s="317">
        <v>0.97</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0.82899999999999996</v>
      </c>
      <c r="E176" s="91">
        <v>0.30099999999999999</v>
      </c>
      <c r="F176" s="92">
        <v>6.4000000000000001E-2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0.92300000000000004</v>
      </c>
      <c r="E177" s="91">
        <v>0.33600000000000002</v>
      </c>
      <c r="F177" s="92">
        <v>7.1999999999999995E-2</v>
      </c>
      <c r="G177" s="317">
        <v>1.42</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0.92300000000000004</v>
      </c>
      <c r="E178" s="91">
        <v>0.33600000000000002</v>
      </c>
      <c r="F178" s="92">
        <v>7.1999999999999995E-2</v>
      </c>
      <c r="G178" s="317">
        <v>1.36</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0.92300000000000004</v>
      </c>
      <c r="E179" s="91">
        <v>0.33600000000000002</v>
      </c>
      <c r="F179" s="92">
        <v>7.1999999999999995E-2</v>
      </c>
      <c r="G179" s="317">
        <v>1.1000000000000001</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0.92300000000000004</v>
      </c>
      <c r="E180" s="91">
        <v>0.33600000000000002</v>
      </c>
      <c r="F180" s="92">
        <v>7.1999999999999995E-2</v>
      </c>
      <c r="G180" s="317">
        <v>0.68</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0.91800000000000004</v>
      </c>
      <c r="E181" s="91">
        <v>0.33100000000000002</v>
      </c>
      <c r="F181" s="92">
        <v>6.6000000000000003E-2</v>
      </c>
      <c r="G181" s="317" t="s">
        <v>797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0.92300000000000004</v>
      </c>
      <c r="E182" s="91">
        <v>0.33600000000000002</v>
      </c>
      <c r="F182" s="92">
        <v>7.1999999999999995E-2</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0.53900000000000003</v>
      </c>
      <c r="E183" s="91">
        <v>0.187</v>
      </c>
      <c r="F183" s="92">
        <v>4.4999999999999998E-2</v>
      </c>
      <c r="G183" s="317">
        <v>3.12</v>
      </c>
      <c r="H183" s="317">
        <v>1</v>
      </c>
      <c r="I183" s="320">
        <v>1</v>
      </c>
      <c r="J183" s="25">
        <v>2.9000000000000001E-2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0.53700000000000003</v>
      </c>
      <c r="E184" s="91">
        <v>0.185</v>
      </c>
      <c r="F184" s="92">
        <v>4.2999999999999997E-2</v>
      </c>
      <c r="G184" s="317" t="s">
        <v>797</v>
      </c>
      <c r="H184" s="317">
        <v>1</v>
      </c>
      <c r="I184" s="320">
        <v>1</v>
      </c>
      <c r="J184" s="25">
        <v>2.9000000000000001E-2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0.53200000000000003</v>
      </c>
      <c r="E185" s="91">
        <v>0.18</v>
      </c>
      <c r="F185" s="92">
        <v>3.7999999999999999E-2</v>
      </c>
      <c r="G185" s="317" t="s">
        <v>797</v>
      </c>
      <c r="H185" s="317">
        <v>1</v>
      </c>
      <c r="I185" s="320">
        <v>1</v>
      </c>
      <c r="J185" s="25">
        <v>2.9000000000000001E-2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0.52900000000000003</v>
      </c>
      <c r="E186" s="91">
        <v>0.17699999999999999</v>
      </c>
      <c r="F186" s="92">
        <v>3.5000000000000003E-2</v>
      </c>
      <c r="G186" s="317" t="s">
        <v>797</v>
      </c>
      <c r="H186" s="317">
        <v>1</v>
      </c>
      <c r="I186" s="320">
        <v>1</v>
      </c>
      <c r="J186" s="25">
        <v>2.9000000000000001E-2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0.52700000000000002</v>
      </c>
      <c r="E187" s="91">
        <v>0.17499999999999999</v>
      </c>
      <c r="F187" s="92">
        <v>3.3000000000000002E-2</v>
      </c>
      <c r="G187" s="317" t="s">
        <v>797</v>
      </c>
      <c r="H187" s="317">
        <v>1</v>
      </c>
      <c r="I187" s="320">
        <v>1</v>
      </c>
      <c r="J187" s="25">
        <v>2.9000000000000001E-2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0.33200000000000002</v>
      </c>
      <c r="E188" s="91">
        <v>0.09</v>
      </c>
      <c r="F188" s="92">
        <v>3.5999999999999997E-2</v>
      </c>
      <c r="G188" s="317">
        <v>11.23</v>
      </c>
      <c r="H188" s="317">
        <v>1.85</v>
      </c>
      <c r="I188" s="320">
        <v>1.85</v>
      </c>
      <c r="J188" s="25">
        <v>1.6E-2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0.32900000000000001</v>
      </c>
      <c r="E189" s="91">
        <v>8.6999999999999994E-2</v>
      </c>
      <c r="F189" s="92">
        <v>3.3000000000000002E-2</v>
      </c>
      <c r="G189" s="317">
        <v>6.72</v>
      </c>
      <c r="H189" s="317">
        <v>1.85</v>
      </c>
      <c r="I189" s="320">
        <v>1.85</v>
      </c>
      <c r="J189" s="25">
        <v>1.6E-2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0.32200000000000001</v>
      </c>
      <c r="E190" s="91">
        <v>7.9000000000000001E-2</v>
      </c>
      <c r="F190" s="92">
        <v>2.5999999999999999E-2</v>
      </c>
      <c r="G190" s="317">
        <v>6.72</v>
      </c>
      <c r="H190" s="317">
        <v>1.85</v>
      </c>
      <c r="I190" s="320">
        <v>1.85</v>
      </c>
      <c r="J190" s="25">
        <v>1.6E-2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0.318</v>
      </c>
      <c r="E191" s="91">
        <v>7.5999999999999998E-2</v>
      </c>
      <c r="F191" s="92">
        <v>2.1999999999999999E-2</v>
      </c>
      <c r="G191" s="317">
        <v>6.72</v>
      </c>
      <c r="H191" s="317">
        <v>1.85</v>
      </c>
      <c r="I191" s="320">
        <v>1.85</v>
      </c>
      <c r="J191" s="25">
        <v>1.6E-2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0.315</v>
      </c>
      <c r="E192" s="91">
        <v>7.1999999999999995E-2</v>
      </c>
      <c r="F192" s="92">
        <v>1.7999999999999999E-2</v>
      </c>
      <c r="G192" s="317">
        <v>6.72</v>
      </c>
      <c r="H192" s="317">
        <v>1.85</v>
      </c>
      <c r="I192" s="320">
        <v>1.85</v>
      </c>
      <c r="J192" s="25">
        <v>1.6E-2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0.17799999999999999</v>
      </c>
      <c r="E193" s="91">
        <v>5.0999999999999997E-2</v>
      </c>
      <c r="F193" s="92">
        <v>3.2000000000000001E-2</v>
      </c>
      <c r="G193" s="317">
        <v>53.84</v>
      </c>
      <c r="H193" s="317">
        <v>2.15</v>
      </c>
      <c r="I193" s="320">
        <v>2.15</v>
      </c>
      <c r="J193" s="25">
        <v>0.01</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0.17799999999999999</v>
      </c>
      <c r="E194" s="91">
        <v>5.0999999999999997E-2</v>
      </c>
      <c r="F194" s="92">
        <v>3.2000000000000001E-2</v>
      </c>
      <c r="G194" s="317">
        <v>29.27</v>
      </c>
      <c r="H194" s="317">
        <v>2.15</v>
      </c>
      <c r="I194" s="320">
        <v>2.15</v>
      </c>
      <c r="J194" s="25">
        <v>0.01</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0.16800000000000001</v>
      </c>
      <c r="E195" s="91">
        <v>4.1000000000000002E-2</v>
      </c>
      <c r="F195" s="92">
        <v>2.1999999999999999E-2</v>
      </c>
      <c r="G195" s="317" t="s">
        <v>797</v>
      </c>
      <c r="H195" s="317">
        <v>2.15</v>
      </c>
      <c r="I195" s="320">
        <v>2.15</v>
      </c>
      <c r="J195" s="25">
        <v>0.01</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0.16200000000000001</v>
      </c>
      <c r="E196" s="91">
        <v>3.5000000000000003E-2</v>
      </c>
      <c r="F196" s="92">
        <v>1.7000000000000001E-2</v>
      </c>
      <c r="G196" s="317" t="s">
        <v>797</v>
      </c>
      <c r="H196" s="317">
        <v>2.15</v>
      </c>
      <c r="I196" s="320">
        <v>2.15</v>
      </c>
      <c r="J196" s="25">
        <v>0.01</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0.159</v>
      </c>
      <c r="E197" s="91">
        <v>3.2000000000000001E-2</v>
      </c>
      <c r="F197" s="92">
        <v>1.4E-2</v>
      </c>
      <c r="G197" s="317" t="s">
        <v>797</v>
      </c>
      <c r="H197" s="317">
        <v>2.15</v>
      </c>
      <c r="I197" s="320">
        <v>2.15</v>
      </c>
      <c r="J197" s="25">
        <v>0.01</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1.93</v>
      </c>
      <c r="E198" s="94">
        <v>0.51300000000000001</v>
      </c>
      <c r="F198" s="92">
        <v>0.30399999999999999</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2074</v>
      </c>
      <c r="D199" s="90">
        <v>-0.753</v>
      </c>
      <c r="E199" s="91">
        <v>-0.27400000000000002</v>
      </c>
      <c r="F199" s="92">
        <v>-5.8000000000000003E-2</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2074</v>
      </c>
      <c r="D200" s="90">
        <v>-0.68700000000000006</v>
      </c>
      <c r="E200" s="91">
        <v>-0.24399999999999999</v>
      </c>
      <c r="F200" s="92">
        <v>-5.5E-2</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-0.753</v>
      </c>
      <c r="E201" s="91">
        <v>-0.27400000000000002</v>
      </c>
      <c r="F201" s="92">
        <v>-5.8000000000000003E-2</v>
      </c>
      <c r="G201" s="317" t="s">
        <v>797</v>
      </c>
      <c r="H201" s="318" t="s">
        <v>797</v>
      </c>
      <c r="I201" s="319" t="s">
        <v>797</v>
      </c>
      <c r="J201" s="25">
        <v>4.8000000000000001E-2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-0.68700000000000006</v>
      </c>
      <c r="E202" s="91">
        <v>-0.24399999999999999</v>
      </c>
      <c r="F202" s="92">
        <v>-5.5E-2</v>
      </c>
      <c r="G202" s="317" t="s">
        <v>797</v>
      </c>
      <c r="H202" s="318" t="s">
        <v>797</v>
      </c>
      <c r="I202" s="319" t="s">
        <v>797</v>
      </c>
      <c r="J202" s="25">
        <v>3.9E-2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-0.65700000000000003</v>
      </c>
      <c r="E203" s="91">
        <v>-0.17799999999999999</v>
      </c>
      <c r="F203" s="92">
        <v>-7.1999999999999995E-2</v>
      </c>
      <c r="G203" s="317">
        <v>165.41</v>
      </c>
      <c r="H203" s="318" t="s">
        <v>797</v>
      </c>
      <c r="I203" s="319" t="s">
        <v>797</v>
      </c>
      <c r="J203" s="25">
        <v>7.1999999999999995E-2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B10:D10"/>
    <mergeCell ref="F10:G10"/>
    <mergeCell ref="H10:J10"/>
    <mergeCell ref="A2:J2"/>
    <mergeCell ref="A4:D4"/>
    <mergeCell ref="F4:J4"/>
    <mergeCell ref="F5:G5"/>
    <mergeCell ref="F6:G6"/>
    <mergeCell ref="F7:G7"/>
    <mergeCell ref="M4:S5"/>
    <mergeCell ref="B1:D1"/>
    <mergeCell ref="F1:H1"/>
    <mergeCell ref="F8:G8"/>
    <mergeCell ref="F9:G9"/>
  </mergeCells>
  <conditionalFormatting sqref="K14:Q203">
    <cfRule type="cellIs" dxfId="26" priority="2" operator="equal">
      <formula>0</formula>
    </cfRule>
    <cfRule type="cellIs" dxfId="25" priority="3" operator="lessThan">
      <formula>0</formula>
    </cfRule>
    <cfRule type="cellIs" dxfId="24" priority="4" operator="greaterThan">
      <formula>0</formula>
    </cfRule>
  </conditionalFormatting>
  <conditionalFormatting sqref="K14:R203">
    <cfRule type="expression" dxfId="23" priority="1">
      <formula>$K14&lt;&gt;""</formula>
    </cfRule>
  </conditionalFormatting>
  <hyperlinks>
    <hyperlink ref="A1" location="Overview!A1" display="Back to Overview" xr:uid="{FD1B8858-BD58-4A64-AE60-D6F26F82D094}"/>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31"/>
  <sheetViews>
    <sheetView zoomScale="70" zoomScaleNormal="70" workbookViewId="0"/>
  </sheetViews>
  <sheetFormatPr defaultColWidth="9.140625" defaultRowHeight="12.75" x14ac:dyDescent="0.2"/>
  <cols>
    <col min="1" max="1" width="21" style="22" customWidth="1"/>
    <col min="2" max="2" width="3.7109375" style="22" customWidth="1"/>
    <col min="3" max="7" width="24" style="22" customWidth="1"/>
    <col min="8" max="8" width="32.7109375" style="22" customWidth="1"/>
    <col min="9" max="10" width="9.140625" style="22"/>
    <col min="11" max="11" width="40.28515625" style="22" customWidth="1"/>
    <col min="12" max="16384" width="9.140625" style="22"/>
  </cols>
  <sheetData>
    <row r="1" spans="1:8" ht="27.75" customHeight="1" x14ac:dyDescent="0.2">
      <c r="A1" s="31" t="s">
        <v>19</v>
      </c>
    </row>
    <row r="2" spans="1:8" ht="39.950000000000003" customHeight="1" x14ac:dyDescent="0.2">
      <c r="A2" s="495" t="s">
        <v>475</v>
      </c>
      <c r="B2" s="495"/>
      <c r="C2" s="495"/>
      <c r="D2" s="495"/>
      <c r="E2" s="495"/>
      <c r="F2" s="495"/>
    </row>
    <row r="3" spans="1:8" ht="47.25" customHeight="1" x14ac:dyDescent="0.2">
      <c r="A3" s="396" t="str">
        <f>Overview!B4&amp;" - Illustrative LLFs in UKPN EPN Area (GSP Group_A) for year beginning "&amp;TEXT(Overview!$D$4,"d mmmm yyyy")&amp;""</f>
        <v>Leep Electricity Networks Limited - Illustrative LLFs in UKPN EPN Area (GSP Group_A) for year beginning 1 April 2027</v>
      </c>
      <c r="B3" s="432"/>
      <c r="C3" s="432"/>
      <c r="D3" s="432"/>
      <c r="E3" s="432"/>
      <c r="F3" s="432"/>
      <c r="G3" s="433"/>
      <c r="H3" s="98"/>
    </row>
    <row r="4" spans="1:8" ht="19.5" customHeight="1" x14ac:dyDescent="0.2">
      <c r="A4" s="498" t="s">
        <v>13</v>
      </c>
      <c r="B4" s="499"/>
      <c r="C4" s="12" t="s">
        <v>5</v>
      </c>
      <c r="D4" s="12" t="s">
        <v>6</v>
      </c>
      <c r="E4" s="12" t="s">
        <v>7</v>
      </c>
      <c r="F4" s="12" t="s">
        <v>8</v>
      </c>
      <c r="G4" s="12" t="s">
        <v>382</v>
      </c>
      <c r="H4" s="98"/>
    </row>
    <row r="5" spans="1:8" ht="42.75" customHeight="1" x14ac:dyDescent="0.2">
      <c r="A5" s="500"/>
      <c r="B5" s="501"/>
      <c r="C5" s="12" t="s">
        <v>5</v>
      </c>
      <c r="D5" s="12" t="s">
        <v>6</v>
      </c>
      <c r="E5" s="12" t="s">
        <v>7</v>
      </c>
      <c r="F5" s="12" t="s">
        <v>8</v>
      </c>
      <c r="G5" s="12" t="s">
        <v>382</v>
      </c>
      <c r="H5" s="98"/>
    </row>
    <row r="6" spans="1:8" ht="45" customHeight="1" x14ac:dyDescent="0.2">
      <c r="A6" s="502">
        <v>0</v>
      </c>
      <c r="B6" s="503"/>
      <c r="C6" s="305" t="s">
        <v>806</v>
      </c>
      <c r="D6" s="305" t="s">
        <v>807</v>
      </c>
      <c r="E6" s="305" t="s">
        <v>808</v>
      </c>
      <c r="F6" s="305" t="s">
        <v>809</v>
      </c>
      <c r="G6" s="305" t="s">
        <v>810</v>
      </c>
      <c r="H6" s="98"/>
    </row>
    <row r="7" spans="1:8" ht="45" customHeight="1" x14ac:dyDescent="0.2">
      <c r="A7" s="502" t="s">
        <v>811</v>
      </c>
      <c r="B7" s="503"/>
      <c r="C7" s="305" t="s">
        <v>812</v>
      </c>
      <c r="D7" s="305" t="s">
        <v>797</v>
      </c>
      <c r="E7" s="305" t="s">
        <v>813</v>
      </c>
      <c r="F7" s="305" t="s">
        <v>797</v>
      </c>
      <c r="G7" s="305" t="s">
        <v>797</v>
      </c>
      <c r="H7" s="98"/>
    </row>
    <row r="8" spans="1:8" ht="45" customHeight="1" x14ac:dyDescent="0.2">
      <c r="A8" s="502" t="s">
        <v>814</v>
      </c>
      <c r="B8" s="503"/>
      <c r="C8" s="305" t="s">
        <v>797</v>
      </c>
      <c r="D8" s="305" t="s">
        <v>815</v>
      </c>
      <c r="E8" s="305" t="s">
        <v>797</v>
      </c>
      <c r="F8" s="305" t="s">
        <v>797</v>
      </c>
      <c r="G8" s="305" t="s">
        <v>797</v>
      </c>
      <c r="H8" s="98"/>
    </row>
    <row r="9" spans="1:8" ht="45" customHeight="1" x14ac:dyDescent="0.2">
      <c r="A9" s="502" t="s">
        <v>816</v>
      </c>
      <c r="B9" s="503"/>
      <c r="C9" s="305" t="s">
        <v>797</v>
      </c>
      <c r="D9" s="305" t="s">
        <v>797</v>
      </c>
      <c r="E9" s="305" t="s">
        <v>815</v>
      </c>
      <c r="F9" s="305" t="s">
        <v>797</v>
      </c>
      <c r="G9" s="305" t="s">
        <v>797</v>
      </c>
      <c r="H9" s="98"/>
    </row>
    <row r="10" spans="1:8" ht="23.25" customHeight="1" x14ac:dyDescent="0.2">
      <c r="A10" s="377" t="s">
        <v>14</v>
      </c>
      <c r="B10" s="378"/>
      <c r="C10" s="377" t="s">
        <v>371</v>
      </c>
      <c r="D10" s="404"/>
      <c r="E10" s="404"/>
      <c r="F10" s="404"/>
      <c r="G10" s="378"/>
      <c r="H10" s="98"/>
    </row>
    <row r="11" spans="1:8" ht="12.75" customHeight="1" x14ac:dyDescent="0.2">
      <c r="A11" s="190"/>
      <c r="B11" s="190"/>
      <c r="C11" s="190"/>
      <c r="D11" s="190"/>
      <c r="E11" s="190"/>
      <c r="F11" s="190"/>
      <c r="G11" s="190"/>
      <c r="H11" s="98"/>
    </row>
    <row r="12" spans="1:8" ht="12.75" customHeight="1" x14ac:dyDescent="0.2">
      <c r="A12" s="98"/>
      <c r="B12" s="191"/>
      <c r="C12" s="191"/>
      <c r="D12" s="191"/>
      <c r="E12" s="191"/>
      <c r="F12" s="98"/>
      <c r="G12" s="98"/>
      <c r="H12" s="98"/>
    </row>
    <row r="13" spans="1:8" ht="22.5" customHeight="1" x14ac:dyDescent="0.2">
      <c r="A13" s="497" t="s">
        <v>275</v>
      </c>
      <c r="B13" s="497"/>
      <c r="C13" s="497"/>
      <c r="D13" s="497"/>
      <c r="E13" s="497"/>
      <c r="F13" s="497"/>
      <c r="G13" s="497"/>
      <c r="H13" s="497"/>
    </row>
    <row r="14" spans="1:8" ht="22.5" customHeight="1" x14ac:dyDescent="0.2">
      <c r="A14" s="497" t="s">
        <v>4</v>
      </c>
      <c r="B14" s="497"/>
      <c r="C14" s="497"/>
      <c r="D14" s="497"/>
      <c r="E14" s="497"/>
      <c r="F14" s="497"/>
      <c r="G14" s="497"/>
      <c r="H14" s="497"/>
    </row>
    <row r="15" spans="1:8" ht="33" customHeight="1" x14ac:dyDescent="0.2">
      <c r="A15" s="497" t="s">
        <v>276</v>
      </c>
      <c r="B15" s="497"/>
      <c r="C15" s="192" t="s">
        <v>5</v>
      </c>
      <c r="D15" s="192" t="s">
        <v>6</v>
      </c>
      <c r="E15" s="192" t="s">
        <v>7</v>
      </c>
      <c r="F15" s="192" t="s">
        <v>8</v>
      </c>
      <c r="G15" s="192" t="s">
        <v>382</v>
      </c>
      <c r="H15" s="192" t="s">
        <v>9</v>
      </c>
    </row>
    <row r="16" spans="1:8" ht="191.25" x14ac:dyDescent="0.2">
      <c r="A16" s="496" t="s">
        <v>463</v>
      </c>
      <c r="B16" s="496">
        <v>0</v>
      </c>
      <c r="C16" s="193"/>
      <c r="D16" s="193"/>
      <c r="E16" s="193"/>
      <c r="F16" s="193"/>
      <c r="G16" s="193"/>
      <c r="H16" s="301" t="s">
        <v>2116</v>
      </c>
    </row>
    <row r="17" spans="1:8" ht="51" x14ac:dyDescent="0.2">
      <c r="A17" s="496" t="s">
        <v>464</v>
      </c>
      <c r="B17" s="496">
        <v>0</v>
      </c>
      <c r="C17" s="193"/>
      <c r="D17" s="193"/>
      <c r="E17" s="193"/>
      <c r="F17" s="193"/>
      <c r="G17" s="193"/>
      <c r="H17" s="301" t="s">
        <v>2117</v>
      </c>
    </row>
    <row r="18" spans="1:8" ht="38.25" x14ac:dyDescent="0.2">
      <c r="A18" s="496" t="s">
        <v>465</v>
      </c>
      <c r="B18" s="496">
        <v>0</v>
      </c>
      <c r="C18" s="193"/>
      <c r="D18" s="193"/>
      <c r="E18" s="193"/>
      <c r="F18" s="193"/>
      <c r="G18" s="193"/>
      <c r="H18" s="301" t="s">
        <v>2118</v>
      </c>
    </row>
    <row r="19" spans="1:8" ht="12.75" customHeight="1" x14ac:dyDescent="0.2">
      <c r="A19" s="496" t="s">
        <v>466</v>
      </c>
      <c r="B19" s="496">
        <v>0</v>
      </c>
      <c r="C19" s="193"/>
      <c r="D19" s="193"/>
      <c r="E19" s="193"/>
      <c r="F19" s="193"/>
      <c r="G19" s="193"/>
      <c r="H19" s="301" t="s">
        <v>2119</v>
      </c>
    </row>
    <row r="20" spans="1:8" x14ac:dyDescent="0.2">
      <c r="A20" s="496" t="s">
        <v>473</v>
      </c>
      <c r="B20" s="496">
        <v>0</v>
      </c>
      <c r="C20" s="193"/>
      <c r="D20" s="193"/>
      <c r="E20" s="193"/>
      <c r="F20" s="193"/>
      <c r="G20" s="193"/>
      <c r="H20" s="301" t="s">
        <v>2120</v>
      </c>
    </row>
    <row r="21" spans="1:8" x14ac:dyDescent="0.2">
      <c r="A21" s="496" t="s">
        <v>474</v>
      </c>
      <c r="B21" s="496">
        <v>0</v>
      </c>
      <c r="C21" s="193"/>
      <c r="D21" s="193"/>
      <c r="E21" s="193"/>
      <c r="F21" s="193"/>
      <c r="G21" s="193"/>
      <c r="H21" s="301"/>
    </row>
    <row r="22" spans="1:8" x14ac:dyDescent="0.2">
      <c r="A22" s="98"/>
      <c r="B22" s="98"/>
      <c r="C22" s="98"/>
      <c r="D22" s="98"/>
      <c r="E22" s="98"/>
      <c r="F22" s="98"/>
      <c r="G22" s="98"/>
      <c r="H22" s="98"/>
    </row>
    <row r="23" spans="1:8" ht="22.5" customHeight="1" x14ac:dyDescent="0.2">
      <c r="A23" s="497" t="s">
        <v>277</v>
      </c>
      <c r="B23" s="497"/>
      <c r="C23" s="497"/>
      <c r="D23" s="497"/>
      <c r="E23" s="497"/>
      <c r="F23" s="497"/>
      <c r="G23" s="497"/>
      <c r="H23" s="497"/>
    </row>
    <row r="24" spans="1:8" ht="22.5" customHeight="1" x14ac:dyDescent="0.2">
      <c r="A24" s="497" t="s">
        <v>11</v>
      </c>
      <c r="B24" s="497"/>
      <c r="C24" s="497"/>
      <c r="D24" s="497"/>
      <c r="E24" s="497"/>
      <c r="F24" s="497"/>
      <c r="G24" s="497"/>
      <c r="H24" s="497"/>
    </row>
    <row r="25" spans="1:8" ht="33" customHeight="1" x14ac:dyDescent="0.2">
      <c r="A25" s="426" t="s">
        <v>10</v>
      </c>
      <c r="B25" s="427"/>
      <c r="C25" s="189" t="s">
        <v>5</v>
      </c>
      <c r="D25" s="189" t="s">
        <v>6</v>
      </c>
      <c r="E25" s="189" t="s">
        <v>7</v>
      </c>
      <c r="F25" s="189" t="s">
        <v>8</v>
      </c>
      <c r="G25" s="189" t="s">
        <v>382</v>
      </c>
      <c r="H25" s="189" t="s">
        <v>9</v>
      </c>
    </row>
    <row r="26" spans="1:8" ht="22.5" customHeight="1" x14ac:dyDescent="0.2">
      <c r="A26" s="194"/>
      <c r="B26" s="195"/>
      <c r="C26" s="193"/>
      <c r="D26" s="193"/>
      <c r="E26" s="193"/>
      <c r="F26" s="193"/>
      <c r="G26" s="193"/>
      <c r="H26" s="196"/>
    </row>
    <row r="27" spans="1:8" ht="12.75" customHeight="1" x14ac:dyDescent="0.2">
      <c r="A27" s="98"/>
      <c r="B27" s="98"/>
      <c r="C27" s="98"/>
      <c r="D27" s="98"/>
      <c r="E27" s="98"/>
      <c r="F27" s="98"/>
      <c r="G27" s="98"/>
      <c r="H27" s="98"/>
    </row>
    <row r="28" spans="1:8" ht="22.5" customHeight="1" x14ac:dyDescent="0.2">
      <c r="A28" s="497" t="s">
        <v>277</v>
      </c>
      <c r="B28" s="497"/>
      <c r="C28" s="497"/>
      <c r="D28" s="497"/>
      <c r="E28" s="497"/>
      <c r="F28" s="497"/>
      <c r="G28" s="497"/>
      <c r="H28" s="497"/>
    </row>
    <row r="29" spans="1:8" ht="22.5" customHeight="1" x14ac:dyDescent="0.2">
      <c r="A29" s="497" t="s">
        <v>12</v>
      </c>
      <c r="B29" s="497"/>
      <c r="C29" s="497"/>
      <c r="D29" s="497"/>
      <c r="E29" s="497"/>
      <c r="F29" s="497"/>
      <c r="G29" s="497"/>
      <c r="H29" s="497"/>
    </row>
    <row r="30" spans="1:8" ht="33" customHeight="1" x14ac:dyDescent="0.2">
      <c r="A30" s="426" t="s">
        <v>10</v>
      </c>
      <c r="B30" s="427"/>
      <c r="C30" s="189" t="s">
        <v>5</v>
      </c>
      <c r="D30" s="189" t="s">
        <v>6</v>
      </c>
      <c r="E30" s="189" t="s">
        <v>7</v>
      </c>
      <c r="F30" s="189" t="s">
        <v>8</v>
      </c>
      <c r="G30" s="189" t="s">
        <v>382</v>
      </c>
      <c r="H30" s="189" t="s">
        <v>9</v>
      </c>
    </row>
    <row r="31" spans="1:8" ht="22.5" customHeight="1" x14ac:dyDescent="0.2">
      <c r="A31" s="194"/>
      <c r="B31" s="195"/>
      <c r="C31" s="193"/>
      <c r="D31" s="193"/>
      <c r="E31" s="193"/>
      <c r="F31" s="193"/>
      <c r="G31" s="193"/>
      <c r="H31" s="107"/>
    </row>
  </sheetData>
  <mergeCells count="24">
    <mergeCell ref="C10:G10"/>
    <mergeCell ref="A13:H13"/>
    <mergeCell ref="A14:H14"/>
    <mergeCell ref="A6:B6"/>
    <mergeCell ref="A7:B7"/>
    <mergeCell ref="A8:B8"/>
    <mergeCell ref="A9:B9"/>
    <mergeCell ref="A10:B10"/>
    <mergeCell ref="A2:F2"/>
    <mergeCell ref="A21:B21"/>
    <mergeCell ref="A30:B30"/>
    <mergeCell ref="A16:B16"/>
    <mergeCell ref="A17:B17"/>
    <mergeCell ref="A18:B18"/>
    <mergeCell ref="A19:B19"/>
    <mergeCell ref="A20:B20"/>
    <mergeCell ref="A23:H23"/>
    <mergeCell ref="A24:H24"/>
    <mergeCell ref="A25:B25"/>
    <mergeCell ref="A28:H28"/>
    <mergeCell ref="A29:H29"/>
    <mergeCell ref="A15:B15"/>
    <mergeCell ref="A3:G3"/>
    <mergeCell ref="A4:B5"/>
  </mergeCells>
  <conditionalFormatting sqref="C6:G9">
    <cfRule type="cellIs" dxfId="22" priority="1" operator="equal">
      <formula>""</formula>
    </cfRule>
  </conditionalFormatting>
  <hyperlinks>
    <hyperlink ref="A1" location="Overview!A1" display="Back to Overview" xr:uid="{BE8FBA7A-BE10-4879-9D64-5DB7F048E867}"/>
  </hyperlinks>
  <pageMargins left="0.70866141732283472" right="0.70866141732283472" top="0.74803149606299213" bottom="0.74803149606299213" header="0.31496062992125984" footer="0.31496062992125984"/>
  <pageSetup paperSize="8" scale="83"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32"/>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5" t="s">
        <v>475</v>
      </c>
      <c r="B2" s="495"/>
      <c r="C2" s="495"/>
      <c r="D2" s="495"/>
      <c r="E2" s="495"/>
      <c r="F2" s="495"/>
    </row>
    <row r="3" spans="1:6" ht="47.25" customHeight="1" x14ac:dyDescent="0.2">
      <c r="A3" s="396" t="str">
        <f>Overview!B4&amp;" - Illustrative LLFs in WPD EM Area (GSP Group_B) for year beginning "&amp;TEXT(Overview!$D$4,"d mmmm yyyy")&amp;""</f>
        <v>Leep Electricity Networks Limited - Illustrative LLFs in WPD EM Area (GSP Group_B) for year beginning 1 April 2027</v>
      </c>
      <c r="B3" s="432"/>
      <c r="C3" s="432"/>
      <c r="D3" s="432"/>
      <c r="E3" s="433"/>
    </row>
    <row r="4" spans="1:6" ht="19.5" customHeight="1" x14ac:dyDescent="0.2">
      <c r="A4" s="505" t="s">
        <v>13</v>
      </c>
      <c r="B4" s="12" t="s">
        <v>5</v>
      </c>
      <c r="C4" s="12" t="s">
        <v>6</v>
      </c>
      <c r="D4" s="12" t="s">
        <v>7</v>
      </c>
      <c r="E4" s="12" t="s">
        <v>8</v>
      </c>
    </row>
    <row r="5" spans="1:6" ht="39" customHeight="1" x14ac:dyDescent="0.2">
      <c r="A5" s="506"/>
      <c r="B5" s="12" t="s">
        <v>2033</v>
      </c>
      <c r="C5" s="12" t="s">
        <v>2034</v>
      </c>
      <c r="D5" s="12" t="s">
        <v>2035</v>
      </c>
      <c r="E5" s="12" t="s">
        <v>2036</v>
      </c>
    </row>
    <row r="6" spans="1:6" ht="45" customHeight="1" x14ac:dyDescent="0.2">
      <c r="A6" s="270" t="s">
        <v>2037</v>
      </c>
      <c r="B6" s="13" t="s">
        <v>797</v>
      </c>
      <c r="C6" s="13" t="s">
        <v>797</v>
      </c>
      <c r="D6" s="13" t="s">
        <v>2038</v>
      </c>
      <c r="E6" s="13" t="s">
        <v>2039</v>
      </c>
    </row>
    <row r="7" spans="1:6" ht="45" customHeight="1" x14ac:dyDescent="0.2">
      <c r="A7" s="270" t="s">
        <v>2040</v>
      </c>
      <c r="B7" s="13" t="s">
        <v>2041</v>
      </c>
      <c r="C7" s="13" t="s">
        <v>2042</v>
      </c>
      <c r="D7" s="13" t="s">
        <v>2038</v>
      </c>
      <c r="E7" s="13" t="s">
        <v>2043</v>
      </c>
    </row>
    <row r="8" spans="1:6" ht="45" customHeight="1" x14ac:dyDescent="0.2">
      <c r="A8" s="270" t="s">
        <v>798</v>
      </c>
      <c r="B8" s="13" t="s">
        <v>797</v>
      </c>
      <c r="C8" s="13" t="s">
        <v>797</v>
      </c>
      <c r="D8" s="13" t="s">
        <v>2038</v>
      </c>
      <c r="E8" s="13" t="s">
        <v>2039</v>
      </c>
    </row>
    <row r="9" spans="1:6" ht="25.5" customHeight="1" x14ac:dyDescent="0.2">
      <c r="A9" s="271" t="s">
        <v>14</v>
      </c>
      <c r="B9" s="507" t="s">
        <v>15</v>
      </c>
      <c r="C9" s="508"/>
      <c r="D9" s="508"/>
      <c r="E9" s="509"/>
    </row>
    <row r="10" spans="1:6" ht="12.75" customHeight="1" x14ac:dyDescent="0.2">
      <c r="A10" s="199"/>
      <c r="B10" s="200"/>
      <c r="C10" s="200"/>
      <c r="D10" s="200"/>
      <c r="E10" s="200"/>
    </row>
    <row r="11" spans="1:6" ht="12.75" customHeight="1" x14ac:dyDescent="0.2">
      <c r="A11" s="201"/>
      <c r="B11" s="200"/>
      <c r="C11" s="200"/>
      <c r="D11" s="200"/>
      <c r="E11" s="200"/>
    </row>
    <row r="12" spans="1:6" ht="22.5" customHeight="1" x14ac:dyDescent="0.2">
      <c r="A12" s="426" t="s">
        <v>383</v>
      </c>
      <c r="B12" s="504"/>
      <c r="C12" s="504"/>
      <c r="D12" s="504"/>
      <c r="E12" s="504"/>
      <c r="F12" s="427"/>
    </row>
    <row r="13" spans="1:6" ht="22.5" customHeight="1" x14ac:dyDescent="0.2">
      <c r="A13" s="426" t="s">
        <v>4</v>
      </c>
      <c r="B13" s="504"/>
      <c r="C13" s="504"/>
      <c r="D13" s="504"/>
      <c r="E13" s="504"/>
      <c r="F13" s="427"/>
    </row>
    <row r="14" spans="1:6" ht="33" customHeight="1" x14ac:dyDescent="0.2">
      <c r="A14" s="189" t="s">
        <v>384</v>
      </c>
      <c r="B14" s="189" t="s">
        <v>5</v>
      </c>
      <c r="C14" s="189" t="s">
        <v>6</v>
      </c>
      <c r="D14" s="189" t="s">
        <v>7</v>
      </c>
      <c r="E14" s="189" t="s">
        <v>8</v>
      </c>
      <c r="F14" s="189" t="s">
        <v>9</v>
      </c>
    </row>
    <row r="15" spans="1:6" x14ac:dyDescent="0.2">
      <c r="A15" s="202" t="s">
        <v>469</v>
      </c>
      <c r="B15" s="193"/>
      <c r="C15" s="193"/>
      <c r="D15" s="193"/>
      <c r="E15" s="193"/>
      <c r="F15" s="302"/>
    </row>
    <row r="16" spans="1:6" x14ac:dyDescent="0.2">
      <c r="A16" s="202" t="s">
        <v>470</v>
      </c>
      <c r="B16" s="193"/>
      <c r="C16" s="193"/>
      <c r="D16" s="193"/>
      <c r="E16" s="193"/>
      <c r="F16" s="302"/>
    </row>
    <row r="17" spans="1:6" x14ac:dyDescent="0.2">
      <c r="A17" s="202" t="s">
        <v>471</v>
      </c>
      <c r="B17" s="193"/>
      <c r="C17" s="193"/>
      <c r="D17" s="193"/>
      <c r="E17" s="193"/>
      <c r="F17" s="302"/>
    </row>
    <row r="18" spans="1:6" x14ac:dyDescent="0.2">
      <c r="A18" s="202" t="s">
        <v>472</v>
      </c>
      <c r="B18" s="193"/>
      <c r="C18" s="193"/>
      <c r="D18" s="193"/>
      <c r="E18" s="193"/>
      <c r="F18" s="302"/>
    </row>
    <row r="19" spans="1:6" x14ac:dyDescent="0.2">
      <c r="A19" s="202" t="s">
        <v>466</v>
      </c>
      <c r="B19" s="193"/>
      <c r="C19" s="193"/>
      <c r="D19" s="193"/>
      <c r="E19" s="193"/>
      <c r="F19" s="301" t="s">
        <v>797</v>
      </c>
    </row>
    <row r="20" spans="1:6" ht="63.75" x14ac:dyDescent="0.2">
      <c r="A20" s="202" t="s">
        <v>465</v>
      </c>
      <c r="B20" s="193"/>
      <c r="C20" s="193"/>
      <c r="D20" s="193"/>
      <c r="E20" s="193"/>
      <c r="F20" s="301" t="s">
        <v>2121</v>
      </c>
    </row>
    <row r="21" spans="1:6" ht="76.5" x14ac:dyDescent="0.2">
      <c r="A21" s="202" t="s">
        <v>464</v>
      </c>
      <c r="B21" s="193"/>
      <c r="C21" s="193"/>
      <c r="D21" s="193"/>
      <c r="E21" s="193"/>
      <c r="F21" s="301" t="s">
        <v>2122</v>
      </c>
    </row>
    <row r="22" spans="1:6" ht="255" x14ac:dyDescent="0.2">
      <c r="A22" s="202" t="s">
        <v>463</v>
      </c>
      <c r="B22" s="193"/>
      <c r="C22" s="193"/>
      <c r="D22" s="193"/>
      <c r="E22" s="193"/>
      <c r="F22" s="301" t="s">
        <v>2123</v>
      </c>
    </row>
    <row r="24" spans="1:6" ht="22.5" customHeight="1" x14ac:dyDescent="0.2">
      <c r="A24" s="426" t="s">
        <v>277</v>
      </c>
      <c r="B24" s="504"/>
      <c r="C24" s="504"/>
      <c r="D24" s="504"/>
      <c r="E24" s="504"/>
      <c r="F24" s="427"/>
    </row>
    <row r="25" spans="1:6" ht="22.5" customHeight="1" x14ac:dyDescent="0.2">
      <c r="A25" s="426" t="s">
        <v>11</v>
      </c>
      <c r="B25" s="504"/>
      <c r="C25" s="504"/>
      <c r="D25" s="504"/>
      <c r="E25" s="504"/>
      <c r="F25" s="427"/>
    </row>
    <row r="26" spans="1:6" ht="33" customHeight="1" x14ac:dyDescent="0.2">
      <c r="A26" s="189" t="s">
        <v>10</v>
      </c>
      <c r="B26" s="189" t="s">
        <v>5</v>
      </c>
      <c r="C26" s="189" t="s">
        <v>6</v>
      </c>
      <c r="D26" s="189" t="s">
        <v>7</v>
      </c>
      <c r="E26" s="189" t="s">
        <v>8</v>
      </c>
      <c r="F26" s="189" t="s">
        <v>9</v>
      </c>
    </row>
    <row r="27" spans="1:6" ht="22.5" customHeight="1" x14ac:dyDescent="0.2">
      <c r="A27" s="203"/>
      <c r="B27" s="193"/>
      <c r="C27" s="193"/>
      <c r="D27" s="193"/>
      <c r="E27" s="193"/>
      <c r="F27" s="204"/>
    </row>
    <row r="28" spans="1:6" ht="12.75" customHeight="1" x14ac:dyDescent="0.2"/>
    <row r="29" spans="1:6" ht="22.5" customHeight="1" x14ac:dyDescent="0.2">
      <c r="A29" s="426" t="s">
        <v>277</v>
      </c>
      <c r="B29" s="504"/>
      <c r="C29" s="504"/>
      <c r="D29" s="504"/>
      <c r="E29" s="504"/>
      <c r="F29" s="427"/>
    </row>
    <row r="30" spans="1:6" ht="22.5" customHeight="1" x14ac:dyDescent="0.2">
      <c r="A30" s="426" t="s">
        <v>12</v>
      </c>
      <c r="B30" s="504"/>
      <c r="C30" s="504"/>
      <c r="D30" s="504"/>
      <c r="E30" s="504"/>
      <c r="F30" s="427"/>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21" priority="1" operator="equal">
      <formula>""</formula>
    </cfRule>
  </conditionalFormatting>
  <hyperlinks>
    <hyperlink ref="A1" location="Overview!A1" display="Back to Overview" xr:uid="{6E44262A-AE8F-4C07-8FB9-C22770661215}"/>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XFC31"/>
  <sheetViews>
    <sheetView zoomScale="70" zoomScaleNormal="70" workbookViewId="0"/>
  </sheetViews>
  <sheetFormatPr defaultColWidth="9.140625" defaultRowHeight="12.75" x14ac:dyDescent="0.2"/>
  <cols>
    <col min="1" max="1" width="23.85546875" style="98" bestFit="1"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495" t="s">
        <v>475</v>
      </c>
      <c r="B2" s="495"/>
      <c r="C2" s="495"/>
      <c r="D2" s="495"/>
      <c r="E2" s="495"/>
      <c r="F2" s="495"/>
    </row>
    <row r="3" spans="1:16383" ht="47.25" customHeight="1" x14ac:dyDescent="0.2">
      <c r="A3" s="396" t="str">
        <f>Overview!B4&amp;" - Illustrative LLFs in UKPN LPN Area (GSP Group_C) for year beginning "&amp;TEXT(Overview!$D$4,"d mmmm yyyy")&amp;""</f>
        <v>Leep Electricity Networks Limited - Illustrative LLFs in UKPN LPN Area (GSP Group_C) for year beginning 1 April 2027</v>
      </c>
      <c r="B3" s="432"/>
      <c r="C3" s="432"/>
      <c r="D3" s="432"/>
      <c r="E3" s="432"/>
      <c r="F3" s="433"/>
    </row>
    <row r="4" spans="1:16383" ht="19.5" customHeight="1" x14ac:dyDescent="0.2">
      <c r="A4" s="498" t="s">
        <v>13</v>
      </c>
      <c r="B4" s="12" t="s">
        <v>5</v>
      </c>
      <c r="C4" s="12" t="s">
        <v>6</v>
      </c>
      <c r="D4" s="12" t="s">
        <v>7</v>
      </c>
      <c r="E4" s="12" t="s">
        <v>8</v>
      </c>
      <c r="F4" s="12" t="s">
        <v>382</v>
      </c>
    </row>
    <row r="5" spans="1:16383" ht="49.5" customHeight="1" x14ac:dyDescent="0.2">
      <c r="A5" s="500"/>
      <c r="B5" s="12" t="s">
        <v>5</v>
      </c>
      <c r="C5" s="12" t="s">
        <v>6</v>
      </c>
      <c r="D5" s="12" t="s">
        <v>7</v>
      </c>
      <c r="E5" s="12" t="s">
        <v>8</v>
      </c>
      <c r="F5" s="12" t="s">
        <v>382</v>
      </c>
    </row>
    <row r="6" spans="1:16383" ht="45" customHeight="1" x14ac:dyDescent="0.2">
      <c r="A6" s="333">
        <v>0</v>
      </c>
      <c r="B6" s="305" t="s">
        <v>806</v>
      </c>
      <c r="C6" s="305" t="s">
        <v>807</v>
      </c>
      <c r="D6" s="305" t="s">
        <v>808</v>
      </c>
      <c r="E6" s="305" t="s">
        <v>809</v>
      </c>
      <c r="F6" s="305" t="s">
        <v>810</v>
      </c>
    </row>
    <row r="7" spans="1:16383" ht="45" customHeight="1" x14ac:dyDescent="0.2">
      <c r="A7" s="333" t="s">
        <v>811</v>
      </c>
      <c r="B7" s="305" t="s">
        <v>812</v>
      </c>
      <c r="C7" s="305" t="s">
        <v>797</v>
      </c>
      <c r="D7" s="305" t="s">
        <v>813</v>
      </c>
      <c r="E7" s="305" t="s">
        <v>797</v>
      </c>
      <c r="F7" s="305" t="s">
        <v>797</v>
      </c>
    </row>
    <row r="8" spans="1:16383" ht="45" customHeight="1" x14ac:dyDescent="0.2">
      <c r="A8" s="333" t="s">
        <v>814</v>
      </c>
      <c r="B8" s="305" t="s">
        <v>797</v>
      </c>
      <c r="C8" s="305" t="s">
        <v>815</v>
      </c>
      <c r="D8" s="305" t="s">
        <v>797</v>
      </c>
      <c r="E8" s="305" t="s">
        <v>797</v>
      </c>
      <c r="F8" s="305" t="s">
        <v>797</v>
      </c>
    </row>
    <row r="9" spans="1:16383" ht="45" customHeight="1" x14ac:dyDescent="0.2">
      <c r="A9" s="333" t="s">
        <v>816</v>
      </c>
      <c r="B9" s="305" t="s">
        <v>797</v>
      </c>
      <c r="C9" s="305" t="s">
        <v>797</v>
      </c>
      <c r="D9" s="305" t="s">
        <v>815</v>
      </c>
      <c r="E9" s="305" t="s">
        <v>797</v>
      </c>
      <c r="F9" s="305" t="s">
        <v>797</v>
      </c>
    </row>
    <row r="10" spans="1:16383" ht="27" customHeight="1" x14ac:dyDescent="0.2">
      <c r="A10" s="286" t="s">
        <v>14</v>
      </c>
      <c r="B10" s="377" t="s">
        <v>371</v>
      </c>
      <c r="C10" s="404"/>
      <c r="D10" s="404"/>
      <c r="E10" s="404"/>
      <c r="F10" s="378"/>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497" t="s">
        <v>275</v>
      </c>
      <c r="B13" s="497"/>
      <c r="C13" s="497"/>
      <c r="D13" s="497"/>
      <c r="E13" s="497"/>
      <c r="F13" s="497"/>
      <c r="G13" s="497"/>
    </row>
    <row r="14" spans="1:16383" ht="22.5" customHeight="1" x14ac:dyDescent="0.2">
      <c r="A14" s="497" t="s">
        <v>4</v>
      </c>
      <c r="B14" s="497"/>
      <c r="C14" s="497"/>
      <c r="D14" s="497"/>
      <c r="E14" s="497"/>
      <c r="F14" s="497"/>
      <c r="G14" s="497"/>
    </row>
    <row r="15" spans="1:16383" ht="33" customHeight="1" x14ac:dyDescent="0.2">
      <c r="A15" s="189" t="s">
        <v>276</v>
      </c>
      <c r="B15" s="192" t="s">
        <v>5</v>
      </c>
      <c r="C15" s="192" t="s">
        <v>6</v>
      </c>
      <c r="D15" s="192" t="s">
        <v>7</v>
      </c>
      <c r="E15" s="192" t="s">
        <v>8</v>
      </c>
      <c r="F15" s="192" t="s">
        <v>382</v>
      </c>
      <c r="G15" s="192" t="s">
        <v>9</v>
      </c>
    </row>
    <row r="16" spans="1:16383" ht="331.5" x14ac:dyDescent="0.2">
      <c r="A16" s="288" t="s">
        <v>456</v>
      </c>
      <c r="B16" s="107"/>
      <c r="C16" s="107"/>
      <c r="D16" s="107"/>
      <c r="E16" s="107"/>
      <c r="F16" s="107"/>
      <c r="G16" s="301" t="s">
        <v>2124</v>
      </c>
    </row>
    <row r="17" spans="1:7" ht="76.5" x14ac:dyDescent="0.2">
      <c r="A17" s="288" t="s">
        <v>457</v>
      </c>
      <c r="B17" s="107"/>
      <c r="C17" s="107"/>
      <c r="D17" s="107"/>
      <c r="E17" s="107"/>
      <c r="F17" s="107"/>
      <c r="G17" s="301" t="s">
        <v>2125</v>
      </c>
    </row>
    <row r="18" spans="1:7" ht="63.75" x14ac:dyDescent="0.2">
      <c r="A18" s="288" t="s">
        <v>458</v>
      </c>
      <c r="B18" s="107"/>
      <c r="C18" s="107"/>
      <c r="D18" s="107"/>
      <c r="E18" s="107"/>
      <c r="F18" s="107"/>
      <c r="G18" s="301" t="s">
        <v>2126</v>
      </c>
    </row>
    <row r="19" spans="1:7" x14ac:dyDescent="0.2">
      <c r="A19" s="288" t="s">
        <v>459</v>
      </c>
      <c r="B19" s="107"/>
      <c r="C19" s="107"/>
      <c r="D19" s="107"/>
      <c r="E19" s="107"/>
      <c r="F19" s="107"/>
      <c r="G19" s="301"/>
    </row>
    <row r="20" spans="1:7" x14ac:dyDescent="0.2">
      <c r="A20" s="288" t="s">
        <v>460</v>
      </c>
      <c r="B20" s="107"/>
      <c r="C20" s="107"/>
      <c r="D20" s="107"/>
      <c r="E20" s="107"/>
      <c r="F20" s="107"/>
      <c r="G20" s="301"/>
    </row>
    <row r="21" spans="1:7" x14ac:dyDescent="0.2">
      <c r="A21" s="288" t="s">
        <v>462</v>
      </c>
      <c r="B21" s="107"/>
      <c r="C21" s="107"/>
      <c r="D21" s="107"/>
      <c r="E21" s="107"/>
      <c r="F21" s="107"/>
      <c r="G21" s="301"/>
    </row>
    <row r="22" spans="1:7" ht="12.75" customHeight="1" x14ac:dyDescent="0.2"/>
    <row r="23" spans="1:7" ht="22.5" customHeight="1" x14ac:dyDescent="0.2">
      <c r="A23" s="497" t="s">
        <v>277</v>
      </c>
      <c r="B23" s="497"/>
      <c r="C23" s="497"/>
      <c r="D23" s="497"/>
      <c r="E23" s="497"/>
      <c r="F23" s="497"/>
      <c r="G23" s="497"/>
    </row>
    <row r="24" spans="1:7" ht="22.5" customHeight="1" x14ac:dyDescent="0.2">
      <c r="A24" s="497" t="s">
        <v>11</v>
      </c>
      <c r="B24" s="497"/>
      <c r="C24" s="497"/>
      <c r="D24" s="497"/>
      <c r="E24" s="497"/>
      <c r="F24" s="497"/>
      <c r="G24" s="497"/>
    </row>
    <row r="25" spans="1:7" ht="33" customHeight="1" x14ac:dyDescent="0.2">
      <c r="A25" s="287" t="s">
        <v>10</v>
      </c>
      <c r="B25" s="189" t="s">
        <v>5</v>
      </c>
      <c r="C25" s="189" t="s">
        <v>6</v>
      </c>
      <c r="D25" s="189" t="s">
        <v>7</v>
      </c>
      <c r="E25" s="189" t="s">
        <v>8</v>
      </c>
      <c r="F25" s="189" t="s">
        <v>382</v>
      </c>
      <c r="G25" s="189" t="s">
        <v>9</v>
      </c>
    </row>
    <row r="26" spans="1:7" ht="22.5" customHeight="1" x14ac:dyDescent="0.2">
      <c r="A26" s="194"/>
      <c r="B26" s="193"/>
      <c r="C26" s="193"/>
      <c r="D26" s="193"/>
      <c r="E26" s="193"/>
      <c r="F26" s="193"/>
      <c r="G26" s="107"/>
    </row>
    <row r="27" spans="1:7" ht="12.75" customHeight="1" x14ac:dyDescent="0.2"/>
    <row r="28" spans="1:7" ht="22.5" customHeight="1" x14ac:dyDescent="0.2">
      <c r="A28" s="497" t="s">
        <v>277</v>
      </c>
      <c r="B28" s="497"/>
      <c r="C28" s="497"/>
      <c r="D28" s="497"/>
      <c r="E28" s="497"/>
      <c r="F28" s="497"/>
      <c r="G28" s="497"/>
    </row>
    <row r="29" spans="1:7" ht="22.5" customHeight="1" x14ac:dyDescent="0.2">
      <c r="A29" s="497" t="s">
        <v>12</v>
      </c>
      <c r="B29" s="497"/>
      <c r="C29" s="497"/>
      <c r="D29" s="497"/>
      <c r="E29" s="497"/>
      <c r="F29" s="497"/>
      <c r="G29" s="497"/>
    </row>
    <row r="30" spans="1:7" ht="33" customHeight="1" x14ac:dyDescent="0.2">
      <c r="A30" s="287" t="s">
        <v>10</v>
      </c>
      <c r="B30" s="189" t="s">
        <v>5</v>
      </c>
      <c r="C30" s="189" t="s">
        <v>6</v>
      </c>
      <c r="D30" s="189" t="s">
        <v>7</v>
      </c>
      <c r="E30" s="189" t="s">
        <v>8</v>
      </c>
      <c r="F30" s="189" t="s">
        <v>382</v>
      </c>
      <c r="G30" s="189" t="s">
        <v>9</v>
      </c>
    </row>
    <row r="31" spans="1:7" ht="22.5" customHeight="1" x14ac:dyDescent="0.2">
      <c r="A31" s="194"/>
      <c r="B31" s="193"/>
      <c r="C31" s="193"/>
      <c r="D31" s="193"/>
      <c r="E31" s="193"/>
      <c r="F31" s="193"/>
      <c r="G31" s="107"/>
    </row>
  </sheetData>
  <mergeCells count="10">
    <mergeCell ref="A2:F2"/>
    <mergeCell ref="A23:G23"/>
    <mergeCell ref="A24:G24"/>
    <mergeCell ref="A28:G28"/>
    <mergeCell ref="A29:G29"/>
    <mergeCell ref="A3:F3"/>
    <mergeCell ref="A4:A5"/>
    <mergeCell ref="B10:F10"/>
    <mergeCell ref="A13:G13"/>
    <mergeCell ref="A14:G14"/>
  </mergeCells>
  <conditionalFormatting sqref="B6:F9">
    <cfRule type="cellIs" dxfId="20" priority="1" operator="equal">
      <formula>""</formula>
    </cfRule>
  </conditionalFormatting>
  <hyperlinks>
    <hyperlink ref="A1" location="Overview!A1" display="Back to Overview" xr:uid="{A9462049-925E-4F1E-9314-D246B181096A}"/>
  </hyperlinks>
  <pageMargins left="0.70866141732283472" right="0.70866141732283472" top="0.74803149606299213" bottom="0.74803149606299213" header="0.31496062992125984" footer="0.31496062992125984"/>
  <pageSetup paperSize="9" scale="48" fitToHeight="0" orientation="portrait" r:id="rId1"/>
  <headerFooter differentFirst="1" scaleWithDoc="0">
    <oddHeader>&amp;LAnnex 5 – Line Loss Factors</oddHeader>
    <oddFooter>&amp;C&amp;P of &amp;N</oddFooter>
    <firstHeader>&amp;L
Annex 5 – Schedule of Line Loss Factors</firstHeader>
    <firstFooter>&amp;C&amp;P of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32"/>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5" t="s">
        <v>475</v>
      </c>
      <c r="B2" s="495"/>
      <c r="C2" s="495"/>
      <c r="D2" s="495"/>
      <c r="E2" s="495"/>
      <c r="F2" s="495"/>
    </row>
    <row r="3" spans="1:6" ht="47.25" customHeight="1" x14ac:dyDescent="0.2">
      <c r="A3" s="396" t="str">
        <f>Overview!B4&amp;" - Illustrative LLFs in SP Manweb Area (GSP Group_D) for year beginning "&amp;TEXT(Overview!$D$4,"d mmmm yyyy")&amp;""</f>
        <v>Leep Electricity Networks Limited - Illustrative LLFs in SP Manweb Area (GSP Group_D) for year beginning 1 April 2027</v>
      </c>
      <c r="B3" s="432"/>
      <c r="C3" s="432"/>
      <c r="D3" s="432"/>
      <c r="E3" s="433"/>
    </row>
    <row r="4" spans="1:6" ht="19.5" customHeight="1" x14ac:dyDescent="0.2">
      <c r="A4" s="510" t="s">
        <v>13</v>
      </c>
      <c r="B4" s="189" t="s">
        <v>5</v>
      </c>
      <c r="C4" s="189" t="s">
        <v>6</v>
      </c>
      <c r="D4" s="189" t="s">
        <v>7</v>
      </c>
      <c r="E4" s="189" t="s">
        <v>8</v>
      </c>
    </row>
    <row r="5" spans="1:6" ht="40.5" customHeight="1" x14ac:dyDescent="0.2">
      <c r="A5" s="511"/>
      <c r="B5" s="189" t="s">
        <v>2033</v>
      </c>
      <c r="C5" s="189" t="s">
        <v>2034</v>
      </c>
      <c r="D5" s="189" t="s">
        <v>2035</v>
      </c>
      <c r="E5" s="189" t="s">
        <v>2036</v>
      </c>
    </row>
    <row r="6" spans="1:6" ht="45" customHeight="1" x14ac:dyDescent="0.2">
      <c r="A6" s="306" t="s">
        <v>2056</v>
      </c>
      <c r="B6" s="334" t="s">
        <v>2057</v>
      </c>
      <c r="C6" s="334" t="s">
        <v>2058</v>
      </c>
      <c r="D6" s="334" t="s">
        <v>797</v>
      </c>
      <c r="E6" s="334" t="s">
        <v>797</v>
      </c>
    </row>
    <row r="7" spans="1:6" ht="45" customHeight="1" x14ac:dyDescent="0.2">
      <c r="A7" s="306" t="s">
        <v>811</v>
      </c>
      <c r="B7" s="334" t="s">
        <v>2057</v>
      </c>
      <c r="C7" s="334" t="s">
        <v>2059</v>
      </c>
      <c r="D7" s="334" t="s">
        <v>2060</v>
      </c>
      <c r="E7" s="334" t="s">
        <v>2041</v>
      </c>
    </row>
    <row r="8" spans="1:6" ht="45" customHeight="1" x14ac:dyDescent="0.2">
      <c r="A8" s="306" t="s">
        <v>798</v>
      </c>
      <c r="B8" s="334" t="s">
        <v>2057</v>
      </c>
      <c r="C8" s="334" t="s">
        <v>2058</v>
      </c>
      <c r="D8" s="334" t="s">
        <v>797</v>
      </c>
      <c r="E8" s="334" t="s">
        <v>797</v>
      </c>
    </row>
    <row r="9" spans="1:6" ht="25.5" customHeight="1" x14ac:dyDescent="0.2">
      <c r="A9" s="170" t="s">
        <v>14</v>
      </c>
      <c r="B9" s="512" t="s">
        <v>15</v>
      </c>
      <c r="C9" s="513"/>
      <c r="D9" s="513"/>
      <c r="E9" s="514"/>
    </row>
    <row r="10" spans="1:6" ht="12.75" customHeight="1" x14ac:dyDescent="0.2">
      <c r="A10" s="199"/>
      <c r="B10" s="200"/>
      <c r="C10" s="200"/>
      <c r="D10" s="200"/>
      <c r="E10" s="200"/>
    </row>
    <row r="11" spans="1:6" ht="12.75" customHeight="1" x14ac:dyDescent="0.2">
      <c r="B11" s="200"/>
      <c r="C11" s="200"/>
      <c r="D11" s="200"/>
      <c r="E11" s="200"/>
    </row>
    <row r="12" spans="1:6" ht="22.5" customHeight="1" x14ac:dyDescent="0.2">
      <c r="A12" s="426" t="s">
        <v>275</v>
      </c>
      <c r="B12" s="504"/>
      <c r="C12" s="504"/>
      <c r="D12" s="504"/>
      <c r="E12" s="504"/>
      <c r="F12" s="427"/>
    </row>
    <row r="13" spans="1:6" ht="22.5" customHeight="1" x14ac:dyDescent="0.2">
      <c r="A13" s="426" t="s">
        <v>4</v>
      </c>
      <c r="B13" s="504"/>
      <c r="C13" s="504"/>
      <c r="D13" s="504"/>
      <c r="E13" s="504"/>
      <c r="F13" s="427"/>
    </row>
    <row r="14" spans="1:6" ht="33" customHeight="1" x14ac:dyDescent="0.2">
      <c r="A14" s="189" t="s">
        <v>276</v>
      </c>
      <c r="B14" s="189" t="s">
        <v>5</v>
      </c>
      <c r="C14" s="189" t="s">
        <v>6</v>
      </c>
      <c r="D14" s="189" t="s">
        <v>7</v>
      </c>
      <c r="E14" s="189" t="s">
        <v>8</v>
      </c>
      <c r="F14" s="189" t="s">
        <v>9</v>
      </c>
    </row>
    <row r="15" spans="1:6" x14ac:dyDescent="0.2">
      <c r="A15" s="202" t="s">
        <v>445</v>
      </c>
      <c r="B15" s="193"/>
      <c r="C15" s="193"/>
      <c r="D15" s="193"/>
      <c r="E15" s="193"/>
      <c r="F15" s="301"/>
    </row>
    <row r="16" spans="1:6" x14ac:dyDescent="0.2">
      <c r="A16" s="202" t="s">
        <v>446</v>
      </c>
      <c r="B16" s="193"/>
      <c r="C16" s="193"/>
      <c r="D16" s="193"/>
      <c r="E16" s="193"/>
      <c r="F16" s="301"/>
    </row>
    <row r="17" spans="1:7" x14ac:dyDescent="0.2">
      <c r="A17" s="202" t="s">
        <v>447</v>
      </c>
      <c r="B17" s="193"/>
      <c r="C17" s="193"/>
      <c r="D17" s="193"/>
      <c r="E17" s="193"/>
      <c r="F17" s="301" t="s">
        <v>733</v>
      </c>
    </row>
    <row r="18" spans="1:7" x14ac:dyDescent="0.2">
      <c r="A18" s="202" t="s">
        <v>448</v>
      </c>
      <c r="B18" s="193"/>
      <c r="C18" s="193"/>
      <c r="D18" s="193"/>
      <c r="E18" s="193"/>
      <c r="F18" s="301" t="s">
        <v>734</v>
      </c>
      <c r="G18" s="303"/>
    </row>
    <row r="19" spans="1:7" x14ac:dyDescent="0.2">
      <c r="A19" s="202" t="s">
        <v>449</v>
      </c>
      <c r="B19" s="193"/>
      <c r="C19" s="193"/>
      <c r="D19" s="193"/>
      <c r="E19" s="193"/>
      <c r="F19" s="301" t="s">
        <v>797</v>
      </c>
      <c r="G19" s="303">
        <v>4</v>
      </c>
    </row>
    <row r="20" spans="1:7" ht="63.75" x14ac:dyDescent="0.2">
      <c r="A20" s="202" t="s">
        <v>450</v>
      </c>
      <c r="B20" s="193"/>
      <c r="C20" s="193"/>
      <c r="D20" s="193"/>
      <c r="E20" s="193"/>
      <c r="F20" s="301" t="s">
        <v>2127</v>
      </c>
      <c r="G20" s="303">
        <v>3</v>
      </c>
    </row>
    <row r="21" spans="1:7" ht="76.5" x14ac:dyDescent="0.2">
      <c r="A21" s="202" t="s">
        <v>451</v>
      </c>
      <c r="B21" s="193"/>
      <c r="C21" s="193"/>
      <c r="D21" s="193"/>
      <c r="E21" s="193"/>
      <c r="F21" s="301" t="s">
        <v>2128</v>
      </c>
      <c r="G21" s="303">
        <v>2</v>
      </c>
    </row>
    <row r="22" spans="1:7" ht="382.5" x14ac:dyDescent="0.2">
      <c r="A22" s="202" t="s">
        <v>452</v>
      </c>
      <c r="B22" s="193"/>
      <c r="C22" s="193"/>
      <c r="D22" s="193"/>
      <c r="E22" s="193"/>
      <c r="F22" s="301" t="s">
        <v>2129</v>
      </c>
      <c r="G22" s="303">
        <v>1</v>
      </c>
    </row>
    <row r="23" spans="1:7" ht="12.75" customHeight="1" x14ac:dyDescent="0.2"/>
    <row r="24" spans="1:7" ht="22.5" customHeight="1" x14ac:dyDescent="0.2">
      <c r="A24" s="426" t="s">
        <v>277</v>
      </c>
      <c r="B24" s="504"/>
      <c r="C24" s="504"/>
      <c r="D24" s="504"/>
      <c r="E24" s="504"/>
      <c r="F24" s="427"/>
    </row>
    <row r="25" spans="1:7" ht="22.5" customHeight="1" x14ac:dyDescent="0.2">
      <c r="A25" s="426" t="s">
        <v>11</v>
      </c>
      <c r="B25" s="504"/>
      <c r="C25" s="504"/>
      <c r="D25" s="504"/>
      <c r="E25" s="504"/>
      <c r="F25" s="427"/>
    </row>
    <row r="26" spans="1:7" ht="33" customHeight="1" x14ac:dyDescent="0.2">
      <c r="A26" s="189" t="s">
        <v>10</v>
      </c>
      <c r="B26" s="189" t="s">
        <v>5</v>
      </c>
      <c r="C26" s="189" t="s">
        <v>6</v>
      </c>
      <c r="D26" s="189" t="s">
        <v>7</v>
      </c>
      <c r="E26" s="189" t="s">
        <v>8</v>
      </c>
      <c r="F26" s="189" t="s">
        <v>9</v>
      </c>
    </row>
    <row r="27" spans="1:7" ht="22.5" customHeight="1" x14ac:dyDescent="0.2">
      <c r="A27" s="202"/>
      <c r="B27" s="193"/>
      <c r="C27" s="193"/>
      <c r="D27" s="193"/>
      <c r="E27" s="193"/>
      <c r="F27" s="204"/>
    </row>
    <row r="28" spans="1:7" ht="12.75" customHeight="1" x14ac:dyDescent="0.2">
      <c r="A28" s="188"/>
      <c r="B28" s="205"/>
      <c r="C28" s="205"/>
      <c r="D28" s="205"/>
      <c r="E28" s="205"/>
      <c r="F28" s="206"/>
    </row>
    <row r="29" spans="1:7" ht="22.5" customHeight="1" x14ac:dyDescent="0.2">
      <c r="A29" s="426" t="s">
        <v>277</v>
      </c>
      <c r="B29" s="504"/>
      <c r="C29" s="504"/>
      <c r="D29" s="504"/>
      <c r="E29" s="504"/>
      <c r="F29" s="427"/>
    </row>
    <row r="30" spans="1:7" ht="22.5" customHeight="1" x14ac:dyDescent="0.2">
      <c r="A30" s="426" t="s">
        <v>12</v>
      </c>
      <c r="B30" s="504"/>
      <c r="C30" s="504"/>
      <c r="D30" s="504"/>
      <c r="E30" s="504"/>
      <c r="F30" s="427"/>
    </row>
    <row r="31" spans="1:7" ht="33" customHeight="1" x14ac:dyDescent="0.2">
      <c r="A31" s="189" t="s">
        <v>10</v>
      </c>
      <c r="B31" s="189" t="s">
        <v>5</v>
      </c>
      <c r="C31" s="189" t="s">
        <v>6</v>
      </c>
      <c r="D31" s="189" t="s">
        <v>7</v>
      </c>
      <c r="E31" s="189" t="s">
        <v>8</v>
      </c>
      <c r="F31" s="189" t="s">
        <v>9</v>
      </c>
    </row>
    <row r="32" spans="1:7"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9" priority="1" operator="equal">
      <formula>""</formula>
    </cfRule>
  </conditionalFormatting>
  <hyperlinks>
    <hyperlink ref="A1" location="Overview!A1" display="Back to Overview" xr:uid="{617C3BE3-FAB3-4771-A0C8-CE752355E6DF}"/>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32"/>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5" t="s">
        <v>475</v>
      </c>
      <c r="B2" s="495"/>
      <c r="C2" s="495"/>
      <c r="D2" s="495"/>
      <c r="E2" s="495"/>
      <c r="F2" s="495"/>
    </row>
    <row r="3" spans="1:9" ht="47.25" customHeight="1" x14ac:dyDescent="0.2">
      <c r="A3" s="396" t="str">
        <f>Overview!B4&amp;" - Illustrative LLFs in WPD West Midlands Area (GSP Group_E) for year beginning "&amp;TEXT(Overview!$D$4,"d mmmm yyyy")&amp;""</f>
        <v>Leep Electricity Networks Limited - Illustrative LLFs in WPD West Midlands Area (GSP Group_E) for year beginning 1 April 2027</v>
      </c>
      <c r="B3" s="432"/>
      <c r="C3" s="432"/>
      <c r="D3" s="432"/>
      <c r="E3" s="433"/>
    </row>
    <row r="4" spans="1:9" ht="19.5" customHeight="1" x14ac:dyDescent="0.2">
      <c r="A4" s="510" t="s">
        <v>13</v>
      </c>
      <c r="B4" s="189" t="s">
        <v>5</v>
      </c>
      <c r="C4" s="189" t="s">
        <v>6</v>
      </c>
      <c r="D4" s="189" t="s">
        <v>7</v>
      </c>
      <c r="E4" s="189" t="s">
        <v>8</v>
      </c>
    </row>
    <row r="5" spans="1:9" ht="34.5" customHeight="1" x14ac:dyDescent="0.2">
      <c r="A5" s="511"/>
      <c r="B5" s="189" t="s">
        <v>2033</v>
      </c>
      <c r="C5" s="189" t="s">
        <v>2034</v>
      </c>
      <c r="D5" s="189" t="s">
        <v>2035</v>
      </c>
      <c r="E5" s="189" t="s">
        <v>2036</v>
      </c>
    </row>
    <row r="6" spans="1:9" ht="45" customHeight="1" x14ac:dyDescent="0.2">
      <c r="A6" s="306" t="s">
        <v>2037</v>
      </c>
      <c r="B6" s="106" t="s">
        <v>797</v>
      </c>
      <c r="C6" s="106" t="s">
        <v>797</v>
      </c>
      <c r="D6" s="106" t="s">
        <v>2038</v>
      </c>
      <c r="E6" s="106" t="s">
        <v>2039</v>
      </c>
    </row>
    <row r="7" spans="1:9" ht="45" customHeight="1" x14ac:dyDescent="0.2">
      <c r="A7" s="306" t="s">
        <v>2040</v>
      </c>
      <c r="B7" s="106" t="s">
        <v>2041</v>
      </c>
      <c r="C7" s="106" t="s">
        <v>2042</v>
      </c>
      <c r="D7" s="106" t="s">
        <v>2038</v>
      </c>
      <c r="E7" s="106" t="s">
        <v>2043</v>
      </c>
    </row>
    <row r="8" spans="1:9" ht="45" customHeight="1" x14ac:dyDescent="0.2">
      <c r="A8" s="306" t="s">
        <v>798</v>
      </c>
      <c r="B8" s="106" t="s">
        <v>797</v>
      </c>
      <c r="C8" s="106" t="s">
        <v>797</v>
      </c>
      <c r="D8" s="106" t="s">
        <v>2038</v>
      </c>
      <c r="E8" s="106" t="s">
        <v>2039</v>
      </c>
    </row>
    <row r="9" spans="1:9" ht="25.5" customHeight="1" x14ac:dyDescent="0.2">
      <c r="A9" s="198" t="s">
        <v>14</v>
      </c>
      <c r="B9" s="515" t="s">
        <v>15</v>
      </c>
      <c r="C9" s="516"/>
      <c r="D9" s="516"/>
      <c r="E9" s="517"/>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26" t="s">
        <v>383</v>
      </c>
      <c r="B12" s="504"/>
      <c r="C12" s="504"/>
      <c r="D12" s="504"/>
      <c r="E12" s="504"/>
      <c r="F12" s="427"/>
    </row>
    <row r="13" spans="1:9" ht="22.5" customHeight="1" x14ac:dyDescent="0.2">
      <c r="A13" s="426" t="s">
        <v>4</v>
      </c>
      <c r="B13" s="504"/>
      <c r="C13" s="504"/>
      <c r="D13" s="504"/>
      <c r="E13" s="504"/>
      <c r="F13" s="427"/>
    </row>
    <row r="14" spans="1:9" ht="33" customHeight="1" x14ac:dyDescent="0.2">
      <c r="A14" s="189" t="s">
        <v>384</v>
      </c>
      <c r="B14" s="189" t="s">
        <v>5</v>
      </c>
      <c r="C14" s="189" t="s">
        <v>6</v>
      </c>
      <c r="D14" s="189" t="s">
        <v>7</v>
      </c>
      <c r="E14" s="189" t="s">
        <v>8</v>
      </c>
      <c r="F14" s="189" t="s">
        <v>9</v>
      </c>
    </row>
    <row r="15" spans="1:9" x14ac:dyDescent="0.2">
      <c r="A15" s="202" t="s">
        <v>469</v>
      </c>
      <c r="B15" s="193"/>
      <c r="C15" s="193"/>
      <c r="D15" s="193"/>
      <c r="E15" s="193"/>
      <c r="F15" s="301"/>
    </row>
    <row r="16" spans="1:9" x14ac:dyDescent="0.2">
      <c r="A16" s="202" t="s">
        <v>470</v>
      </c>
      <c r="B16" s="193"/>
      <c r="C16" s="193"/>
      <c r="D16" s="193"/>
      <c r="E16" s="193"/>
      <c r="F16" s="301"/>
    </row>
    <row r="17" spans="1:7" x14ac:dyDescent="0.2">
      <c r="A17" s="202" t="s">
        <v>471</v>
      </c>
      <c r="B17" s="193"/>
      <c r="C17" s="193"/>
      <c r="D17" s="193"/>
      <c r="E17" s="193"/>
      <c r="F17" s="301"/>
    </row>
    <row r="18" spans="1:7" x14ac:dyDescent="0.2">
      <c r="A18" s="202" t="s">
        <v>472</v>
      </c>
      <c r="B18" s="193"/>
      <c r="C18" s="193"/>
      <c r="D18" s="193"/>
      <c r="E18" s="193"/>
      <c r="F18" s="301"/>
    </row>
    <row r="19" spans="1:7" x14ac:dyDescent="0.2">
      <c r="A19" s="202" t="s">
        <v>466</v>
      </c>
      <c r="B19" s="193"/>
      <c r="C19" s="193"/>
      <c r="D19" s="193"/>
      <c r="E19" s="193"/>
      <c r="F19" s="301" t="s">
        <v>797</v>
      </c>
      <c r="G19" s="303">
        <v>4</v>
      </c>
    </row>
    <row r="20" spans="1:7" ht="63.75" x14ac:dyDescent="0.2">
      <c r="A20" s="202" t="s">
        <v>465</v>
      </c>
      <c r="B20" s="193"/>
      <c r="C20" s="193"/>
      <c r="D20" s="193"/>
      <c r="E20" s="193"/>
      <c r="F20" s="301" t="s">
        <v>2130</v>
      </c>
      <c r="G20" s="303">
        <v>3</v>
      </c>
    </row>
    <row r="21" spans="1:7" ht="76.5" x14ac:dyDescent="0.2">
      <c r="A21" s="202" t="s">
        <v>464</v>
      </c>
      <c r="B21" s="193"/>
      <c r="C21" s="193"/>
      <c r="D21" s="193"/>
      <c r="E21" s="193"/>
      <c r="F21" s="301" t="s">
        <v>2131</v>
      </c>
      <c r="G21" s="303">
        <v>2</v>
      </c>
    </row>
    <row r="22" spans="1:7" ht="293.25" x14ac:dyDescent="0.2">
      <c r="A22" s="202" t="s">
        <v>463</v>
      </c>
      <c r="B22" s="193"/>
      <c r="C22" s="193"/>
      <c r="D22" s="193"/>
      <c r="E22" s="193"/>
      <c r="F22" s="301" t="s">
        <v>2132</v>
      </c>
      <c r="G22" s="303">
        <v>1</v>
      </c>
    </row>
    <row r="23" spans="1:7" ht="12.75" customHeight="1" x14ac:dyDescent="0.2"/>
    <row r="24" spans="1:7" ht="22.5" customHeight="1" x14ac:dyDescent="0.2">
      <c r="A24" s="426" t="s">
        <v>277</v>
      </c>
      <c r="B24" s="504"/>
      <c r="C24" s="504"/>
      <c r="D24" s="504"/>
      <c r="E24" s="504"/>
      <c r="F24" s="427"/>
    </row>
    <row r="25" spans="1:7" ht="22.5" customHeight="1" x14ac:dyDescent="0.2">
      <c r="A25" s="426" t="s">
        <v>11</v>
      </c>
      <c r="B25" s="504"/>
      <c r="C25" s="504"/>
      <c r="D25" s="504"/>
      <c r="E25" s="504"/>
      <c r="F25" s="427"/>
    </row>
    <row r="26" spans="1:7" ht="33" customHeight="1" x14ac:dyDescent="0.2">
      <c r="A26" s="189" t="s">
        <v>10</v>
      </c>
      <c r="B26" s="189" t="s">
        <v>5</v>
      </c>
      <c r="C26" s="189" t="s">
        <v>6</v>
      </c>
      <c r="D26" s="189" t="s">
        <v>7</v>
      </c>
      <c r="E26" s="189" t="s">
        <v>8</v>
      </c>
      <c r="F26" s="189" t="s">
        <v>9</v>
      </c>
    </row>
    <row r="27" spans="1:7" ht="22.5" customHeight="1" x14ac:dyDescent="0.2">
      <c r="A27" s="203"/>
      <c r="B27" s="193"/>
      <c r="C27" s="193"/>
      <c r="D27" s="193"/>
      <c r="E27" s="193"/>
      <c r="F27" s="204"/>
    </row>
    <row r="28" spans="1:7" ht="12.75" customHeight="1" x14ac:dyDescent="0.2"/>
    <row r="29" spans="1:7" ht="22.5" customHeight="1" x14ac:dyDescent="0.2">
      <c r="A29" s="426" t="s">
        <v>277</v>
      </c>
      <c r="B29" s="504"/>
      <c r="C29" s="504"/>
      <c r="D29" s="504"/>
      <c r="E29" s="504"/>
      <c r="F29" s="427"/>
    </row>
    <row r="30" spans="1:7" ht="22.5" customHeight="1" x14ac:dyDescent="0.2">
      <c r="A30" s="426" t="s">
        <v>12</v>
      </c>
      <c r="B30" s="504"/>
      <c r="C30" s="504"/>
      <c r="D30" s="504"/>
      <c r="E30" s="504"/>
      <c r="F30" s="427"/>
    </row>
    <row r="31" spans="1:7" ht="33" customHeight="1" x14ac:dyDescent="0.2">
      <c r="A31" s="189" t="s">
        <v>10</v>
      </c>
      <c r="B31" s="189" t="s">
        <v>5</v>
      </c>
      <c r="C31" s="189" t="s">
        <v>6</v>
      </c>
      <c r="D31" s="189" t="s">
        <v>7</v>
      </c>
      <c r="E31" s="189" t="s">
        <v>8</v>
      </c>
      <c r="F31" s="189" t="s">
        <v>9</v>
      </c>
    </row>
    <row r="32" spans="1:7"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8" priority="1" operator="equal">
      <formula>""</formula>
    </cfRule>
  </conditionalFormatting>
  <hyperlinks>
    <hyperlink ref="A1" location="Overview!A1" display="Back to Overview" xr:uid="{B80BC6AF-2C47-4BFF-9E7D-531E566AEB6A}"/>
  </hyperlinks>
  <pageMargins left="0.39370078740157483" right="0.35433070866141736" top="0.68906250000000002" bottom="0.55118110236220474" header="0.27559055118110237" footer="0.31496062992125984"/>
  <pageSetup paperSize="9" scale="63" fitToHeight="0" orientation="portrait" r:id="rId1"/>
  <headerFooter scaleWithDoc="0">
    <oddHeader>&amp;L&amp;"Arial,Bold"
Annex 5 – Schedule of Line Loss Factors</oddHeader>
    <firstFooter>&amp;C&amp;P of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121"/>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5" t="s">
        <v>475</v>
      </c>
      <c r="B2" s="495"/>
      <c r="C2" s="495"/>
      <c r="D2" s="495"/>
      <c r="E2" s="495"/>
      <c r="F2" s="495"/>
    </row>
    <row r="3" spans="1:6" ht="47.25" customHeight="1" x14ac:dyDescent="0.2">
      <c r="A3" s="396" t="str">
        <f>Overview!B4&amp;" - Illustrative LLFs in NPG Northeast Area (GSP Group_F) for year beginning "&amp;TEXT(Overview!$D$4,"d mmmm yyyy")&amp;""</f>
        <v>Leep Electricity Networks Limited - Illustrative LLFs in NPG Northeast Area (GSP Group_F) for year beginning 1 April 2027</v>
      </c>
      <c r="B3" s="432"/>
      <c r="C3" s="432"/>
      <c r="D3" s="432"/>
      <c r="E3" s="433"/>
    </row>
    <row r="4" spans="1:6" ht="19.5" customHeight="1" x14ac:dyDescent="0.2">
      <c r="A4" s="510" t="s">
        <v>13</v>
      </c>
      <c r="B4" s="189" t="s">
        <v>5</v>
      </c>
      <c r="C4" s="189" t="s">
        <v>6</v>
      </c>
      <c r="D4" s="189" t="s">
        <v>7</v>
      </c>
      <c r="E4" s="189" t="s">
        <v>8</v>
      </c>
    </row>
    <row r="5" spans="1:6" ht="40.5" customHeight="1" x14ac:dyDescent="0.2">
      <c r="A5" s="511"/>
      <c r="B5" s="189"/>
      <c r="C5" s="189"/>
      <c r="D5" s="189"/>
      <c r="E5" s="189"/>
    </row>
    <row r="6" spans="1:6" ht="45" customHeight="1" x14ac:dyDescent="0.2">
      <c r="A6" s="306">
        <v>0</v>
      </c>
      <c r="B6" s="334" t="s">
        <v>797</v>
      </c>
      <c r="C6" s="334" t="s">
        <v>797</v>
      </c>
      <c r="D6" s="334" t="s">
        <v>797</v>
      </c>
      <c r="E6" s="334" t="s">
        <v>797</v>
      </c>
    </row>
    <row r="7" spans="1:6" ht="45" customHeight="1" x14ac:dyDescent="0.2">
      <c r="A7" s="306">
        <v>0</v>
      </c>
      <c r="B7" s="334" t="s">
        <v>797</v>
      </c>
      <c r="C7" s="334" t="s">
        <v>797</v>
      </c>
      <c r="D7" s="334" t="s">
        <v>797</v>
      </c>
      <c r="E7" s="334" t="s">
        <v>797</v>
      </c>
    </row>
    <row r="8" spans="1:6" ht="45" customHeight="1" x14ac:dyDescent="0.2">
      <c r="A8" s="306">
        <v>0</v>
      </c>
      <c r="B8" s="334" t="s">
        <v>797</v>
      </c>
      <c r="C8" s="334" t="s">
        <v>797</v>
      </c>
      <c r="D8" s="334" t="s">
        <v>797</v>
      </c>
      <c r="E8" s="334" t="s">
        <v>797</v>
      </c>
    </row>
    <row r="9" spans="1:6" ht="45" customHeight="1" x14ac:dyDescent="0.2">
      <c r="A9" s="306">
        <v>0</v>
      </c>
      <c r="B9" s="334" t="s">
        <v>797</v>
      </c>
      <c r="C9" s="334" t="s">
        <v>797</v>
      </c>
      <c r="D9" s="334" t="s">
        <v>797</v>
      </c>
      <c r="E9" s="334" t="s">
        <v>797</v>
      </c>
      <c r="F9" s="22" t="s">
        <v>385</v>
      </c>
    </row>
    <row r="10" spans="1:6" ht="45" customHeight="1" x14ac:dyDescent="0.2">
      <c r="A10" s="306">
        <v>0</v>
      </c>
      <c r="B10" s="334" t="s">
        <v>797</v>
      </c>
      <c r="C10" s="334" t="s">
        <v>797</v>
      </c>
      <c r="D10" s="334" t="s">
        <v>797</v>
      </c>
      <c r="E10" s="334" t="s">
        <v>797</v>
      </c>
      <c r="F10" s="23" t="s">
        <v>385</v>
      </c>
    </row>
    <row r="11" spans="1:6" ht="25.5" customHeight="1" x14ac:dyDescent="0.2">
      <c r="A11" s="170" t="s">
        <v>14</v>
      </c>
      <c r="B11" s="512" t="s">
        <v>15</v>
      </c>
      <c r="C11" s="513"/>
      <c r="D11" s="513"/>
      <c r="E11" s="514"/>
    </row>
    <row r="12" spans="1:6" ht="12.75" customHeight="1" x14ac:dyDescent="0.2">
      <c r="A12" s="199"/>
      <c r="B12" s="200"/>
      <c r="C12" s="200"/>
      <c r="D12" s="200"/>
      <c r="E12" s="200"/>
    </row>
    <row r="13" spans="1:6" ht="12.75" customHeight="1" x14ac:dyDescent="0.2">
      <c r="B13" s="200"/>
      <c r="C13" s="200"/>
      <c r="D13" s="200"/>
      <c r="E13" s="200"/>
    </row>
    <row r="14" spans="1:6" ht="22.5" customHeight="1" x14ac:dyDescent="0.2">
      <c r="A14" s="426" t="s">
        <v>275</v>
      </c>
      <c r="B14" s="504"/>
      <c r="C14" s="504"/>
      <c r="D14" s="504"/>
      <c r="E14" s="504"/>
      <c r="F14" s="427"/>
    </row>
    <row r="15" spans="1:6" ht="22.5" customHeight="1" x14ac:dyDescent="0.2">
      <c r="A15" s="426" t="s">
        <v>4</v>
      </c>
      <c r="B15" s="504"/>
      <c r="C15" s="504"/>
      <c r="D15" s="504"/>
      <c r="E15" s="504"/>
      <c r="F15" s="427"/>
    </row>
    <row r="16" spans="1:6" ht="33" customHeight="1" x14ac:dyDescent="0.2">
      <c r="A16" s="189" t="s">
        <v>276</v>
      </c>
      <c r="B16" s="189" t="s">
        <v>5</v>
      </c>
      <c r="C16" s="189" t="s">
        <v>6</v>
      </c>
      <c r="D16" s="189" t="s">
        <v>7</v>
      </c>
      <c r="E16" s="189" t="s">
        <v>8</v>
      </c>
      <c r="F16" s="189" t="s">
        <v>9</v>
      </c>
    </row>
    <row r="17" spans="1:6" ht="178.5" x14ac:dyDescent="0.2">
      <c r="A17" s="202" t="s">
        <v>463</v>
      </c>
      <c r="B17" s="202"/>
      <c r="C17" s="202"/>
      <c r="D17" s="202"/>
      <c r="E17" s="202"/>
      <c r="F17" s="301" t="s">
        <v>2133</v>
      </c>
    </row>
    <row r="18" spans="1:6" ht="63.75" x14ac:dyDescent="0.2">
      <c r="A18" s="202" t="s">
        <v>464</v>
      </c>
      <c r="B18" s="202"/>
      <c r="C18" s="202"/>
      <c r="D18" s="202"/>
      <c r="E18" s="202"/>
      <c r="F18" s="301" t="s">
        <v>2134</v>
      </c>
    </row>
    <row r="19" spans="1:6" ht="178.5" x14ac:dyDescent="0.2">
      <c r="A19" s="202" t="s">
        <v>465</v>
      </c>
      <c r="B19" s="202"/>
      <c r="C19" s="202"/>
      <c r="D19" s="202"/>
      <c r="E19" s="202"/>
      <c r="F19" s="301" t="s">
        <v>2133</v>
      </c>
    </row>
    <row r="20" spans="1:6" ht="22.5" customHeight="1" x14ac:dyDescent="0.2">
      <c r="A20" s="202" t="s">
        <v>466</v>
      </c>
      <c r="B20" s="202"/>
      <c r="C20" s="202"/>
      <c r="D20" s="202"/>
      <c r="E20" s="202"/>
      <c r="F20" s="301" t="s">
        <v>797</v>
      </c>
    </row>
    <row r="21" spans="1:6" ht="30" customHeight="1" x14ac:dyDescent="0.2">
      <c r="A21" s="202" t="s">
        <v>467</v>
      </c>
      <c r="B21" s="202"/>
      <c r="C21" s="202"/>
      <c r="D21" s="202"/>
      <c r="E21" s="202"/>
      <c r="F21" s="301"/>
    </row>
    <row r="22" spans="1:6" ht="30" customHeight="1" x14ac:dyDescent="0.2">
      <c r="A22" s="202" t="s">
        <v>468</v>
      </c>
      <c r="B22" s="202"/>
      <c r="C22" s="202"/>
      <c r="D22" s="202"/>
      <c r="E22" s="202"/>
      <c r="F22" s="301"/>
    </row>
    <row r="23" spans="1:6" ht="12.75" customHeight="1" x14ac:dyDescent="0.2"/>
    <row r="24" spans="1:6" ht="22.5" customHeight="1" x14ac:dyDescent="0.2">
      <c r="A24" s="426" t="s">
        <v>277</v>
      </c>
      <c r="B24" s="504"/>
      <c r="C24" s="504"/>
      <c r="D24" s="504"/>
      <c r="E24" s="504"/>
      <c r="F24" s="427"/>
    </row>
    <row r="25" spans="1:6" ht="22.5" customHeight="1" x14ac:dyDescent="0.2">
      <c r="A25" s="426" t="s">
        <v>11</v>
      </c>
      <c r="B25" s="504"/>
      <c r="C25" s="504"/>
      <c r="D25" s="504"/>
      <c r="E25" s="504"/>
      <c r="F25" s="427"/>
    </row>
    <row r="26" spans="1:6" ht="33" customHeight="1" x14ac:dyDescent="0.2">
      <c r="A26" s="189" t="s">
        <v>10</v>
      </c>
      <c r="B26" s="189" t="s">
        <v>5</v>
      </c>
      <c r="C26" s="189" t="s">
        <v>6</v>
      </c>
      <c r="D26" s="189" t="s">
        <v>7</v>
      </c>
      <c r="E26" s="189" t="s">
        <v>8</v>
      </c>
      <c r="F26" s="189" t="s">
        <v>9</v>
      </c>
    </row>
    <row r="27" spans="1:6" ht="22.5" customHeight="1" x14ac:dyDescent="0.2">
      <c r="A27" s="202"/>
      <c r="B27" s="204"/>
      <c r="C27" s="204"/>
      <c r="D27" s="204"/>
      <c r="E27" s="204"/>
      <c r="F27" s="207"/>
    </row>
    <row r="28" spans="1:6" ht="12.75" customHeight="1" x14ac:dyDescent="0.2"/>
    <row r="29" spans="1:6" ht="22.5" customHeight="1" x14ac:dyDescent="0.2">
      <c r="A29" s="426" t="s">
        <v>277</v>
      </c>
      <c r="B29" s="504"/>
      <c r="C29" s="504"/>
      <c r="D29" s="504"/>
      <c r="E29" s="504"/>
      <c r="F29" s="427"/>
    </row>
    <row r="30" spans="1:6" ht="22.5" customHeight="1" x14ac:dyDescent="0.2">
      <c r="A30" s="426" t="s">
        <v>12</v>
      </c>
      <c r="B30" s="504"/>
      <c r="C30" s="504"/>
      <c r="D30" s="504"/>
      <c r="E30" s="504"/>
      <c r="F30" s="427"/>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row r="120" ht="22.5" customHeight="1" x14ac:dyDescent="0.2"/>
    <row r="121" ht="22.5" customHeight="1" x14ac:dyDescent="0.2"/>
  </sheetData>
  <mergeCells count="10">
    <mergeCell ref="A2:F2"/>
    <mergeCell ref="A24:F24"/>
    <mergeCell ref="A25:F25"/>
    <mergeCell ref="A29:F29"/>
    <mergeCell ref="A30:F30"/>
    <mergeCell ref="A3:E3"/>
    <mergeCell ref="A4:A5"/>
    <mergeCell ref="B11:E11"/>
    <mergeCell ref="A14:F14"/>
    <mergeCell ref="A15:F15"/>
  </mergeCells>
  <conditionalFormatting sqref="B6:E10">
    <cfRule type="cellIs" dxfId="17" priority="1" operator="equal">
      <formula>""</formula>
    </cfRule>
  </conditionalFormatting>
  <hyperlinks>
    <hyperlink ref="A1" location="Overview!A1" display="Back to Overview" xr:uid="{BE451CA1-1146-4D37-9160-FB36685DE51C}"/>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ER31"/>
  <sheetViews>
    <sheetView zoomScale="70" zoomScaleNormal="70" workbookViewId="0"/>
  </sheetViews>
  <sheetFormatPr defaultColWidth="9.140625" defaultRowHeight="12.75" x14ac:dyDescent="0.2"/>
  <cols>
    <col min="1" max="6" width="24" style="22" customWidth="1"/>
    <col min="7" max="16384" width="9.140625" style="22"/>
  </cols>
  <sheetData>
    <row r="1" spans="1:16372" s="96" customFormat="1" ht="27.75" customHeight="1" x14ac:dyDescent="0.2">
      <c r="A1" s="31" t="s">
        <v>19</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c r="SS1" s="22"/>
      <c r="ST1" s="22"/>
      <c r="SU1" s="22"/>
      <c r="SV1" s="22"/>
      <c r="SW1" s="22"/>
      <c r="SX1" s="22"/>
      <c r="SY1" s="22"/>
      <c r="SZ1" s="22"/>
      <c r="TA1" s="22"/>
      <c r="TB1" s="22"/>
      <c r="TC1" s="22"/>
      <c r="TD1" s="22"/>
      <c r="TE1" s="22"/>
      <c r="TF1" s="22"/>
      <c r="TG1" s="22"/>
      <c r="TH1" s="22"/>
      <c r="TI1" s="22"/>
      <c r="TJ1" s="22"/>
      <c r="TK1" s="22"/>
      <c r="TL1" s="22"/>
      <c r="TM1" s="22"/>
      <c r="TN1" s="22"/>
      <c r="TO1" s="22"/>
      <c r="TP1" s="22"/>
      <c r="TQ1" s="22"/>
      <c r="TR1" s="22"/>
      <c r="TS1" s="22"/>
      <c r="TT1" s="22"/>
      <c r="TU1" s="22"/>
      <c r="TV1" s="22"/>
      <c r="TW1" s="22"/>
      <c r="TX1" s="22"/>
      <c r="TY1" s="22"/>
      <c r="TZ1" s="22"/>
      <c r="UA1" s="22"/>
      <c r="UB1" s="22"/>
      <c r="UC1" s="22"/>
      <c r="UD1" s="22"/>
      <c r="UE1" s="22"/>
      <c r="UF1" s="22"/>
      <c r="UG1" s="22"/>
      <c r="UH1" s="22"/>
      <c r="UI1" s="22"/>
      <c r="UJ1" s="22"/>
      <c r="UK1" s="22"/>
      <c r="UL1" s="22"/>
      <c r="UM1" s="22"/>
      <c r="UN1" s="22"/>
      <c r="UO1" s="22"/>
      <c r="UP1" s="22"/>
      <c r="UQ1" s="22"/>
      <c r="UR1" s="22"/>
      <c r="US1" s="22"/>
      <c r="UT1" s="22"/>
      <c r="UU1" s="22"/>
      <c r="UV1" s="22"/>
      <c r="UW1" s="22"/>
      <c r="UX1" s="22"/>
      <c r="UY1" s="22"/>
      <c r="UZ1" s="22"/>
      <c r="VA1" s="22"/>
      <c r="VB1" s="22"/>
      <c r="VC1" s="22"/>
      <c r="VD1" s="22"/>
      <c r="VE1" s="22"/>
      <c r="VF1" s="22"/>
      <c r="VG1" s="22"/>
      <c r="VH1" s="22"/>
      <c r="VI1" s="22"/>
      <c r="VJ1" s="22"/>
      <c r="VK1" s="22"/>
      <c r="VL1" s="22"/>
      <c r="VM1" s="22"/>
      <c r="VN1" s="22"/>
      <c r="VO1" s="22"/>
      <c r="VP1" s="22"/>
      <c r="VQ1" s="22"/>
      <c r="VR1" s="22"/>
      <c r="VS1" s="22"/>
      <c r="VT1" s="22"/>
      <c r="VU1" s="22"/>
      <c r="VV1" s="22"/>
      <c r="VW1" s="22"/>
      <c r="VX1" s="22"/>
      <c r="VY1" s="22"/>
      <c r="VZ1" s="22"/>
      <c r="WA1" s="22"/>
      <c r="WB1" s="22"/>
      <c r="WC1" s="22"/>
      <c r="WD1" s="22"/>
      <c r="WE1" s="22"/>
      <c r="WF1" s="22"/>
      <c r="WG1" s="22"/>
      <c r="WH1" s="22"/>
      <c r="WI1" s="22"/>
      <c r="WJ1" s="22"/>
      <c r="WK1" s="22"/>
      <c r="WL1" s="22"/>
      <c r="WM1" s="22"/>
      <c r="WN1" s="22"/>
      <c r="WO1" s="22"/>
      <c r="WP1" s="22"/>
      <c r="WQ1" s="22"/>
      <c r="WR1" s="22"/>
      <c r="WS1" s="22"/>
      <c r="WT1" s="22"/>
      <c r="WU1" s="22"/>
      <c r="WV1" s="22"/>
      <c r="WW1" s="22"/>
      <c r="WX1" s="22"/>
      <c r="WY1" s="22"/>
      <c r="WZ1" s="22"/>
      <c r="XA1" s="22"/>
      <c r="XB1" s="22"/>
      <c r="XC1" s="22"/>
      <c r="XD1" s="22"/>
      <c r="XE1" s="22"/>
      <c r="XF1" s="22"/>
      <c r="XG1" s="22"/>
      <c r="XH1" s="22"/>
      <c r="XI1" s="22"/>
      <c r="XJ1" s="22"/>
      <c r="XK1" s="22"/>
      <c r="XL1" s="22"/>
      <c r="XM1" s="22"/>
      <c r="XN1" s="22"/>
      <c r="XO1" s="22"/>
      <c r="XP1" s="22"/>
      <c r="XQ1" s="22"/>
      <c r="XR1" s="22"/>
      <c r="XS1" s="22"/>
      <c r="XT1" s="22"/>
      <c r="XU1" s="22"/>
      <c r="XV1" s="22"/>
      <c r="XW1" s="22"/>
      <c r="XX1" s="22"/>
      <c r="XY1" s="22"/>
      <c r="XZ1" s="22"/>
      <c r="YA1" s="22"/>
      <c r="YB1" s="22"/>
      <c r="YC1" s="22"/>
      <c r="YD1" s="22"/>
      <c r="YE1" s="22"/>
      <c r="YF1" s="22"/>
      <c r="YG1" s="22"/>
      <c r="YH1" s="22"/>
      <c r="YI1" s="22"/>
      <c r="YJ1" s="22"/>
      <c r="YK1" s="22"/>
      <c r="YL1" s="22"/>
      <c r="YM1" s="22"/>
      <c r="YN1" s="22"/>
      <c r="YO1" s="22"/>
      <c r="YP1" s="22"/>
      <c r="YQ1" s="22"/>
      <c r="YR1" s="22"/>
      <c r="YS1" s="22"/>
      <c r="YT1" s="22"/>
      <c r="YU1" s="22"/>
      <c r="YV1" s="22"/>
      <c r="YW1" s="22"/>
      <c r="YX1" s="22"/>
      <c r="YY1" s="22"/>
      <c r="YZ1" s="22"/>
      <c r="ZA1" s="22"/>
      <c r="ZB1" s="22"/>
      <c r="ZC1" s="22"/>
      <c r="ZD1" s="22"/>
      <c r="ZE1" s="22"/>
      <c r="ZF1" s="22"/>
      <c r="ZG1" s="22"/>
      <c r="ZH1" s="22"/>
      <c r="ZI1" s="22"/>
      <c r="ZJ1" s="22"/>
      <c r="ZK1" s="22"/>
      <c r="ZL1" s="22"/>
      <c r="ZM1" s="22"/>
      <c r="ZN1" s="22"/>
      <c r="ZO1" s="22"/>
      <c r="ZP1" s="22"/>
      <c r="ZQ1" s="22"/>
      <c r="ZR1" s="22"/>
      <c r="ZS1" s="22"/>
      <c r="ZT1" s="22"/>
      <c r="ZU1" s="22"/>
      <c r="ZV1" s="22"/>
      <c r="ZW1" s="22"/>
      <c r="ZX1" s="22"/>
      <c r="ZY1" s="22"/>
      <c r="ZZ1" s="22"/>
      <c r="AAA1" s="22"/>
      <c r="AAB1" s="22"/>
      <c r="AAC1" s="22"/>
      <c r="AAD1" s="22"/>
      <c r="AAE1" s="22"/>
      <c r="AAF1" s="22"/>
      <c r="AAG1" s="22"/>
      <c r="AAH1" s="22"/>
      <c r="AAI1" s="22"/>
      <c r="AAJ1" s="22"/>
      <c r="AAK1" s="22"/>
      <c r="AAL1" s="22"/>
      <c r="AAM1" s="22"/>
      <c r="AAN1" s="22"/>
      <c r="AAO1" s="22"/>
      <c r="AAP1" s="22"/>
      <c r="AAQ1" s="22"/>
      <c r="AAR1" s="22"/>
      <c r="AAS1" s="22"/>
      <c r="AAT1" s="22"/>
      <c r="AAU1" s="22"/>
      <c r="AAV1" s="22"/>
      <c r="AAW1" s="22"/>
      <c r="AAX1" s="22"/>
      <c r="AAY1" s="22"/>
      <c r="AAZ1" s="22"/>
      <c r="ABA1" s="22"/>
      <c r="ABB1" s="22"/>
      <c r="ABC1" s="22"/>
      <c r="ABD1" s="22"/>
      <c r="ABE1" s="22"/>
      <c r="ABF1" s="22"/>
      <c r="ABG1" s="22"/>
      <c r="ABH1" s="22"/>
      <c r="ABI1" s="22"/>
      <c r="ABJ1" s="22"/>
      <c r="ABK1" s="22"/>
      <c r="ABL1" s="22"/>
      <c r="ABM1" s="22"/>
      <c r="ABN1" s="22"/>
      <c r="ABO1" s="22"/>
      <c r="ABP1" s="22"/>
      <c r="ABQ1" s="22"/>
      <c r="ABR1" s="22"/>
      <c r="ABS1" s="22"/>
      <c r="ABT1" s="22"/>
      <c r="ABU1" s="22"/>
      <c r="ABV1" s="22"/>
      <c r="ABW1" s="22"/>
      <c r="ABX1" s="22"/>
      <c r="ABY1" s="22"/>
      <c r="ABZ1" s="22"/>
      <c r="ACA1" s="22"/>
      <c r="ACB1" s="22"/>
      <c r="ACC1" s="22"/>
      <c r="ACD1" s="22"/>
      <c r="ACE1" s="22"/>
      <c r="ACF1" s="22"/>
      <c r="ACG1" s="22"/>
      <c r="ACH1" s="22"/>
      <c r="ACI1" s="22"/>
      <c r="ACJ1" s="22"/>
      <c r="ACK1" s="22"/>
      <c r="ACL1" s="22"/>
      <c r="ACM1" s="22"/>
      <c r="ACN1" s="22"/>
      <c r="ACO1" s="22"/>
      <c r="ACP1" s="22"/>
      <c r="ACQ1" s="22"/>
      <c r="ACR1" s="22"/>
      <c r="ACS1" s="22"/>
      <c r="ACT1" s="22"/>
      <c r="ACU1" s="22"/>
      <c r="ACV1" s="22"/>
      <c r="ACW1" s="22"/>
      <c r="ACX1" s="22"/>
      <c r="ACY1" s="22"/>
      <c r="ACZ1" s="22"/>
      <c r="ADA1" s="22"/>
      <c r="ADB1" s="22"/>
      <c r="ADC1" s="22"/>
      <c r="ADD1" s="22"/>
      <c r="ADE1" s="22"/>
      <c r="ADF1" s="22"/>
      <c r="ADG1" s="22"/>
      <c r="ADH1" s="22"/>
      <c r="ADI1" s="22"/>
      <c r="ADJ1" s="22"/>
      <c r="ADK1" s="22"/>
      <c r="ADL1" s="22"/>
      <c r="ADM1" s="22"/>
      <c r="ADN1" s="22"/>
      <c r="ADO1" s="22"/>
      <c r="ADP1" s="22"/>
      <c r="ADQ1" s="22"/>
      <c r="ADR1" s="22"/>
      <c r="ADS1" s="22"/>
      <c r="ADT1" s="22"/>
      <c r="ADU1" s="22"/>
      <c r="ADV1" s="22"/>
      <c r="ADW1" s="22"/>
      <c r="ADX1" s="22"/>
      <c r="ADY1" s="22"/>
      <c r="ADZ1" s="22"/>
      <c r="AEA1" s="22"/>
      <c r="AEB1" s="22"/>
      <c r="AEC1" s="22"/>
      <c r="AED1" s="22"/>
      <c r="AEE1" s="22"/>
      <c r="AEF1" s="22"/>
      <c r="AEG1" s="22"/>
      <c r="AEH1" s="22"/>
      <c r="AEI1" s="22"/>
      <c r="AEJ1" s="22"/>
      <c r="AEK1" s="22"/>
      <c r="AEL1" s="22"/>
      <c r="AEM1" s="22"/>
      <c r="AEN1" s="22"/>
      <c r="AEO1" s="22"/>
      <c r="AEP1" s="22"/>
      <c r="AEQ1" s="22"/>
      <c r="AER1" s="22"/>
      <c r="AES1" s="22"/>
      <c r="AET1" s="22"/>
      <c r="AEU1" s="22"/>
      <c r="AEV1" s="22"/>
      <c r="AEW1" s="22"/>
      <c r="AEX1" s="22"/>
      <c r="AEY1" s="22"/>
      <c r="AEZ1" s="22"/>
      <c r="AFA1" s="22"/>
      <c r="AFB1" s="22"/>
      <c r="AFC1" s="22"/>
      <c r="AFD1" s="22"/>
      <c r="AFE1" s="22"/>
      <c r="AFF1" s="22"/>
      <c r="AFG1" s="22"/>
      <c r="AFH1" s="22"/>
      <c r="AFI1" s="22"/>
      <c r="AFJ1" s="22"/>
      <c r="AFK1" s="22"/>
      <c r="AFL1" s="22"/>
      <c r="AFM1" s="22"/>
      <c r="AFN1" s="22"/>
      <c r="AFO1" s="22"/>
      <c r="AFP1" s="22"/>
      <c r="AFQ1" s="22"/>
      <c r="AFR1" s="22"/>
      <c r="AFS1" s="22"/>
      <c r="AFT1" s="22"/>
      <c r="AFU1" s="22"/>
      <c r="AFV1" s="22"/>
      <c r="AFW1" s="22"/>
      <c r="AFX1" s="22"/>
      <c r="AFY1" s="22"/>
      <c r="AFZ1" s="22"/>
      <c r="AGA1" s="22"/>
      <c r="AGB1" s="22"/>
      <c r="AGC1" s="22"/>
      <c r="AGD1" s="22"/>
      <c r="AGE1" s="22"/>
      <c r="AGF1" s="22"/>
      <c r="AGG1" s="22"/>
      <c r="AGH1" s="22"/>
      <c r="AGI1" s="22"/>
      <c r="AGJ1" s="22"/>
      <c r="AGK1" s="22"/>
      <c r="AGL1" s="22"/>
      <c r="AGM1" s="22"/>
      <c r="AGN1" s="22"/>
      <c r="AGO1" s="22"/>
      <c r="AGP1" s="22"/>
      <c r="AGQ1" s="22"/>
      <c r="AGR1" s="22"/>
      <c r="AGS1" s="22"/>
      <c r="AGT1" s="22"/>
      <c r="AGU1" s="22"/>
      <c r="AGV1" s="22"/>
      <c r="AGW1" s="22"/>
      <c r="AGX1" s="22"/>
      <c r="AGY1" s="22"/>
      <c r="AGZ1" s="22"/>
      <c r="AHA1" s="22"/>
      <c r="AHB1" s="22"/>
      <c r="AHC1" s="22"/>
      <c r="AHD1" s="22"/>
      <c r="AHE1" s="22"/>
      <c r="AHF1" s="22"/>
      <c r="AHG1" s="22"/>
      <c r="AHH1" s="22"/>
      <c r="AHI1" s="22"/>
      <c r="AHJ1" s="22"/>
      <c r="AHK1" s="22"/>
      <c r="AHL1" s="22"/>
      <c r="AHM1" s="22"/>
      <c r="AHN1" s="22"/>
      <c r="AHO1" s="22"/>
      <c r="AHP1" s="22"/>
      <c r="AHQ1" s="22"/>
      <c r="AHR1" s="22"/>
      <c r="AHS1" s="22"/>
      <c r="AHT1" s="22"/>
      <c r="AHU1" s="22"/>
      <c r="AHV1" s="22"/>
      <c r="AHW1" s="22"/>
      <c r="AHX1" s="22"/>
      <c r="AHY1" s="22"/>
      <c r="AHZ1" s="22"/>
      <c r="AIA1" s="22"/>
      <c r="AIB1" s="22"/>
      <c r="AIC1" s="22"/>
      <c r="AID1" s="22"/>
      <c r="AIE1" s="22"/>
      <c r="AIF1" s="22"/>
      <c r="AIG1" s="22"/>
      <c r="AIH1" s="22"/>
      <c r="AII1" s="22"/>
      <c r="AIJ1" s="22"/>
      <c r="AIK1" s="22"/>
      <c r="AIL1" s="22"/>
      <c r="AIM1" s="22"/>
      <c r="AIN1" s="22"/>
      <c r="AIO1" s="22"/>
      <c r="AIP1" s="22"/>
      <c r="AIQ1" s="22"/>
      <c r="AIR1" s="22"/>
      <c r="AIS1" s="22"/>
      <c r="AIT1" s="22"/>
      <c r="AIU1" s="22"/>
      <c r="AIV1" s="22"/>
      <c r="AIW1" s="22"/>
      <c r="AIX1" s="22"/>
      <c r="AIY1" s="22"/>
      <c r="AIZ1" s="22"/>
      <c r="AJA1" s="22"/>
      <c r="AJB1" s="22"/>
      <c r="AJC1" s="22"/>
      <c r="AJD1" s="22"/>
      <c r="AJE1" s="22"/>
      <c r="AJF1" s="22"/>
      <c r="AJG1" s="22"/>
      <c r="AJH1" s="22"/>
      <c r="AJI1" s="22"/>
      <c r="AJJ1" s="22"/>
      <c r="AJK1" s="22"/>
      <c r="AJL1" s="22"/>
      <c r="AJM1" s="22"/>
      <c r="AJN1" s="22"/>
      <c r="AJO1" s="22"/>
      <c r="AJP1" s="22"/>
      <c r="AJQ1" s="22"/>
      <c r="AJR1" s="22"/>
      <c r="AJS1" s="22"/>
      <c r="AJT1" s="22"/>
      <c r="AJU1" s="22"/>
      <c r="AJV1" s="22"/>
      <c r="AJW1" s="22"/>
      <c r="AJX1" s="22"/>
      <c r="AJY1" s="22"/>
      <c r="AJZ1" s="22"/>
      <c r="AKA1" s="22"/>
      <c r="AKB1" s="22"/>
      <c r="AKC1" s="22"/>
      <c r="AKD1" s="22"/>
      <c r="AKE1" s="22"/>
      <c r="AKF1" s="22"/>
      <c r="AKG1" s="22"/>
      <c r="AKH1" s="22"/>
      <c r="AKI1" s="22"/>
      <c r="AKJ1" s="22"/>
      <c r="AKK1" s="22"/>
      <c r="AKL1" s="22"/>
      <c r="AKM1" s="22"/>
      <c r="AKN1" s="22"/>
      <c r="AKO1" s="22"/>
      <c r="AKP1" s="22"/>
      <c r="AKQ1" s="22"/>
      <c r="AKR1" s="22"/>
      <c r="AKS1" s="22"/>
      <c r="AKT1" s="22"/>
      <c r="AKU1" s="22"/>
      <c r="AKV1" s="22"/>
      <c r="AKW1" s="22"/>
      <c r="AKX1" s="22"/>
      <c r="AKY1" s="22"/>
      <c r="AKZ1" s="22"/>
      <c r="ALA1" s="22"/>
      <c r="ALB1" s="22"/>
      <c r="ALC1" s="22"/>
      <c r="ALD1" s="22"/>
      <c r="ALE1" s="22"/>
      <c r="ALF1" s="22"/>
      <c r="ALG1" s="22"/>
      <c r="ALH1" s="22"/>
      <c r="ALI1" s="22"/>
      <c r="ALJ1" s="22"/>
      <c r="ALK1" s="22"/>
      <c r="ALL1" s="22"/>
      <c r="ALM1" s="22"/>
      <c r="ALN1" s="22"/>
      <c r="ALO1" s="22"/>
      <c r="ALP1" s="22"/>
      <c r="ALQ1" s="22"/>
      <c r="ALR1" s="22"/>
      <c r="ALS1" s="22"/>
      <c r="ALT1" s="22"/>
      <c r="ALU1" s="22"/>
      <c r="ALV1" s="22"/>
      <c r="ALW1" s="22"/>
      <c r="ALX1" s="22"/>
      <c r="ALY1" s="22"/>
      <c r="ALZ1" s="22"/>
      <c r="AMA1" s="22"/>
      <c r="AMB1" s="22"/>
      <c r="AMC1" s="22"/>
      <c r="AMD1" s="22"/>
      <c r="AME1" s="22"/>
      <c r="AMF1" s="22"/>
      <c r="AMG1" s="22"/>
      <c r="AMH1" s="22"/>
      <c r="AMI1" s="22"/>
      <c r="AMJ1" s="22"/>
      <c r="AMK1" s="22"/>
      <c r="AML1" s="22"/>
      <c r="AMM1" s="22"/>
      <c r="AMN1" s="22"/>
      <c r="AMO1" s="22"/>
      <c r="AMP1" s="22"/>
      <c r="AMQ1" s="22"/>
      <c r="AMR1" s="22"/>
      <c r="AMS1" s="22"/>
      <c r="AMT1" s="22"/>
      <c r="AMU1" s="22"/>
      <c r="AMV1" s="22"/>
      <c r="AMW1" s="22"/>
      <c r="AMX1" s="22"/>
      <c r="AMY1" s="22"/>
      <c r="AMZ1" s="22"/>
      <c r="ANA1" s="22"/>
      <c r="ANB1" s="22"/>
      <c r="ANC1" s="22"/>
      <c r="AND1" s="22"/>
      <c r="ANE1" s="22"/>
      <c r="ANF1" s="22"/>
      <c r="ANG1" s="22"/>
      <c r="ANH1" s="22"/>
      <c r="ANI1" s="22"/>
      <c r="ANJ1" s="22"/>
      <c r="ANK1" s="22"/>
      <c r="ANL1" s="22"/>
      <c r="ANM1" s="22"/>
      <c r="ANN1" s="22"/>
      <c r="ANO1" s="22"/>
      <c r="ANP1" s="22"/>
      <c r="ANQ1" s="22"/>
      <c r="ANR1" s="22"/>
      <c r="ANS1" s="22"/>
      <c r="ANT1" s="22"/>
      <c r="ANU1" s="22"/>
      <c r="ANV1" s="22"/>
      <c r="ANW1" s="22"/>
      <c r="ANX1" s="22"/>
      <c r="ANY1" s="22"/>
      <c r="ANZ1" s="22"/>
      <c r="AOA1" s="22"/>
      <c r="AOB1" s="22"/>
      <c r="AOC1" s="22"/>
      <c r="AOD1" s="22"/>
      <c r="AOE1" s="22"/>
      <c r="AOF1" s="22"/>
      <c r="AOG1" s="22"/>
      <c r="AOH1" s="22"/>
      <c r="AOI1" s="22"/>
      <c r="AOJ1" s="22"/>
      <c r="AOK1" s="22"/>
      <c r="AOL1" s="22"/>
      <c r="AOM1" s="22"/>
      <c r="AON1" s="22"/>
      <c r="AOO1" s="22"/>
      <c r="AOP1" s="22"/>
      <c r="AOQ1" s="22"/>
      <c r="AOR1" s="22"/>
      <c r="AOS1" s="22"/>
      <c r="AOT1" s="22"/>
      <c r="AOU1" s="22"/>
      <c r="AOV1" s="22"/>
      <c r="AOW1" s="22"/>
      <c r="AOX1" s="22"/>
      <c r="AOY1" s="22"/>
      <c r="AOZ1" s="22"/>
      <c r="APA1" s="22"/>
      <c r="APB1" s="22"/>
      <c r="APC1" s="22"/>
      <c r="APD1" s="22"/>
      <c r="APE1" s="22"/>
      <c r="APF1" s="22"/>
      <c r="APG1" s="22"/>
      <c r="APH1" s="22"/>
      <c r="API1" s="22"/>
      <c r="APJ1" s="22"/>
      <c r="APK1" s="22"/>
      <c r="APL1" s="22"/>
      <c r="APM1" s="22"/>
      <c r="APN1" s="22"/>
      <c r="APO1" s="22"/>
      <c r="APP1" s="22"/>
      <c r="APQ1" s="22"/>
      <c r="APR1" s="22"/>
      <c r="APS1" s="22"/>
      <c r="APT1" s="22"/>
      <c r="APU1" s="22"/>
      <c r="APV1" s="22"/>
      <c r="APW1" s="22"/>
      <c r="APX1" s="22"/>
      <c r="APY1" s="22"/>
      <c r="APZ1" s="22"/>
      <c r="AQA1" s="22"/>
      <c r="AQB1" s="22"/>
      <c r="AQC1" s="22"/>
      <c r="AQD1" s="22"/>
      <c r="AQE1" s="22"/>
      <c r="AQF1" s="22"/>
      <c r="AQG1" s="22"/>
      <c r="AQH1" s="22"/>
      <c r="AQI1" s="22"/>
      <c r="AQJ1" s="22"/>
      <c r="AQK1" s="22"/>
      <c r="AQL1" s="22"/>
      <c r="AQM1" s="22"/>
      <c r="AQN1" s="22"/>
      <c r="AQO1" s="22"/>
      <c r="AQP1" s="22"/>
      <c r="AQQ1" s="22"/>
      <c r="AQR1" s="22"/>
      <c r="AQS1" s="22"/>
      <c r="AQT1" s="22"/>
      <c r="AQU1" s="22"/>
      <c r="AQV1" s="22"/>
      <c r="AQW1" s="22"/>
      <c r="AQX1" s="22"/>
      <c r="AQY1" s="22"/>
      <c r="AQZ1" s="22"/>
      <c r="ARA1" s="22"/>
      <c r="ARB1" s="22"/>
      <c r="ARC1" s="22"/>
      <c r="ARD1" s="22"/>
      <c r="ARE1" s="22"/>
      <c r="ARF1" s="22"/>
      <c r="ARG1" s="22"/>
      <c r="ARH1" s="22"/>
      <c r="ARI1" s="22"/>
      <c r="ARJ1" s="22"/>
      <c r="ARK1" s="22"/>
      <c r="ARL1" s="22"/>
      <c r="ARM1" s="22"/>
      <c r="ARN1" s="22"/>
      <c r="ARO1" s="22"/>
      <c r="ARP1" s="22"/>
      <c r="ARQ1" s="22"/>
      <c r="ARR1" s="22"/>
      <c r="ARS1" s="22"/>
      <c r="ART1" s="22"/>
      <c r="ARU1" s="22"/>
      <c r="ARV1" s="22"/>
      <c r="ARW1" s="22"/>
      <c r="ARX1" s="22"/>
      <c r="ARY1" s="22"/>
      <c r="ARZ1" s="22"/>
      <c r="ASA1" s="22"/>
      <c r="ASB1" s="22"/>
      <c r="ASC1" s="22"/>
      <c r="ASD1" s="22"/>
      <c r="ASE1" s="22"/>
      <c r="ASF1" s="22"/>
      <c r="ASG1" s="22"/>
      <c r="ASH1" s="22"/>
      <c r="ASI1" s="22"/>
      <c r="ASJ1" s="22"/>
      <c r="ASK1" s="22"/>
      <c r="ASL1" s="22"/>
      <c r="ASM1" s="22"/>
      <c r="ASN1" s="22"/>
      <c r="ASO1" s="22"/>
      <c r="ASP1" s="22"/>
      <c r="ASQ1" s="22"/>
      <c r="ASR1" s="22"/>
      <c r="ASS1" s="22"/>
      <c r="AST1" s="22"/>
      <c r="ASU1" s="22"/>
      <c r="ASV1" s="22"/>
      <c r="ASW1" s="22"/>
      <c r="ASX1" s="22"/>
      <c r="ASY1" s="22"/>
      <c r="ASZ1" s="22"/>
      <c r="ATA1" s="22"/>
      <c r="ATB1" s="22"/>
      <c r="ATC1" s="22"/>
      <c r="ATD1" s="22"/>
      <c r="ATE1" s="22"/>
      <c r="ATF1" s="22"/>
      <c r="ATG1" s="22"/>
      <c r="ATH1" s="22"/>
      <c r="ATI1" s="22"/>
      <c r="ATJ1" s="22"/>
      <c r="ATK1" s="22"/>
      <c r="ATL1" s="22"/>
      <c r="ATM1" s="22"/>
      <c r="ATN1" s="22"/>
      <c r="ATO1" s="22"/>
      <c r="ATP1" s="22"/>
      <c r="ATQ1" s="22"/>
      <c r="ATR1" s="22"/>
      <c r="ATS1" s="22"/>
      <c r="ATT1" s="22"/>
      <c r="ATU1" s="22"/>
      <c r="ATV1" s="22"/>
      <c r="ATW1" s="22"/>
      <c r="ATX1" s="22"/>
      <c r="ATY1" s="22"/>
      <c r="ATZ1" s="22"/>
      <c r="AUA1" s="22"/>
      <c r="AUB1" s="22"/>
      <c r="AUC1" s="22"/>
      <c r="AUD1" s="22"/>
      <c r="AUE1" s="22"/>
      <c r="AUF1" s="22"/>
      <c r="AUG1" s="22"/>
      <c r="AUH1" s="22"/>
      <c r="AUI1" s="22"/>
      <c r="AUJ1" s="22"/>
      <c r="AUK1" s="22"/>
      <c r="AUL1" s="22"/>
      <c r="AUM1" s="22"/>
      <c r="AUN1" s="22"/>
      <c r="AUO1" s="22"/>
      <c r="AUP1" s="22"/>
      <c r="AUQ1" s="22"/>
      <c r="AUR1" s="22"/>
      <c r="AUS1" s="22"/>
      <c r="AUT1" s="22"/>
      <c r="AUU1" s="22"/>
      <c r="AUV1" s="22"/>
      <c r="AUW1" s="22"/>
      <c r="AUX1" s="22"/>
      <c r="AUY1" s="22"/>
      <c r="AUZ1" s="22"/>
      <c r="AVA1" s="22"/>
      <c r="AVB1" s="22"/>
      <c r="AVC1" s="22"/>
      <c r="AVD1" s="22"/>
      <c r="AVE1" s="22"/>
      <c r="AVF1" s="22"/>
      <c r="AVG1" s="22"/>
      <c r="AVH1" s="22"/>
      <c r="AVI1" s="22"/>
      <c r="AVJ1" s="22"/>
      <c r="AVK1" s="22"/>
      <c r="AVL1" s="22"/>
      <c r="AVM1" s="22"/>
      <c r="AVN1" s="22"/>
      <c r="AVO1" s="22"/>
      <c r="AVP1" s="22"/>
      <c r="AVQ1" s="22"/>
      <c r="AVR1" s="22"/>
      <c r="AVS1" s="22"/>
      <c r="AVT1" s="22"/>
      <c r="AVU1" s="22"/>
      <c r="AVV1" s="22"/>
      <c r="AVW1" s="22"/>
      <c r="AVX1" s="22"/>
      <c r="AVY1" s="22"/>
      <c r="AVZ1" s="22"/>
      <c r="AWA1" s="22"/>
      <c r="AWB1" s="22"/>
      <c r="AWC1" s="22"/>
      <c r="AWD1" s="22"/>
      <c r="AWE1" s="22"/>
      <c r="AWF1" s="22"/>
      <c r="AWG1" s="22"/>
      <c r="AWH1" s="22"/>
      <c r="AWI1" s="22"/>
      <c r="AWJ1" s="22"/>
      <c r="AWK1" s="22"/>
      <c r="AWL1" s="22"/>
      <c r="AWM1" s="22"/>
      <c r="AWN1" s="22"/>
      <c r="AWO1" s="22"/>
      <c r="AWP1" s="22"/>
      <c r="AWQ1" s="22"/>
      <c r="AWR1" s="22"/>
      <c r="AWS1" s="22"/>
      <c r="AWT1" s="22"/>
      <c r="AWU1" s="22"/>
      <c r="AWV1" s="22"/>
      <c r="AWW1" s="22"/>
      <c r="AWX1" s="22"/>
      <c r="AWY1" s="22"/>
      <c r="AWZ1" s="22"/>
      <c r="AXA1" s="22"/>
      <c r="AXB1" s="22"/>
      <c r="AXC1" s="22"/>
      <c r="AXD1" s="22"/>
      <c r="AXE1" s="22"/>
      <c r="AXF1" s="22"/>
      <c r="AXG1" s="22"/>
      <c r="AXH1" s="22"/>
      <c r="AXI1" s="22"/>
      <c r="AXJ1" s="22"/>
      <c r="AXK1" s="22"/>
      <c r="AXL1" s="22"/>
      <c r="AXM1" s="22"/>
      <c r="AXN1" s="22"/>
      <c r="AXO1" s="22"/>
      <c r="AXP1" s="22"/>
      <c r="AXQ1" s="22"/>
      <c r="AXR1" s="22"/>
      <c r="AXS1" s="22"/>
      <c r="AXT1" s="22"/>
      <c r="AXU1" s="22"/>
      <c r="AXV1" s="22"/>
      <c r="AXW1" s="22"/>
      <c r="AXX1" s="22"/>
      <c r="AXY1" s="22"/>
      <c r="AXZ1" s="22"/>
      <c r="AYA1" s="22"/>
      <c r="AYB1" s="22"/>
      <c r="AYC1" s="22"/>
      <c r="AYD1" s="22"/>
      <c r="AYE1" s="22"/>
      <c r="AYF1" s="22"/>
      <c r="AYG1" s="22"/>
      <c r="AYH1" s="22"/>
      <c r="AYI1" s="22"/>
      <c r="AYJ1" s="22"/>
      <c r="AYK1" s="22"/>
      <c r="AYL1" s="22"/>
      <c r="AYM1" s="22"/>
      <c r="AYN1" s="22"/>
      <c r="AYO1" s="22"/>
      <c r="AYP1" s="22"/>
      <c r="AYQ1" s="22"/>
      <c r="AYR1" s="22"/>
      <c r="AYS1" s="22"/>
      <c r="AYT1" s="22"/>
      <c r="AYU1" s="22"/>
      <c r="AYV1" s="22"/>
      <c r="AYW1" s="22"/>
      <c r="AYX1" s="22"/>
      <c r="AYY1" s="22"/>
      <c r="AYZ1" s="22"/>
      <c r="AZA1" s="22"/>
      <c r="AZB1" s="22"/>
      <c r="AZC1" s="22"/>
      <c r="AZD1" s="22"/>
      <c r="AZE1" s="22"/>
      <c r="AZF1" s="22"/>
      <c r="AZG1" s="22"/>
      <c r="AZH1" s="22"/>
      <c r="AZI1" s="22"/>
      <c r="AZJ1" s="22"/>
      <c r="AZK1" s="22"/>
      <c r="AZL1" s="22"/>
      <c r="AZM1" s="22"/>
      <c r="AZN1" s="22"/>
      <c r="AZO1" s="22"/>
      <c r="AZP1" s="22"/>
      <c r="AZQ1" s="22"/>
      <c r="AZR1" s="22"/>
      <c r="AZS1" s="22"/>
      <c r="AZT1" s="22"/>
      <c r="AZU1" s="22"/>
      <c r="AZV1" s="22"/>
      <c r="AZW1" s="22"/>
      <c r="AZX1" s="22"/>
      <c r="AZY1" s="22"/>
      <c r="AZZ1" s="22"/>
      <c r="BAA1" s="22"/>
      <c r="BAB1" s="22"/>
      <c r="BAC1" s="22"/>
      <c r="BAD1" s="22"/>
      <c r="BAE1" s="22"/>
      <c r="BAF1" s="22"/>
      <c r="BAG1" s="22"/>
      <c r="BAH1" s="22"/>
      <c r="BAI1" s="22"/>
      <c r="BAJ1" s="22"/>
      <c r="BAK1" s="22"/>
      <c r="BAL1" s="22"/>
      <c r="BAM1" s="22"/>
      <c r="BAN1" s="22"/>
      <c r="BAO1" s="22"/>
      <c r="BAP1" s="22"/>
      <c r="BAQ1" s="22"/>
      <c r="BAR1" s="22"/>
      <c r="BAS1" s="22"/>
      <c r="BAT1" s="22"/>
      <c r="BAU1" s="22"/>
      <c r="BAV1" s="22"/>
      <c r="BAW1" s="22"/>
      <c r="BAX1" s="22"/>
      <c r="BAY1" s="22"/>
      <c r="BAZ1" s="22"/>
      <c r="BBA1" s="22"/>
      <c r="BBB1" s="22"/>
      <c r="BBC1" s="22"/>
      <c r="BBD1" s="22"/>
      <c r="BBE1" s="22"/>
      <c r="BBF1" s="22"/>
      <c r="BBG1" s="22"/>
      <c r="BBH1" s="22"/>
      <c r="BBI1" s="22"/>
      <c r="BBJ1" s="22"/>
      <c r="BBK1" s="22"/>
      <c r="BBL1" s="22"/>
      <c r="BBM1" s="22"/>
      <c r="BBN1" s="22"/>
      <c r="BBO1" s="22"/>
      <c r="BBP1" s="22"/>
      <c r="BBQ1" s="22"/>
      <c r="BBR1" s="22"/>
      <c r="BBS1" s="22"/>
      <c r="BBT1" s="22"/>
      <c r="BBU1" s="22"/>
      <c r="BBV1" s="22"/>
      <c r="BBW1" s="22"/>
      <c r="BBX1" s="22"/>
      <c r="BBY1" s="22"/>
      <c r="BBZ1" s="22"/>
      <c r="BCA1" s="22"/>
      <c r="BCB1" s="22"/>
      <c r="BCC1" s="22"/>
      <c r="BCD1" s="22"/>
      <c r="BCE1" s="22"/>
      <c r="BCF1" s="22"/>
      <c r="BCG1" s="22"/>
      <c r="BCH1" s="22"/>
      <c r="BCI1" s="22"/>
      <c r="BCJ1" s="22"/>
      <c r="BCK1" s="22"/>
      <c r="BCL1" s="22"/>
      <c r="BCM1" s="22"/>
      <c r="BCN1" s="22"/>
      <c r="BCO1" s="22"/>
      <c r="BCP1" s="22"/>
      <c r="BCQ1" s="22"/>
      <c r="BCR1" s="22"/>
      <c r="BCS1" s="22"/>
      <c r="BCT1" s="22"/>
      <c r="BCU1" s="22"/>
      <c r="BCV1" s="22"/>
      <c r="BCW1" s="22"/>
      <c r="BCX1" s="22"/>
      <c r="BCY1" s="22"/>
      <c r="BCZ1" s="22"/>
      <c r="BDA1" s="22"/>
      <c r="BDB1" s="22"/>
      <c r="BDC1" s="22"/>
      <c r="BDD1" s="22"/>
      <c r="BDE1" s="22"/>
      <c r="BDF1" s="22"/>
      <c r="BDG1" s="22"/>
      <c r="BDH1" s="22"/>
      <c r="BDI1" s="22"/>
      <c r="BDJ1" s="22"/>
      <c r="BDK1" s="22"/>
      <c r="BDL1" s="22"/>
      <c r="BDM1" s="22"/>
      <c r="BDN1" s="22"/>
      <c r="BDO1" s="22"/>
      <c r="BDP1" s="22"/>
      <c r="BDQ1" s="22"/>
      <c r="BDR1" s="22"/>
      <c r="BDS1" s="22"/>
      <c r="BDT1" s="22"/>
      <c r="BDU1" s="22"/>
      <c r="BDV1" s="22"/>
      <c r="BDW1" s="22"/>
      <c r="BDX1" s="22"/>
      <c r="BDY1" s="22"/>
      <c r="BDZ1" s="22"/>
      <c r="BEA1" s="22"/>
      <c r="BEB1" s="22"/>
      <c r="BEC1" s="22"/>
      <c r="BED1" s="22"/>
      <c r="BEE1" s="22"/>
      <c r="BEF1" s="22"/>
      <c r="BEG1" s="22"/>
      <c r="BEH1" s="22"/>
      <c r="BEI1" s="22"/>
      <c r="BEJ1" s="22"/>
      <c r="BEK1" s="22"/>
      <c r="BEL1" s="22"/>
      <c r="BEM1" s="22"/>
      <c r="BEN1" s="22"/>
      <c r="BEO1" s="22"/>
      <c r="BEP1" s="22"/>
      <c r="BEQ1" s="22"/>
      <c r="BER1" s="22"/>
      <c r="BES1" s="22"/>
      <c r="BET1" s="22"/>
      <c r="BEU1" s="22"/>
      <c r="BEV1" s="22"/>
      <c r="BEW1" s="22"/>
      <c r="BEX1" s="22"/>
      <c r="BEY1" s="22"/>
      <c r="BEZ1" s="22"/>
      <c r="BFA1" s="22"/>
      <c r="BFB1" s="22"/>
      <c r="BFC1" s="22"/>
      <c r="BFD1" s="22"/>
      <c r="BFE1" s="22"/>
      <c r="BFF1" s="22"/>
      <c r="BFG1" s="22"/>
      <c r="BFH1" s="22"/>
      <c r="BFI1" s="22"/>
      <c r="BFJ1" s="22"/>
      <c r="BFK1" s="22"/>
      <c r="BFL1" s="22"/>
      <c r="BFM1" s="22"/>
      <c r="BFN1" s="22"/>
      <c r="BFO1" s="22"/>
      <c r="BFP1" s="22"/>
      <c r="BFQ1" s="22"/>
      <c r="BFR1" s="22"/>
      <c r="BFS1" s="22"/>
      <c r="BFT1" s="22"/>
      <c r="BFU1" s="22"/>
      <c r="BFV1" s="22"/>
      <c r="BFW1" s="22"/>
      <c r="BFX1" s="22"/>
      <c r="BFY1" s="22"/>
      <c r="BFZ1" s="22"/>
      <c r="BGA1" s="22"/>
      <c r="BGB1" s="22"/>
      <c r="BGC1" s="22"/>
      <c r="BGD1" s="22"/>
      <c r="BGE1" s="22"/>
      <c r="BGF1" s="22"/>
      <c r="BGG1" s="22"/>
      <c r="BGH1" s="22"/>
      <c r="BGI1" s="22"/>
      <c r="BGJ1" s="22"/>
      <c r="BGK1" s="22"/>
      <c r="BGL1" s="22"/>
      <c r="BGM1" s="22"/>
      <c r="BGN1" s="22"/>
      <c r="BGO1" s="22"/>
      <c r="BGP1" s="22"/>
      <c r="BGQ1" s="22"/>
      <c r="BGR1" s="22"/>
      <c r="BGS1" s="22"/>
      <c r="BGT1" s="22"/>
      <c r="BGU1" s="22"/>
      <c r="BGV1" s="22"/>
      <c r="BGW1" s="22"/>
      <c r="BGX1" s="22"/>
      <c r="BGY1" s="22"/>
      <c r="BGZ1" s="22"/>
      <c r="BHA1" s="22"/>
      <c r="BHB1" s="22"/>
      <c r="BHC1" s="22"/>
      <c r="BHD1" s="22"/>
      <c r="BHE1" s="22"/>
      <c r="BHF1" s="22"/>
      <c r="BHG1" s="22"/>
      <c r="BHH1" s="22"/>
      <c r="BHI1" s="22"/>
      <c r="BHJ1" s="22"/>
      <c r="BHK1" s="22"/>
      <c r="BHL1" s="22"/>
      <c r="BHM1" s="22"/>
      <c r="BHN1" s="22"/>
      <c r="BHO1" s="22"/>
      <c r="BHP1" s="22"/>
      <c r="BHQ1" s="22"/>
      <c r="BHR1" s="22"/>
      <c r="BHS1" s="22"/>
      <c r="BHT1" s="22"/>
      <c r="BHU1" s="22"/>
      <c r="BHV1" s="22"/>
      <c r="BHW1" s="22"/>
      <c r="BHX1" s="22"/>
      <c r="BHY1" s="22"/>
      <c r="BHZ1" s="22"/>
      <c r="BIA1" s="22"/>
      <c r="BIB1" s="22"/>
      <c r="BIC1" s="22"/>
      <c r="BID1" s="22"/>
      <c r="BIE1" s="22"/>
      <c r="BIF1" s="22"/>
      <c r="BIG1" s="22"/>
      <c r="BIH1" s="22"/>
      <c r="BII1" s="22"/>
      <c r="BIJ1" s="22"/>
      <c r="BIK1" s="22"/>
      <c r="BIL1" s="22"/>
      <c r="BIM1" s="22"/>
      <c r="BIN1" s="22"/>
      <c r="BIO1" s="22"/>
      <c r="BIP1" s="22"/>
      <c r="BIQ1" s="22"/>
      <c r="BIR1" s="22"/>
      <c r="BIS1" s="22"/>
      <c r="BIT1" s="22"/>
      <c r="BIU1" s="22"/>
      <c r="BIV1" s="22"/>
      <c r="BIW1" s="22"/>
      <c r="BIX1" s="22"/>
      <c r="BIY1" s="22"/>
      <c r="BIZ1" s="22"/>
      <c r="BJA1" s="22"/>
      <c r="BJB1" s="22"/>
      <c r="BJC1" s="22"/>
      <c r="BJD1" s="22"/>
      <c r="BJE1" s="22"/>
      <c r="BJF1" s="22"/>
      <c r="BJG1" s="22"/>
      <c r="BJH1" s="22"/>
      <c r="BJI1" s="22"/>
      <c r="BJJ1" s="22"/>
      <c r="BJK1" s="22"/>
      <c r="BJL1" s="22"/>
      <c r="BJM1" s="22"/>
      <c r="BJN1" s="22"/>
      <c r="BJO1" s="22"/>
      <c r="BJP1" s="22"/>
      <c r="BJQ1" s="22"/>
      <c r="BJR1" s="22"/>
      <c r="BJS1" s="22"/>
      <c r="BJT1" s="22"/>
      <c r="BJU1" s="22"/>
      <c r="BJV1" s="22"/>
      <c r="BJW1" s="22"/>
      <c r="BJX1" s="22"/>
      <c r="BJY1" s="22"/>
      <c r="BJZ1" s="22"/>
      <c r="BKA1" s="22"/>
      <c r="BKB1" s="22"/>
      <c r="BKC1" s="22"/>
      <c r="BKD1" s="22"/>
      <c r="BKE1" s="22"/>
      <c r="BKF1" s="22"/>
      <c r="BKG1" s="22"/>
      <c r="BKH1" s="22"/>
      <c r="BKI1" s="22"/>
      <c r="BKJ1" s="22"/>
      <c r="BKK1" s="22"/>
      <c r="BKL1" s="22"/>
      <c r="BKM1" s="22"/>
      <c r="BKN1" s="22"/>
      <c r="BKO1" s="22"/>
      <c r="BKP1" s="22"/>
      <c r="BKQ1" s="22"/>
      <c r="BKR1" s="22"/>
      <c r="BKS1" s="22"/>
      <c r="BKT1" s="22"/>
      <c r="BKU1" s="22"/>
      <c r="BKV1" s="22"/>
      <c r="BKW1" s="22"/>
      <c r="BKX1" s="22"/>
      <c r="BKY1" s="22"/>
      <c r="BKZ1" s="22"/>
      <c r="BLA1" s="22"/>
      <c r="BLB1" s="22"/>
      <c r="BLC1" s="22"/>
      <c r="BLD1" s="22"/>
      <c r="BLE1" s="22"/>
      <c r="BLF1" s="22"/>
      <c r="BLG1" s="22"/>
      <c r="BLH1" s="22"/>
      <c r="BLI1" s="22"/>
      <c r="BLJ1" s="22"/>
      <c r="BLK1" s="22"/>
      <c r="BLL1" s="22"/>
      <c r="BLM1" s="22"/>
      <c r="BLN1" s="22"/>
      <c r="BLO1" s="22"/>
      <c r="BLP1" s="22"/>
      <c r="BLQ1" s="22"/>
      <c r="BLR1" s="22"/>
      <c r="BLS1" s="22"/>
      <c r="BLT1" s="22"/>
      <c r="BLU1" s="22"/>
      <c r="BLV1" s="22"/>
      <c r="BLW1" s="22"/>
      <c r="BLX1" s="22"/>
      <c r="BLY1" s="22"/>
      <c r="BLZ1" s="22"/>
      <c r="BMA1" s="22"/>
      <c r="BMB1" s="22"/>
      <c r="BMC1" s="22"/>
      <c r="BMD1" s="22"/>
      <c r="BME1" s="22"/>
      <c r="BMF1" s="22"/>
      <c r="BMG1" s="22"/>
      <c r="BMH1" s="22"/>
      <c r="BMI1" s="22"/>
      <c r="BMJ1" s="22"/>
      <c r="BMK1" s="22"/>
      <c r="BML1" s="22"/>
      <c r="BMM1" s="22"/>
      <c r="BMN1" s="22"/>
      <c r="BMO1" s="22"/>
      <c r="BMP1" s="22"/>
      <c r="BMQ1" s="22"/>
      <c r="BMR1" s="22"/>
      <c r="BMS1" s="22"/>
      <c r="BMT1" s="22"/>
      <c r="BMU1" s="22"/>
      <c r="BMV1" s="22"/>
      <c r="BMW1" s="22"/>
      <c r="BMX1" s="22"/>
      <c r="BMY1" s="22"/>
      <c r="BMZ1" s="22"/>
      <c r="BNA1" s="22"/>
      <c r="BNB1" s="22"/>
      <c r="BNC1" s="22"/>
      <c r="BND1" s="22"/>
      <c r="BNE1" s="22"/>
      <c r="BNF1" s="22"/>
      <c r="BNG1" s="22"/>
      <c r="BNH1" s="22"/>
      <c r="BNI1" s="22"/>
      <c r="BNJ1" s="22"/>
      <c r="BNK1" s="22"/>
      <c r="BNL1" s="22"/>
      <c r="BNM1" s="22"/>
      <c r="BNN1" s="22"/>
      <c r="BNO1" s="22"/>
      <c r="BNP1" s="22"/>
      <c r="BNQ1" s="22"/>
      <c r="BNR1" s="22"/>
      <c r="BNS1" s="22"/>
      <c r="BNT1" s="22"/>
      <c r="BNU1" s="22"/>
      <c r="BNV1" s="22"/>
      <c r="BNW1" s="22"/>
      <c r="BNX1" s="22"/>
      <c r="BNY1" s="22"/>
      <c r="BNZ1" s="22"/>
      <c r="BOA1" s="22"/>
      <c r="BOB1" s="22"/>
      <c r="BOC1" s="22"/>
      <c r="BOD1" s="22"/>
      <c r="BOE1" s="22"/>
      <c r="BOF1" s="22"/>
      <c r="BOG1" s="22"/>
      <c r="BOH1" s="22"/>
      <c r="BOI1" s="22"/>
      <c r="BOJ1" s="22"/>
      <c r="BOK1" s="22"/>
      <c r="BOL1" s="22"/>
      <c r="BOM1" s="22"/>
      <c r="BON1" s="22"/>
      <c r="BOO1" s="22"/>
      <c r="BOP1" s="22"/>
      <c r="BOQ1" s="22"/>
      <c r="BOR1" s="22"/>
      <c r="BOS1" s="22"/>
      <c r="BOT1" s="22"/>
      <c r="BOU1" s="22"/>
      <c r="BOV1" s="22"/>
      <c r="BOW1" s="22"/>
      <c r="BOX1" s="22"/>
      <c r="BOY1" s="22"/>
      <c r="BOZ1" s="22"/>
      <c r="BPA1" s="22"/>
      <c r="BPB1" s="22"/>
      <c r="BPC1" s="22"/>
      <c r="BPD1" s="22"/>
      <c r="BPE1" s="22"/>
      <c r="BPF1" s="22"/>
      <c r="BPG1" s="22"/>
      <c r="BPH1" s="22"/>
      <c r="BPI1" s="22"/>
      <c r="BPJ1" s="22"/>
      <c r="BPK1" s="22"/>
      <c r="BPL1" s="22"/>
      <c r="BPM1" s="22"/>
      <c r="BPN1" s="22"/>
      <c r="BPO1" s="22"/>
      <c r="BPP1" s="22"/>
      <c r="BPQ1" s="22"/>
      <c r="BPR1" s="22"/>
      <c r="BPS1" s="22"/>
      <c r="BPT1" s="22"/>
      <c r="BPU1" s="22"/>
      <c r="BPV1" s="22"/>
      <c r="BPW1" s="22"/>
      <c r="BPX1" s="22"/>
      <c r="BPY1" s="22"/>
      <c r="BPZ1" s="22"/>
      <c r="BQA1" s="22"/>
      <c r="BQB1" s="22"/>
      <c r="BQC1" s="22"/>
      <c r="BQD1" s="22"/>
      <c r="BQE1" s="22"/>
      <c r="BQF1" s="22"/>
      <c r="BQG1" s="22"/>
      <c r="BQH1" s="22"/>
      <c r="BQI1" s="22"/>
      <c r="BQJ1" s="22"/>
      <c r="BQK1" s="22"/>
      <c r="BQL1" s="22"/>
      <c r="BQM1" s="22"/>
      <c r="BQN1" s="22"/>
      <c r="BQO1" s="22"/>
      <c r="BQP1" s="22"/>
      <c r="BQQ1" s="22"/>
      <c r="BQR1" s="22"/>
      <c r="BQS1" s="22"/>
      <c r="BQT1" s="22"/>
      <c r="BQU1" s="22"/>
      <c r="BQV1" s="22"/>
      <c r="BQW1" s="22"/>
      <c r="BQX1" s="22"/>
      <c r="BQY1" s="22"/>
      <c r="BQZ1" s="22"/>
      <c r="BRA1" s="22"/>
      <c r="BRB1" s="22"/>
      <c r="BRC1" s="22"/>
      <c r="BRD1" s="22"/>
      <c r="BRE1" s="22"/>
      <c r="BRF1" s="22"/>
      <c r="BRG1" s="22"/>
      <c r="BRH1" s="22"/>
      <c r="BRI1" s="22"/>
      <c r="BRJ1" s="22"/>
      <c r="BRK1" s="22"/>
      <c r="BRL1" s="22"/>
      <c r="BRM1" s="22"/>
      <c r="BRN1" s="22"/>
      <c r="BRO1" s="22"/>
      <c r="BRP1" s="22"/>
      <c r="BRQ1" s="22"/>
      <c r="BRR1" s="22"/>
      <c r="BRS1" s="22"/>
      <c r="BRT1" s="22"/>
      <c r="BRU1" s="22"/>
      <c r="BRV1" s="22"/>
      <c r="BRW1" s="22"/>
      <c r="BRX1" s="22"/>
      <c r="BRY1" s="22"/>
      <c r="BRZ1" s="22"/>
      <c r="BSA1" s="22"/>
      <c r="BSB1" s="22"/>
      <c r="BSC1" s="22"/>
      <c r="BSD1" s="22"/>
      <c r="BSE1" s="22"/>
      <c r="BSF1" s="22"/>
      <c r="BSG1" s="22"/>
      <c r="BSH1" s="22"/>
      <c r="BSI1" s="22"/>
      <c r="BSJ1" s="22"/>
      <c r="BSK1" s="22"/>
      <c r="BSL1" s="22"/>
      <c r="BSM1" s="22"/>
      <c r="BSN1" s="22"/>
      <c r="BSO1" s="22"/>
      <c r="BSP1" s="22"/>
      <c r="BSQ1" s="22"/>
      <c r="BSR1" s="22"/>
      <c r="BSS1" s="22"/>
      <c r="BST1" s="22"/>
      <c r="BSU1" s="22"/>
      <c r="BSV1" s="22"/>
      <c r="BSW1" s="22"/>
      <c r="BSX1" s="22"/>
      <c r="BSY1" s="22"/>
      <c r="BSZ1" s="22"/>
      <c r="BTA1" s="22"/>
      <c r="BTB1" s="22"/>
      <c r="BTC1" s="22"/>
      <c r="BTD1" s="22"/>
      <c r="BTE1" s="22"/>
      <c r="BTF1" s="22"/>
      <c r="BTG1" s="22"/>
      <c r="BTH1" s="22"/>
      <c r="BTI1" s="22"/>
      <c r="BTJ1" s="22"/>
      <c r="BTK1" s="22"/>
      <c r="BTL1" s="22"/>
      <c r="BTM1" s="22"/>
      <c r="BTN1" s="22"/>
      <c r="BTO1" s="22"/>
      <c r="BTP1" s="22"/>
      <c r="BTQ1" s="22"/>
      <c r="BTR1" s="22"/>
      <c r="BTS1" s="22"/>
      <c r="BTT1" s="22"/>
      <c r="BTU1" s="22"/>
      <c r="BTV1" s="22"/>
      <c r="BTW1" s="22"/>
      <c r="BTX1" s="22"/>
      <c r="BTY1" s="22"/>
      <c r="BTZ1" s="22"/>
      <c r="BUA1" s="22"/>
      <c r="BUB1" s="22"/>
      <c r="BUC1" s="22"/>
      <c r="BUD1" s="22"/>
      <c r="BUE1" s="22"/>
      <c r="BUF1" s="22"/>
      <c r="BUG1" s="22"/>
      <c r="BUH1" s="22"/>
      <c r="BUI1" s="22"/>
      <c r="BUJ1" s="22"/>
      <c r="BUK1" s="22"/>
      <c r="BUL1" s="22"/>
      <c r="BUM1" s="22"/>
      <c r="BUN1" s="22"/>
      <c r="BUO1" s="22"/>
      <c r="BUP1" s="22"/>
      <c r="BUQ1" s="22"/>
      <c r="BUR1" s="22"/>
      <c r="BUS1" s="22"/>
      <c r="BUT1" s="22"/>
      <c r="BUU1" s="22"/>
      <c r="BUV1" s="22"/>
      <c r="BUW1" s="22"/>
      <c r="BUX1" s="22"/>
      <c r="BUY1" s="22"/>
      <c r="BUZ1" s="22"/>
      <c r="BVA1" s="22"/>
      <c r="BVB1" s="22"/>
      <c r="BVC1" s="22"/>
      <c r="BVD1" s="22"/>
      <c r="BVE1" s="22"/>
      <c r="BVF1" s="22"/>
      <c r="BVG1" s="22"/>
      <c r="BVH1" s="22"/>
      <c r="BVI1" s="22"/>
      <c r="BVJ1" s="22"/>
      <c r="BVK1" s="22"/>
      <c r="BVL1" s="22"/>
      <c r="BVM1" s="22"/>
      <c r="BVN1" s="22"/>
      <c r="BVO1" s="22"/>
      <c r="BVP1" s="22"/>
      <c r="BVQ1" s="22"/>
      <c r="BVR1" s="22"/>
      <c r="BVS1" s="22"/>
      <c r="BVT1" s="22"/>
      <c r="BVU1" s="22"/>
      <c r="BVV1" s="22"/>
      <c r="BVW1" s="22"/>
      <c r="BVX1" s="22"/>
      <c r="BVY1" s="22"/>
      <c r="BVZ1" s="22"/>
      <c r="BWA1" s="22"/>
      <c r="BWB1" s="22"/>
      <c r="BWC1" s="22"/>
      <c r="BWD1" s="22"/>
      <c r="BWE1" s="22"/>
      <c r="BWF1" s="22"/>
      <c r="BWG1" s="22"/>
      <c r="BWH1" s="22"/>
      <c r="BWI1" s="22"/>
      <c r="BWJ1" s="22"/>
      <c r="BWK1" s="22"/>
      <c r="BWL1" s="22"/>
      <c r="BWM1" s="22"/>
      <c r="BWN1" s="22"/>
      <c r="BWO1" s="22"/>
      <c r="BWP1" s="22"/>
      <c r="BWQ1" s="22"/>
      <c r="BWR1" s="22"/>
      <c r="BWS1" s="22"/>
      <c r="BWT1" s="22"/>
      <c r="BWU1" s="22"/>
      <c r="BWV1" s="22"/>
      <c r="BWW1" s="22"/>
      <c r="BWX1" s="22"/>
      <c r="BWY1" s="22"/>
      <c r="BWZ1" s="22"/>
      <c r="BXA1" s="22"/>
      <c r="BXB1" s="22"/>
      <c r="BXC1" s="22"/>
      <c r="BXD1" s="22"/>
      <c r="BXE1" s="22"/>
      <c r="BXF1" s="22"/>
      <c r="BXG1" s="22"/>
      <c r="BXH1" s="22"/>
      <c r="BXI1" s="22"/>
      <c r="BXJ1" s="22"/>
      <c r="BXK1" s="22"/>
      <c r="BXL1" s="22"/>
      <c r="BXM1" s="22"/>
      <c r="BXN1" s="22"/>
      <c r="BXO1" s="22"/>
      <c r="BXP1" s="22"/>
      <c r="BXQ1" s="22"/>
      <c r="BXR1" s="22"/>
      <c r="BXS1" s="22"/>
      <c r="BXT1" s="22"/>
      <c r="BXU1" s="22"/>
      <c r="BXV1" s="22"/>
      <c r="BXW1" s="22"/>
      <c r="BXX1" s="22"/>
      <c r="BXY1" s="22"/>
      <c r="BXZ1" s="22"/>
      <c r="BYA1" s="22"/>
      <c r="BYB1" s="22"/>
      <c r="BYC1" s="22"/>
      <c r="BYD1" s="22"/>
      <c r="BYE1" s="22"/>
      <c r="BYF1" s="22"/>
      <c r="BYG1" s="22"/>
      <c r="BYH1" s="22"/>
      <c r="BYI1" s="22"/>
      <c r="BYJ1" s="22"/>
      <c r="BYK1" s="22"/>
      <c r="BYL1" s="22"/>
      <c r="BYM1" s="22"/>
      <c r="BYN1" s="22"/>
      <c r="BYO1" s="22"/>
      <c r="BYP1" s="22"/>
      <c r="BYQ1" s="22"/>
      <c r="BYR1" s="22"/>
      <c r="BYS1" s="22"/>
      <c r="BYT1" s="22"/>
      <c r="BYU1" s="22"/>
      <c r="BYV1" s="22"/>
      <c r="BYW1" s="22"/>
      <c r="BYX1" s="22"/>
      <c r="BYY1" s="22"/>
      <c r="BYZ1" s="22"/>
      <c r="BZA1" s="22"/>
      <c r="BZB1" s="22"/>
      <c r="BZC1" s="22"/>
      <c r="BZD1" s="22"/>
      <c r="BZE1" s="22"/>
      <c r="BZF1" s="22"/>
      <c r="BZG1" s="22"/>
      <c r="BZH1" s="22"/>
      <c r="BZI1" s="22"/>
      <c r="BZJ1" s="22"/>
      <c r="BZK1" s="22"/>
      <c r="BZL1" s="22"/>
      <c r="BZM1" s="22"/>
      <c r="BZN1" s="22"/>
      <c r="BZO1" s="22"/>
      <c r="BZP1" s="22"/>
      <c r="BZQ1" s="22"/>
      <c r="BZR1" s="22"/>
      <c r="BZS1" s="22"/>
      <c r="BZT1" s="22"/>
      <c r="BZU1" s="22"/>
      <c r="BZV1" s="22"/>
      <c r="BZW1" s="22"/>
      <c r="BZX1" s="22"/>
      <c r="BZY1" s="22"/>
      <c r="BZZ1" s="22"/>
      <c r="CAA1" s="22"/>
      <c r="CAB1" s="22"/>
      <c r="CAC1" s="22"/>
      <c r="CAD1" s="22"/>
      <c r="CAE1" s="22"/>
      <c r="CAF1" s="22"/>
      <c r="CAG1" s="22"/>
      <c r="CAH1" s="22"/>
      <c r="CAI1" s="22"/>
      <c r="CAJ1" s="22"/>
      <c r="CAK1" s="22"/>
      <c r="CAL1" s="22"/>
      <c r="CAM1" s="22"/>
      <c r="CAN1" s="22"/>
      <c r="CAO1" s="22"/>
      <c r="CAP1" s="22"/>
      <c r="CAQ1" s="22"/>
      <c r="CAR1" s="22"/>
      <c r="CAS1" s="22"/>
      <c r="CAT1" s="22"/>
      <c r="CAU1" s="22"/>
      <c r="CAV1" s="22"/>
      <c r="CAW1" s="22"/>
      <c r="CAX1" s="22"/>
      <c r="CAY1" s="22"/>
      <c r="CAZ1" s="22"/>
      <c r="CBA1" s="22"/>
      <c r="CBB1" s="22"/>
      <c r="CBC1" s="22"/>
      <c r="CBD1" s="22"/>
      <c r="CBE1" s="22"/>
      <c r="CBF1" s="22"/>
      <c r="CBG1" s="22"/>
      <c r="CBH1" s="22"/>
      <c r="CBI1" s="22"/>
      <c r="CBJ1" s="22"/>
      <c r="CBK1" s="22"/>
      <c r="CBL1" s="22"/>
      <c r="CBM1" s="22"/>
      <c r="CBN1" s="22"/>
      <c r="CBO1" s="22"/>
      <c r="CBP1" s="22"/>
      <c r="CBQ1" s="22"/>
      <c r="CBR1" s="22"/>
      <c r="CBS1" s="22"/>
      <c r="CBT1" s="22"/>
      <c r="CBU1" s="22"/>
      <c r="CBV1" s="22"/>
      <c r="CBW1" s="22"/>
      <c r="CBX1" s="22"/>
      <c r="CBY1" s="22"/>
      <c r="CBZ1" s="22"/>
      <c r="CCA1" s="22"/>
      <c r="CCB1" s="22"/>
      <c r="CCC1" s="22"/>
      <c r="CCD1" s="22"/>
      <c r="CCE1" s="22"/>
      <c r="CCF1" s="22"/>
      <c r="CCG1" s="22"/>
      <c r="CCH1" s="22"/>
      <c r="CCI1" s="22"/>
      <c r="CCJ1" s="22"/>
      <c r="CCK1" s="22"/>
      <c r="CCL1" s="22"/>
      <c r="CCM1" s="22"/>
      <c r="CCN1" s="22"/>
      <c r="CCO1" s="22"/>
      <c r="CCP1" s="22"/>
      <c r="CCQ1" s="22"/>
      <c r="CCR1" s="22"/>
      <c r="CCS1" s="22"/>
      <c r="CCT1" s="22"/>
      <c r="CCU1" s="22"/>
      <c r="CCV1" s="22"/>
      <c r="CCW1" s="22"/>
      <c r="CCX1" s="22"/>
      <c r="CCY1" s="22"/>
      <c r="CCZ1" s="22"/>
      <c r="CDA1" s="22"/>
      <c r="CDB1" s="22"/>
      <c r="CDC1" s="22"/>
      <c r="CDD1" s="22"/>
      <c r="CDE1" s="22"/>
      <c r="CDF1" s="22"/>
      <c r="CDG1" s="22"/>
      <c r="CDH1" s="22"/>
      <c r="CDI1" s="22"/>
      <c r="CDJ1" s="22"/>
      <c r="CDK1" s="22"/>
      <c r="CDL1" s="22"/>
      <c r="CDM1" s="22"/>
      <c r="CDN1" s="22"/>
      <c r="CDO1" s="22"/>
      <c r="CDP1" s="22"/>
      <c r="CDQ1" s="22"/>
      <c r="CDR1" s="22"/>
      <c r="CDS1" s="22"/>
      <c r="CDT1" s="22"/>
      <c r="CDU1" s="22"/>
      <c r="CDV1" s="22"/>
      <c r="CDW1" s="22"/>
      <c r="CDX1" s="22"/>
      <c r="CDY1" s="22"/>
      <c r="CDZ1" s="22"/>
      <c r="CEA1" s="22"/>
      <c r="CEB1" s="22"/>
      <c r="CEC1" s="22"/>
      <c r="CED1" s="22"/>
      <c r="CEE1" s="22"/>
      <c r="CEF1" s="22"/>
      <c r="CEG1" s="22"/>
      <c r="CEH1" s="22"/>
      <c r="CEI1" s="22"/>
      <c r="CEJ1" s="22"/>
      <c r="CEK1" s="22"/>
      <c r="CEL1" s="22"/>
      <c r="CEM1" s="22"/>
      <c r="CEN1" s="22"/>
      <c r="CEO1" s="22"/>
      <c r="CEP1" s="22"/>
      <c r="CEQ1" s="22"/>
      <c r="CER1" s="22"/>
      <c r="CES1" s="22"/>
      <c r="CET1" s="22"/>
      <c r="CEU1" s="22"/>
      <c r="CEV1" s="22"/>
      <c r="CEW1" s="22"/>
      <c r="CEX1" s="22"/>
      <c r="CEY1" s="22"/>
      <c r="CEZ1" s="22"/>
      <c r="CFA1" s="22"/>
      <c r="CFB1" s="22"/>
      <c r="CFC1" s="22"/>
      <c r="CFD1" s="22"/>
      <c r="CFE1" s="22"/>
      <c r="CFF1" s="22"/>
      <c r="CFG1" s="22"/>
      <c r="CFH1" s="22"/>
      <c r="CFI1" s="22"/>
      <c r="CFJ1" s="22"/>
      <c r="CFK1" s="22"/>
      <c r="CFL1" s="22"/>
      <c r="CFM1" s="22"/>
      <c r="CFN1" s="22"/>
      <c r="CFO1" s="22"/>
      <c r="CFP1" s="22"/>
      <c r="CFQ1" s="22"/>
      <c r="CFR1" s="22"/>
      <c r="CFS1" s="22"/>
      <c r="CFT1" s="22"/>
      <c r="CFU1" s="22"/>
      <c r="CFV1" s="22"/>
      <c r="CFW1" s="22"/>
      <c r="CFX1" s="22"/>
      <c r="CFY1" s="22"/>
      <c r="CFZ1" s="22"/>
      <c r="CGA1" s="22"/>
      <c r="CGB1" s="22"/>
      <c r="CGC1" s="22"/>
      <c r="CGD1" s="22"/>
      <c r="CGE1" s="22"/>
      <c r="CGF1" s="22"/>
      <c r="CGG1" s="22"/>
      <c r="CGH1" s="22"/>
      <c r="CGI1" s="22"/>
      <c r="CGJ1" s="22"/>
      <c r="CGK1" s="22"/>
      <c r="CGL1" s="22"/>
      <c r="CGM1" s="22"/>
      <c r="CGN1" s="22"/>
      <c r="CGO1" s="22"/>
      <c r="CGP1" s="22"/>
      <c r="CGQ1" s="22"/>
      <c r="CGR1" s="22"/>
      <c r="CGS1" s="22"/>
      <c r="CGT1" s="22"/>
      <c r="CGU1" s="22"/>
      <c r="CGV1" s="22"/>
      <c r="CGW1" s="22"/>
      <c r="CGX1" s="22"/>
      <c r="CGY1" s="22"/>
      <c r="CGZ1" s="22"/>
      <c r="CHA1" s="22"/>
      <c r="CHB1" s="22"/>
      <c r="CHC1" s="22"/>
      <c r="CHD1" s="22"/>
      <c r="CHE1" s="22"/>
      <c r="CHF1" s="22"/>
      <c r="CHG1" s="22"/>
      <c r="CHH1" s="22"/>
      <c r="CHI1" s="22"/>
      <c r="CHJ1" s="22"/>
      <c r="CHK1" s="22"/>
      <c r="CHL1" s="22"/>
      <c r="CHM1" s="22"/>
      <c r="CHN1" s="22"/>
      <c r="CHO1" s="22"/>
      <c r="CHP1" s="22"/>
      <c r="CHQ1" s="22"/>
      <c r="CHR1" s="22"/>
      <c r="CHS1" s="22"/>
      <c r="CHT1" s="22"/>
      <c r="CHU1" s="22"/>
      <c r="CHV1" s="22"/>
      <c r="CHW1" s="22"/>
      <c r="CHX1" s="22"/>
      <c r="CHY1" s="22"/>
      <c r="CHZ1" s="22"/>
      <c r="CIA1" s="22"/>
      <c r="CIB1" s="22"/>
      <c r="CIC1" s="22"/>
      <c r="CID1" s="22"/>
      <c r="CIE1" s="22"/>
      <c r="CIF1" s="22"/>
      <c r="CIG1" s="22"/>
      <c r="CIH1" s="22"/>
      <c r="CII1" s="22"/>
      <c r="CIJ1" s="22"/>
      <c r="CIK1" s="22"/>
      <c r="CIL1" s="22"/>
      <c r="CIM1" s="22"/>
      <c r="CIN1" s="22"/>
      <c r="CIO1" s="22"/>
      <c r="CIP1" s="22"/>
      <c r="CIQ1" s="22"/>
      <c r="CIR1" s="22"/>
      <c r="CIS1" s="22"/>
      <c r="CIT1" s="22"/>
      <c r="CIU1" s="22"/>
      <c r="CIV1" s="22"/>
      <c r="CIW1" s="22"/>
      <c r="CIX1" s="22"/>
      <c r="CIY1" s="22"/>
      <c r="CIZ1" s="22"/>
      <c r="CJA1" s="22"/>
      <c r="CJB1" s="22"/>
      <c r="CJC1" s="22"/>
      <c r="CJD1" s="22"/>
      <c r="CJE1" s="22"/>
      <c r="CJF1" s="22"/>
      <c r="CJG1" s="22"/>
      <c r="CJH1" s="22"/>
      <c r="CJI1" s="22"/>
      <c r="CJJ1" s="22"/>
      <c r="CJK1" s="22"/>
      <c r="CJL1" s="22"/>
      <c r="CJM1" s="22"/>
      <c r="CJN1" s="22"/>
      <c r="CJO1" s="22"/>
      <c r="CJP1" s="22"/>
      <c r="CJQ1" s="22"/>
      <c r="CJR1" s="22"/>
      <c r="CJS1" s="22"/>
      <c r="CJT1" s="22"/>
      <c r="CJU1" s="22"/>
      <c r="CJV1" s="22"/>
      <c r="CJW1" s="22"/>
      <c r="CJX1" s="22"/>
      <c r="CJY1" s="22"/>
      <c r="CJZ1" s="22"/>
      <c r="CKA1" s="22"/>
      <c r="CKB1" s="22"/>
      <c r="CKC1" s="22"/>
      <c r="CKD1" s="22"/>
      <c r="CKE1" s="22"/>
      <c r="CKF1" s="22"/>
      <c r="CKG1" s="22"/>
      <c r="CKH1" s="22"/>
      <c r="CKI1" s="22"/>
      <c r="CKJ1" s="22"/>
      <c r="CKK1" s="22"/>
      <c r="CKL1" s="22"/>
      <c r="CKM1" s="22"/>
      <c r="CKN1" s="22"/>
      <c r="CKO1" s="22"/>
      <c r="CKP1" s="22"/>
      <c r="CKQ1" s="22"/>
      <c r="CKR1" s="22"/>
      <c r="CKS1" s="22"/>
      <c r="CKT1" s="22"/>
      <c r="CKU1" s="22"/>
      <c r="CKV1" s="22"/>
      <c r="CKW1" s="22"/>
      <c r="CKX1" s="22"/>
      <c r="CKY1" s="22"/>
      <c r="CKZ1" s="22"/>
      <c r="CLA1" s="22"/>
      <c r="CLB1" s="22"/>
      <c r="CLC1" s="22"/>
      <c r="CLD1" s="22"/>
      <c r="CLE1" s="22"/>
      <c r="CLF1" s="22"/>
      <c r="CLG1" s="22"/>
      <c r="CLH1" s="22"/>
      <c r="CLI1" s="22"/>
      <c r="CLJ1" s="22"/>
      <c r="CLK1" s="22"/>
      <c r="CLL1" s="22"/>
      <c r="CLM1" s="22"/>
      <c r="CLN1" s="22"/>
      <c r="CLO1" s="22"/>
      <c r="CLP1" s="22"/>
      <c r="CLQ1" s="22"/>
      <c r="CLR1" s="22"/>
      <c r="CLS1" s="22"/>
      <c r="CLT1" s="22"/>
      <c r="CLU1" s="22"/>
      <c r="CLV1" s="22"/>
      <c r="CLW1" s="22"/>
      <c r="CLX1" s="22"/>
      <c r="CLY1" s="22"/>
      <c r="CLZ1" s="22"/>
      <c r="CMA1" s="22"/>
      <c r="CMB1" s="22"/>
      <c r="CMC1" s="22"/>
      <c r="CMD1" s="22"/>
      <c r="CME1" s="22"/>
      <c r="CMF1" s="22"/>
      <c r="CMG1" s="22"/>
      <c r="CMH1" s="22"/>
      <c r="CMI1" s="22"/>
      <c r="CMJ1" s="22"/>
      <c r="CMK1" s="22"/>
      <c r="CML1" s="22"/>
      <c r="CMM1" s="22"/>
      <c r="CMN1" s="22"/>
      <c r="CMO1" s="22"/>
      <c r="CMP1" s="22"/>
      <c r="CMQ1" s="22"/>
      <c r="CMR1" s="22"/>
      <c r="CMS1" s="22"/>
      <c r="CMT1" s="22"/>
      <c r="CMU1" s="22"/>
      <c r="CMV1" s="22"/>
      <c r="CMW1" s="22"/>
      <c r="CMX1" s="22"/>
      <c r="CMY1" s="22"/>
      <c r="CMZ1" s="22"/>
      <c r="CNA1" s="22"/>
      <c r="CNB1" s="22"/>
      <c r="CNC1" s="22"/>
      <c r="CND1" s="22"/>
      <c r="CNE1" s="22"/>
      <c r="CNF1" s="22"/>
      <c r="CNG1" s="22"/>
      <c r="CNH1" s="22"/>
      <c r="CNI1" s="22"/>
      <c r="CNJ1" s="22"/>
      <c r="CNK1" s="22"/>
      <c r="CNL1" s="22"/>
      <c r="CNM1" s="22"/>
      <c r="CNN1" s="22"/>
      <c r="CNO1" s="22"/>
      <c r="CNP1" s="22"/>
      <c r="CNQ1" s="22"/>
      <c r="CNR1" s="22"/>
      <c r="CNS1" s="22"/>
      <c r="CNT1" s="22"/>
      <c r="CNU1" s="22"/>
      <c r="CNV1" s="22"/>
      <c r="CNW1" s="22"/>
      <c r="CNX1" s="22"/>
      <c r="CNY1" s="22"/>
      <c r="CNZ1" s="22"/>
      <c r="COA1" s="22"/>
      <c r="COB1" s="22"/>
      <c r="COC1" s="22"/>
      <c r="COD1" s="22"/>
      <c r="COE1" s="22"/>
      <c r="COF1" s="22"/>
      <c r="COG1" s="22"/>
      <c r="COH1" s="22"/>
      <c r="COI1" s="22"/>
      <c r="COJ1" s="22"/>
      <c r="COK1" s="22"/>
      <c r="COL1" s="22"/>
      <c r="COM1" s="22"/>
      <c r="CON1" s="22"/>
      <c r="COO1" s="22"/>
      <c r="COP1" s="22"/>
      <c r="COQ1" s="22"/>
      <c r="COR1" s="22"/>
      <c r="COS1" s="22"/>
      <c r="COT1" s="22"/>
      <c r="COU1" s="22"/>
      <c r="COV1" s="22"/>
      <c r="COW1" s="22"/>
      <c r="COX1" s="22"/>
      <c r="COY1" s="22"/>
      <c r="COZ1" s="22"/>
      <c r="CPA1" s="22"/>
      <c r="CPB1" s="22"/>
      <c r="CPC1" s="22"/>
      <c r="CPD1" s="22"/>
      <c r="CPE1" s="22"/>
      <c r="CPF1" s="22"/>
      <c r="CPG1" s="22"/>
      <c r="CPH1" s="22"/>
      <c r="CPI1" s="22"/>
      <c r="CPJ1" s="22"/>
      <c r="CPK1" s="22"/>
      <c r="CPL1" s="22"/>
      <c r="CPM1" s="22"/>
      <c r="CPN1" s="22"/>
      <c r="CPO1" s="22"/>
      <c r="CPP1" s="22"/>
      <c r="CPQ1" s="22"/>
      <c r="CPR1" s="22"/>
      <c r="CPS1" s="22"/>
      <c r="CPT1" s="22"/>
      <c r="CPU1" s="22"/>
      <c r="CPV1" s="22"/>
      <c r="CPW1" s="22"/>
      <c r="CPX1" s="22"/>
      <c r="CPY1" s="22"/>
      <c r="CPZ1" s="22"/>
      <c r="CQA1" s="22"/>
      <c r="CQB1" s="22"/>
      <c r="CQC1" s="22"/>
      <c r="CQD1" s="22"/>
      <c r="CQE1" s="22"/>
      <c r="CQF1" s="22"/>
      <c r="CQG1" s="22"/>
      <c r="CQH1" s="22"/>
      <c r="CQI1" s="22"/>
      <c r="CQJ1" s="22"/>
      <c r="CQK1" s="22"/>
      <c r="CQL1" s="22"/>
      <c r="CQM1" s="22"/>
      <c r="CQN1" s="22"/>
      <c r="CQO1" s="22"/>
      <c r="CQP1" s="22"/>
      <c r="CQQ1" s="22"/>
      <c r="CQR1" s="22"/>
      <c r="CQS1" s="22"/>
      <c r="CQT1" s="22"/>
      <c r="CQU1" s="22"/>
      <c r="CQV1" s="22"/>
      <c r="CQW1" s="22"/>
      <c r="CQX1" s="22"/>
      <c r="CQY1" s="22"/>
      <c r="CQZ1" s="22"/>
      <c r="CRA1" s="22"/>
      <c r="CRB1" s="22"/>
      <c r="CRC1" s="22"/>
      <c r="CRD1" s="22"/>
      <c r="CRE1" s="22"/>
      <c r="CRF1" s="22"/>
      <c r="CRG1" s="22"/>
      <c r="CRH1" s="22"/>
      <c r="CRI1" s="22"/>
      <c r="CRJ1" s="22"/>
      <c r="CRK1" s="22"/>
      <c r="CRL1" s="22"/>
      <c r="CRM1" s="22"/>
      <c r="CRN1" s="22"/>
      <c r="CRO1" s="22"/>
      <c r="CRP1" s="22"/>
      <c r="CRQ1" s="22"/>
      <c r="CRR1" s="22"/>
      <c r="CRS1" s="22"/>
      <c r="CRT1" s="22"/>
      <c r="CRU1" s="22"/>
      <c r="CRV1" s="22"/>
      <c r="CRW1" s="22"/>
      <c r="CRX1" s="22"/>
      <c r="CRY1" s="22"/>
      <c r="CRZ1" s="22"/>
      <c r="CSA1" s="22"/>
      <c r="CSB1" s="22"/>
      <c r="CSC1" s="22"/>
      <c r="CSD1" s="22"/>
      <c r="CSE1" s="22"/>
      <c r="CSF1" s="22"/>
      <c r="CSG1" s="22"/>
      <c r="CSH1" s="22"/>
      <c r="CSI1" s="22"/>
      <c r="CSJ1" s="22"/>
      <c r="CSK1" s="22"/>
      <c r="CSL1" s="22"/>
      <c r="CSM1" s="22"/>
      <c r="CSN1" s="22"/>
      <c r="CSO1" s="22"/>
      <c r="CSP1" s="22"/>
      <c r="CSQ1" s="22"/>
      <c r="CSR1" s="22"/>
      <c r="CSS1" s="22"/>
      <c r="CST1" s="22"/>
      <c r="CSU1" s="22"/>
      <c r="CSV1" s="22"/>
      <c r="CSW1" s="22"/>
      <c r="CSX1" s="22"/>
      <c r="CSY1" s="22"/>
      <c r="CSZ1" s="22"/>
      <c r="CTA1" s="22"/>
      <c r="CTB1" s="22"/>
      <c r="CTC1" s="22"/>
      <c r="CTD1" s="22"/>
      <c r="CTE1" s="22"/>
      <c r="CTF1" s="22"/>
      <c r="CTG1" s="22"/>
      <c r="CTH1" s="22"/>
      <c r="CTI1" s="22"/>
      <c r="CTJ1" s="22"/>
      <c r="CTK1" s="22"/>
      <c r="CTL1" s="22"/>
      <c r="CTM1" s="22"/>
      <c r="CTN1" s="22"/>
      <c r="CTO1" s="22"/>
      <c r="CTP1" s="22"/>
      <c r="CTQ1" s="22"/>
      <c r="CTR1" s="22"/>
      <c r="CTS1" s="22"/>
      <c r="CTT1" s="22"/>
      <c r="CTU1" s="22"/>
      <c r="CTV1" s="22"/>
      <c r="CTW1" s="22"/>
      <c r="CTX1" s="22"/>
      <c r="CTY1" s="22"/>
      <c r="CTZ1" s="22"/>
      <c r="CUA1" s="22"/>
      <c r="CUB1" s="22"/>
      <c r="CUC1" s="22"/>
      <c r="CUD1" s="22"/>
      <c r="CUE1" s="22"/>
      <c r="CUF1" s="22"/>
      <c r="CUG1" s="22"/>
      <c r="CUH1" s="22"/>
      <c r="CUI1" s="22"/>
      <c r="CUJ1" s="22"/>
      <c r="CUK1" s="22"/>
      <c r="CUL1" s="22"/>
      <c r="CUM1" s="22"/>
      <c r="CUN1" s="22"/>
      <c r="CUO1" s="22"/>
      <c r="CUP1" s="22"/>
      <c r="CUQ1" s="22"/>
      <c r="CUR1" s="22"/>
      <c r="CUS1" s="22"/>
      <c r="CUT1" s="22"/>
      <c r="CUU1" s="22"/>
      <c r="CUV1" s="22"/>
      <c r="CUW1" s="22"/>
      <c r="CUX1" s="22"/>
      <c r="CUY1" s="22"/>
      <c r="CUZ1" s="22"/>
      <c r="CVA1" s="22"/>
      <c r="CVB1" s="22"/>
      <c r="CVC1" s="22"/>
      <c r="CVD1" s="22"/>
      <c r="CVE1" s="22"/>
      <c r="CVF1" s="22"/>
      <c r="CVG1" s="22"/>
      <c r="CVH1" s="22"/>
      <c r="CVI1" s="22"/>
      <c r="CVJ1" s="22"/>
      <c r="CVK1" s="22"/>
      <c r="CVL1" s="22"/>
      <c r="CVM1" s="22"/>
      <c r="CVN1" s="22"/>
      <c r="CVO1" s="22"/>
      <c r="CVP1" s="22"/>
      <c r="CVQ1" s="22"/>
      <c r="CVR1" s="22"/>
      <c r="CVS1" s="22"/>
      <c r="CVT1" s="22"/>
      <c r="CVU1" s="22"/>
      <c r="CVV1" s="22"/>
      <c r="CVW1" s="22"/>
      <c r="CVX1" s="22"/>
      <c r="CVY1" s="22"/>
      <c r="CVZ1" s="22"/>
      <c r="CWA1" s="22"/>
      <c r="CWB1" s="22"/>
      <c r="CWC1" s="22"/>
      <c r="CWD1" s="22"/>
      <c r="CWE1" s="22"/>
      <c r="CWF1" s="22"/>
      <c r="CWG1" s="22"/>
      <c r="CWH1" s="22"/>
      <c r="CWI1" s="22"/>
      <c r="CWJ1" s="22"/>
      <c r="CWK1" s="22"/>
      <c r="CWL1" s="22"/>
      <c r="CWM1" s="22"/>
      <c r="CWN1" s="22"/>
      <c r="CWO1" s="22"/>
      <c r="CWP1" s="22"/>
      <c r="CWQ1" s="22"/>
      <c r="CWR1" s="22"/>
      <c r="CWS1" s="22"/>
      <c r="CWT1" s="22"/>
      <c r="CWU1" s="22"/>
      <c r="CWV1" s="22"/>
      <c r="CWW1" s="22"/>
      <c r="CWX1" s="22"/>
      <c r="CWY1" s="22"/>
      <c r="CWZ1" s="22"/>
      <c r="CXA1" s="22"/>
      <c r="CXB1" s="22"/>
      <c r="CXC1" s="22"/>
      <c r="CXD1" s="22"/>
      <c r="CXE1" s="22"/>
      <c r="CXF1" s="22"/>
      <c r="CXG1" s="22"/>
      <c r="CXH1" s="22"/>
      <c r="CXI1" s="22"/>
      <c r="CXJ1" s="22"/>
      <c r="CXK1" s="22"/>
      <c r="CXL1" s="22"/>
      <c r="CXM1" s="22"/>
      <c r="CXN1" s="22"/>
      <c r="CXO1" s="22"/>
      <c r="CXP1" s="22"/>
      <c r="CXQ1" s="22"/>
      <c r="CXR1" s="22"/>
      <c r="CXS1" s="22"/>
      <c r="CXT1" s="22"/>
      <c r="CXU1" s="22"/>
      <c r="CXV1" s="22"/>
      <c r="CXW1" s="22"/>
      <c r="CXX1" s="22"/>
      <c r="CXY1" s="22"/>
      <c r="CXZ1" s="22"/>
      <c r="CYA1" s="22"/>
      <c r="CYB1" s="22"/>
      <c r="CYC1" s="22"/>
      <c r="CYD1" s="22"/>
      <c r="CYE1" s="22"/>
      <c r="CYF1" s="22"/>
      <c r="CYG1" s="22"/>
      <c r="CYH1" s="22"/>
      <c r="CYI1" s="22"/>
      <c r="CYJ1" s="22"/>
      <c r="CYK1" s="22"/>
      <c r="CYL1" s="22"/>
      <c r="CYM1" s="22"/>
      <c r="CYN1" s="22"/>
      <c r="CYO1" s="22"/>
      <c r="CYP1" s="22"/>
      <c r="CYQ1" s="22"/>
      <c r="CYR1" s="22"/>
      <c r="CYS1" s="22"/>
      <c r="CYT1" s="22"/>
      <c r="CYU1" s="22"/>
      <c r="CYV1" s="22"/>
      <c r="CYW1" s="22"/>
      <c r="CYX1" s="22"/>
      <c r="CYY1" s="22"/>
      <c r="CYZ1" s="22"/>
      <c r="CZA1" s="22"/>
      <c r="CZB1" s="22"/>
      <c r="CZC1" s="22"/>
      <c r="CZD1" s="22"/>
      <c r="CZE1" s="22"/>
      <c r="CZF1" s="22"/>
      <c r="CZG1" s="22"/>
      <c r="CZH1" s="22"/>
      <c r="CZI1" s="22"/>
      <c r="CZJ1" s="22"/>
      <c r="CZK1" s="22"/>
      <c r="CZL1" s="22"/>
      <c r="CZM1" s="22"/>
      <c r="CZN1" s="22"/>
      <c r="CZO1" s="22"/>
      <c r="CZP1" s="22"/>
      <c r="CZQ1" s="22"/>
      <c r="CZR1" s="22"/>
      <c r="CZS1" s="22"/>
      <c r="CZT1" s="22"/>
      <c r="CZU1" s="22"/>
      <c r="CZV1" s="22"/>
      <c r="CZW1" s="22"/>
      <c r="CZX1" s="22"/>
      <c r="CZY1" s="22"/>
      <c r="CZZ1" s="22"/>
      <c r="DAA1" s="22"/>
      <c r="DAB1" s="22"/>
      <c r="DAC1" s="22"/>
      <c r="DAD1" s="22"/>
      <c r="DAE1" s="22"/>
      <c r="DAF1" s="22"/>
      <c r="DAG1" s="22"/>
      <c r="DAH1" s="22"/>
      <c r="DAI1" s="22"/>
      <c r="DAJ1" s="22"/>
      <c r="DAK1" s="22"/>
      <c r="DAL1" s="22"/>
      <c r="DAM1" s="22"/>
      <c r="DAN1" s="22"/>
      <c r="DAO1" s="22"/>
      <c r="DAP1" s="22"/>
      <c r="DAQ1" s="22"/>
      <c r="DAR1" s="22"/>
      <c r="DAS1" s="22"/>
      <c r="DAT1" s="22"/>
      <c r="DAU1" s="22"/>
      <c r="DAV1" s="22"/>
      <c r="DAW1" s="22"/>
      <c r="DAX1" s="22"/>
      <c r="DAY1" s="22"/>
      <c r="DAZ1" s="22"/>
      <c r="DBA1" s="22"/>
      <c r="DBB1" s="22"/>
      <c r="DBC1" s="22"/>
      <c r="DBD1" s="22"/>
      <c r="DBE1" s="22"/>
      <c r="DBF1" s="22"/>
      <c r="DBG1" s="22"/>
      <c r="DBH1" s="22"/>
      <c r="DBI1" s="22"/>
      <c r="DBJ1" s="22"/>
      <c r="DBK1" s="22"/>
      <c r="DBL1" s="22"/>
      <c r="DBM1" s="22"/>
      <c r="DBN1" s="22"/>
      <c r="DBO1" s="22"/>
      <c r="DBP1" s="22"/>
      <c r="DBQ1" s="22"/>
      <c r="DBR1" s="22"/>
      <c r="DBS1" s="22"/>
      <c r="DBT1" s="22"/>
      <c r="DBU1" s="22"/>
      <c r="DBV1" s="22"/>
      <c r="DBW1" s="22"/>
      <c r="DBX1" s="22"/>
      <c r="DBY1" s="22"/>
      <c r="DBZ1" s="22"/>
      <c r="DCA1" s="22"/>
      <c r="DCB1" s="22"/>
      <c r="DCC1" s="22"/>
      <c r="DCD1" s="22"/>
      <c r="DCE1" s="22"/>
      <c r="DCF1" s="22"/>
      <c r="DCG1" s="22"/>
      <c r="DCH1" s="22"/>
      <c r="DCI1" s="22"/>
      <c r="DCJ1" s="22"/>
      <c r="DCK1" s="22"/>
      <c r="DCL1" s="22"/>
      <c r="DCM1" s="22"/>
      <c r="DCN1" s="22"/>
      <c r="DCO1" s="22"/>
      <c r="DCP1" s="22"/>
      <c r="DCQ1" s="22"/>
      <c r="DCR1" s="22"/>
      <c r="DCS1" s="22"/>
      <c r="DCT1" s="22"/>
      <c r="DCU1" s="22"/>
      <c r="DCV1" s="22"/>
      <c r="DCW1" s="22"/>
      <c r="DCX1" s="22"/>
      <c r="DCY1" s="22"/>
      <c r="DCZ1" s="22"/>
      <c r="DDA1" s="22"/>
      <c r="DDB1" s="22"/>
      <c r="DDC1" s="22"/>
      <c r="DDD1" s="22"/>
      <c r="DDE1" s="22"/>
      <c r="DDF1" s="22"/>
      <c r="DDG1" s="22"/>
      <c r="DDH1" s="22"/>
      <c r="DDI1" s="22"/>
      <c r="DDJ1" s="22"/>
      <c r="DDK1" s="22"/>
      <c r="DDL1" s="22"/>
      <c r="DDM1" s="22"/>
      <c r="DDN1" s="22"/>
      <c r="DDO1" s="22"/>
      <c r="DDP1" s="22"/>
      <c r="DDQ1" s="22"/>
      <c r="DDR1" s="22"/>
      <c r="DDS1" s="22"/>
      <c r="DDT1" s="22"/>
      <c r="DDU1" s="22"/>
      <c r="DDV1" s="22"/>
      <c r="DDW1" s="22"/>
      <c r="DDX1" s="22"/>
      <c r="DDY1" s="22"/>
      <c r="DDZ1" s="22"/>
      <c r="DEA1" s="22"/>
      <c r="DEB1" s="22"/>
      <c r="DEC1" s="22"/>
      <c r="DED1" s="22"/>
      <c r="DEE1" s="22"/>
      <c r="DEF1" s="22"/>
      <c r="DEG1" s="22"/>
      <c r="DEH1" s="22"/>
      <c r="DEI1" s="22"/>
      <c r="DEJ1" s="22"/>
      <c r="DEK1" s="22"/>
      <c r="DEL1" s="22"/>
      <c r="DEM1" s="22"/>
      <c r="DEN1" s="22"/>
      <c r="DEO1" s="22"/>
      <c r="DEP1" s="22"/>
      <c r="DEQ1" s="22"/>
      <c r="DER1" s="22"/>
      <c r="DES1" s="22"/>
      <c r="DET1" s="22"/>
      <c r="DEU1" s="22"/>
      <c r="DEV1" s="22"/>
      <c r="DEW1" s="22"/>
      <c r="DEX1" s="22"/>
      <c r="DEY1" s="22"/>
      <c r="DEZ1" s="22"/>
      <c r="DFA1" s="22"/>
      <c r="DFB1" s="22"/>
      <c r="DFC1" s="22"/>
      <c r="DFD1" s="22"/>
      <c r="DFE1" s="22"/>
      <c r="DFF1" s="22"/>
      <c r="DFG1" s="22"/>
      <c r="DFH1" s="22"/>
      <c r="DFI1" s="22"/>
      <c r="DFJ1" s="22"/>
      <c r="DFK1" s="22"/>
      <c r="DFL1" s="22"/>
      <c r="DFM1" s="22"/>
      <c r="DFN1" s="22"/>
      <c r="DFO1" s="22"/>
      <c r="DFP1" s="22"/>
      <c r="DFQ1" s="22"/>
      <c r="DFR1" s="22"/>
      <c r="DFS1" s="22"/>
      <c r="DFT1" s="22"/>
      <c r="DFU1" s="22"/>
      <c r="DFV1" s="22"/>
      <c r="DFW1" s="22"/>
      <c r="DFX1" s="22"/>
      <c r="DFY1" s="22"/>
      <c r="DFZ1" s="22"/>
      <c r="DGA1" s="22"/>
      <c r="DGB1" s="22"/>
      <c r="DGC1" s="22"/>
      <c r="DGD1" s="22"/>
      <c r="DGE1" s="22"/>
      <c r="DGF1" s="22"/>
      <c r="DGG1" s="22"/>
      <c r="DGH1" s="22"/>
      <c r="DGI1" s="22"/>
      <c r="DGJ1" s="22"/>
      <c r="DGK1" s="22"/>
      <c r="DGL1" s="22"/>
      <c r="DGM1" s="22"/>
      <c r="DGN1" s="22"/>
      <c r="DGO1" s="22"/>
      <c r="DGP1" s="22"/>
      <c r="DGQ1" s="22"/>
      <c r="DGR1" s="22"/>
      <c r="DGS1" s="22"/>
      <c r="DGT1" s="22"/>
      <c r="DGU1" s="22"/>
      <c r="DGV1" s="22"/>
      <c r="DGW1" s="22"/>
      <c r="DGX1" s="22"/>
      <c r="DGY1" s="22"/>
      <c r="DGZ1" s="22"/>
      <c r="DHA1" s="22"/>
      <c r="DHB1" s="22"/>
      <c r="DHC1" s="22"/>
      <c r="DHD1" s="22"/>
      <c r="DHE1" s="22"/>
      <c r="DHF1" s="22"/>
      <c r="DHG1" s="22"/>
      <c r="DHH1" s="22"/>
      <c r="DHI1" s="22"/>
      <c r="DHJ1" s="22"/>
      <c r="DHK1" s="22"/>
      <c r="DHL1" s="22"/>
      <c r="DHM1" s="22"/>
      <c r="DHN1" s="22"/>
      <c r="DHO1" s="22"/>
      <c r="DHP1" s="22"/>
      <c r="DHQ1" s="22"/>
      <c r="DHR1" s="22"/>
      <c r="DHS1" s="22"/>
      <c r="DHT1" s="22"/>
      <c r="DHU1" s="22"/>
      <c r="DHV1" s="22"/>
      <c r="DHW1" s="22"/>
      <c r="DHX1" s="22"/>
      <c r="DHY1" s="22"/>
      <c r="DHZ1" s="22"/>
      <c r="DIA1" s="22"/>
      <c r="DIB1" s="22"/>
      <c r="DIC1" s="22"/>
      <c r="DID1" s="22"/>
      <c r="DIE1" s="22"/>
      <c r="DIF1" s="22"/>
      <c r="DIG1" s="22"/>
      <c r="DIH1" s="22"/>
      <c r="DII1" s="22"/>
      <c r="DIJ1" s="22"/>
      <c r="DIK1" s="22"/>
      <c r="DIL1" s="22"/>
      <c r="DIM1" s="22"/>
      <c r="DIN1" s="22"/>
      <c r="DIO1" s="22"/>
      <c r="DIP1" s="22"/>
      <c r="DIQ1" s="22"/>
      <c r="DIR1" s="22"/>
      <c r="DIS1" s="22"/>
      <c r="DIT1" s="22"/>
      <c r="DIU1" s="22"/>
      <c r="DIV1" s="22"/>
      <c r="DIW1" s="22"/>
      <c r="DIX1" s="22"/>
      <c r="DIY1" s="22"/>
      <c r="DIZ1" s="22"/>
      <c r="DJA1" s="22"/>
      <c r="DJB1" s="22"/>
      <c r="DJC1" s="22"/>
      <c r="DJD1" s="22"/>
      <c r="DJE1" s="22"/>
      <c r="DJF1" s="22"/>
      <c r="DJG1" s="22"/>
      <c r="DJH1" s="22"/>
      <c r="DJI1" s="22"/>
      <c r="DJJ1" s="22"/>
      <c r="DJK1" s="22"/>
      <c r="DJL1" s="22"/>
      <c r="DJM1" s="22"/>
      <c r="DJN1" s="22"/>
      <c r="DJO1" s="22"/>
      <c r="DJP1" s="22"/>
      <c r="DJQ1" s="22"/>
      <c r="DJR1" s="22"/>
      <c r="DJS1" s="22"/>
      <c r="DJT1" s="22"/>
      <c r="DJU1" s="22"/>
      <c r="DJV1" s="22"/>
      <c r="DJW1" s="22"/>
      <c r="DJX1" s="22"/>
      <c r="DJY1" s="22"/>
      <c r="DJZ1" s="22"/>
      <c r="DKA1" s="22"/>
      <c r="DKB1" s="22"/>
      <c r="DKC1" s="22"/>
      <c r="DKD1" s="22"/>
      <c r="DKE1" s="22"/>
      <c r="DKF1" s="22"/>
      <c r="DKG1" s="22"/>
      <c r="DKH1" s="22"/>
      <c r="DKI1" s="22"/>
      <c r="DKJ1" s="22"/>
      <c r="DKK1" s="22"/>
      <c r="DKL1" s="22"/>
      <c r="DKM1" s="22"/>
      <c r="DKN1" s="22"/>
      <c r="DKO1" s="22"/>
      <c r="DKP1" s="22"/>
      <c r="DKQ1" s="22"/>
      <c r="DKR1" s="22"/>
      <c r="DKS1" s="22"/>
      <c r="DKT1" s="22"/>
      <c r="DKU1" s="22"/>
      <c r="DKV1" s="22"/>
      <c r="DKW1" s="22"/>
      <c r="DKX1" s="22"/>
      <c r="DKY1" s="22"/>
      <c r="DKZ1" s="22"/>
      <c r="DLA1" s="22"/>
      <c r="DLB1" s="22"/>
      <c r="DLC1" s="22"/>
      <c r="DLD1" s="22"/>
      <c r="DLE1" s="22"/>
      <c r="DLF1" s="22"/>
      <c r="DLG1" s="22"/>
      <c r="DLH1" s="22"/>
      <c r="DLI1" s="22"/>
      <c r="DLJ1" s="22"/>
      <c r="DLK1" s="22"/>
      <c r="DLL1" s="22"/>
      <c r="DLM1" s="22"/>
      <c r="DLN1" s="22"/>
      <c r="DLO1" s="22"/>
      <c r="DLP1" s="22"/>
      <c r="DLQ1" s="22"/>
      <c r="DLR1" s="22"/>
      <c r="DLS1" s="22"/>
      <c r="DLT1" s="22"/>
      <c r="DLU1" s="22"/>
      <c r="DLV1" s="22"/>
      <c r="DLW1" s="22"/>
      <c r="DLX1" s="22"/>
      <c r="DLY1" s="22"/>
      <c r="DLZ1" s="22"/>
      <c r="DMA1" s="22"/>
      <c r="DMB1" s="22"/>
      <c r="DMC1" s="22"/>
      <c r="DMD1" s="22"/>
      <c r="DME1" s="22"/>
      <c r="DMF1" s="22"/>
      <c r="DMG1" s="22"/>
      <c r="DMH1" s="22"/>
      <c r="DMI1" s="22"/>
      <c r="DMJ1" s="22"/>
      <c r="DMK1" s="22"/>
      <c r="DML1" s="22"/>
      <c r="DMM1" s="22"/>
      <c r="DMN1" s="22"/>
      <c r="DMO1" s="22"/>
      <c r="DMP1" s="22"/>
      <c r="DMQ1" s="22"/>
      <c r="DMR1" s="22"/>
      <c r="DMS1" s="22"/>
      <c r="DMT1" s="22"/>
      <c r="DMU1" s="22"/>
      <c r="DMV1" s="22"/>
      <c r="DMW1" s="22"/>
      <c r="DMX1" s="22"/>
      <c r="DMY1" s="22"/>
      <c r="DMZ1" s="22"/>
      <c r="DNA1" s="22"/>
      <c r="DNB1" s="22"/>
      <c r="DNC1" s="22"/>
      <c r="DND1" s="22"/>
      <c r="DNE1" s="22"/>
      <c r="DNF1" s="22"/>
      <c r="DNG1" s="22"/>
      <c r="DNH1" s="22"/>
      <c r="DNI1" s="22"/>
      <c r="DNJ1" s="22"/>
      <c r="DNK1" s="22"/>
      <c r="DNL1" s="22"/>
      <c r="DNM1" s="22"/>
      <c r="DNN1" s="22"/>
      <c r="DNO1" s="22"/>
      <c r="DNP1" s="22"/>
      <c r="DNQ1" s="22"/>
      <c r="DNR1" s="22"/>
      <c r="DNS1" s="22"/>
      <c r="DNT1" s="22"/>
      <c r="DNU1" s="22"/>
      <c r="DNV1" s="22"/>
      <c r="DNW1" s="22"/>
      <c r="DNX1" s="22"/>
      <c r="DNY1" s="22"/>
      <c r="DNZ1" s="22"/>
      <c r="DOA1" s="22"/>
      <c r="DOB1" s="22"/>
      <c r="DOC1" s="22"/>
      <c r="DOD1" s="22"/>
      <c r="DOE1" s="22"/>
      <c r="DOF1" s="22"/>
      <c r="DOG1" s="22"/>
      <c r="DOH1" s="22"/>
      <c r="DOI1" s="22"/>
      <c r="DOJ1" s="22"/>
      <c r="DOK1" s="22"/>
      <c r="DOL1" s="22"/>
      <c r="DOM1" s="22"/>
      <c r="DON1" s="22"/>
      <c r="DOO1" s="22"/>
      <c r="DOP1" s="22"/>
      <c r="DOQ1" s="22"/>
      <c r="DOR1" s="22"/>
      <c r="DOS1" s="22"/>
      <c r="DOT1" s="22"/>
      <c r="DOU1" s="22"/>
      <c r="DOV1" s="22"/>
      <c r="DOW1" s="22"/>
      <c r="DOX1" s="22"/>
      <c r="DOY1" s="22"/>
      <c r="DOZ1" s="22"/>
      <c r="DPA1" s="22"/>
      <c r="DPB1" s="22"/>
      <c r="DPC1" s="22"/>
      <c r="DPD1" s="22"/>
      <c r="DPE1" s="22"/>
      <c r="DPF1" s="22"/>
      <c r="DPG1" s="22"/>
      <c r="DPH1" s="22"/>
      <c r="DPI1" s="22"/>
      <c r="DPJ1" s="22"/>
      <c r="DPK1" s="22"/>
      <c r="DPL1" s="22"/>
      <c r="DPM1" s="22"/>
      <c r="DPN1" s="22"/>
      <c r="DPO1" s="22"/>
      <c r="DPP1" s="22"/>
      <c r="DPQ1" s="22"/>
      <c r="DPR1" s="22"/>
      <c r="DPS1" s="22"/>
      <c r="DPT1" s="22"/>
      <c r="DPU1" s="22"/>
      <c r="DPV1" s="22"/>
      <c r="DPW1" s="22"/>
      <c r="DPX1" s="22"/>
      <c r="DPY1" s="22"/>
      <c r="DPZ1" s="22"/>
      <c r="DQA1" s="22"/>
      <c r="DQB1" s="22"/>
      <c r="DQC1" s="22"/>
      <c r="DQD1" s="22"/>
      <c r="DQE1" s="22"/>
      <c r="DQF1" s="22"/>
      <c r="DQG1" s="22"/>
      <c r="DQH1" s="22"/>
      <c r="DQI1" s="22"/>
      <c r="DQJ1" s="22"/>
      <c r="DQK1" s="22"/>
      <c r="DQL1" s="22"/>
      <c r="DQM1" s="22"/>
      <c r="DQN1" s="22"/>
      <c r="DQO1" s="22"/>
      <c r="DQP1" s="22"/>
      <c r="DQQ1" s="22"/>
      <c r="DQR1" s="22"/>
      <c r="DQS1" s="22"/>
      <c r="DQT1" s="22"/>
      <c r="DQU1" s="22"/>
      <c r="DQV1" s="22"/>
      <c r="DQW1" s="22"/>
      <c r="DQX1" s="22"/>
      <c r="DQY1" s="22"/>
      <c r="DQZ1" s="22"/>
      <c r="DRA1" s="22"/>
      <c r="DRB1" s="22"/>
      <c r="DRC1" s="22"/>
      <c r="DRD1" s="22"/>
      <c r="DRE1" s="22"/>
      <c r="DRF1" s="22"/>
      <c r="DRG1" s="22"/>
      <c r="DRH1" s="22"/>
      <c r="DRI1" s="22"/>
      <c r="DRJ1" s="22"/>
      <c r="DRK1" s="22"/>
      <c r="DRL1" s="22"/>
      <c r="DRM1" s="22"/>
      <c r="DRN1" s="22"/>
      <c r="DRO1" s="22"/>
      <c r="DRP1" s="22"/>
      <c r="DRQ1" s="22"/>
      <c r="DRR1" s="22"/>
      <c r="DRS1" s="22"/>
      <c r="DRT1" s="22"/>
      <c r="DRU1" s="22"/>
      <c r="DRV1" s="22"/>
      <c r="DRW1" s="22"/>
      <c r="DRX1" s="22"/>
      <c r="DRY1" s="22"/>
      <c r="DRZ1" s="22"/>
      <c r="DSA1" s="22"/>
      <c r="DSB1" s="22"/>
      <c r="DSC1" s="22"/>
      <c r="DSD1" s="22"/>
      <c r="DSE1" s="22"/>
      <c r="DSF1" s="22"/>
      <c r="DSG1" s="22"/>
      <c r="DSH1" s="22"/>
      <c r="DSI1" s="22"/>
      <c r="DSJ1" s="22"/>
      <c r="DSK1" s="22"/>
      <c r="DSL1" s="22"/>
      <c r="DSM1" s="22"/>
      <c r="DSN1" s="22"/>
      <c r="DSO1" s="22"/>
      <c r="DSP1" s="22"/>
      <c r="DSQ1" s="22"/>
      <c r="DSR1" s="22"/>
      <c r="DSS1" s="22"/>
      <c r="DST1" s="22"/>
      <c r="DSU1" s="22"/>
      <c r="DSV1" s="22"/>
      <c r="DSW1" s="22"/>
      <c r="DSX1" s="22"/>
      <c r="DSY1" s="22"/>
      <c r="DSZ1" s="22"/>
      <c r="DTA1" s="22"/>
      <c r="DTB1" s="22"/>
      <c r="DTC1" s="22"/>
      <c r="DTD1" s="22"/>
      <c r="DTE1" s="22"/>
      <c r="DTF1" s="22"/>
      <c r="DTG1" s="22"/>
      <c r="DTH1" s="22"/>
      <c r="DTI1" s="22"/>
      <c r="DTJ1" s="22"/>
      <c r="DTK1" s="22"/>
      <c r="DTL1" s="22"/>
      <c r="DTM1" s="22"/>
      <c r="DTN1" s="22"/>
      <c r="DTO1" s="22"/>
      <c r="DTP1" s="22"/>
      <c r="DTQ1" s="22"/>
      <c r="DTR1" s="22"/>
      <c r="DTS1" s="22"/>
      <c r="DTT1" s="22"/>
      <c r="DTU1" s="22"/>
      <c r="DTV1" s="22"/>
      <c r="DTW1" s="22"/>
      <c r="DTX1" s="22"/>
      <c r="DTY1" s="22"/>
      <c r="DTZ1" s="22"/>
      <c r="DUA1" s="22"/>
      <c r="DUB1" s="22"/>
      <c r="DUC1" s="22"/>
      <c r="DUD1" s="22"/>
      <c r="DUE1" s="22"/>
      <c r="DUF1" s="22"/>
      <c r="DUG1" s="22"/>
      <c r="DUH1" s="22"/>
      <c r="DUI1" s="22"/>
      <c r="DUJ1" s="22"/>
      <c r="DUK1" s="22"/>
      <c r="DUL1" s="22"/>
      <c r="DUM1" s="22"/>
      <c r="DUN1" s="22"/>
      <c r="DUO1" s="22"/>
      <c r="DUP1" s="22"/>
      <c r="DUQ1" s="22"/>
      <c r="DUR1" s="22"/>
      <c r="DUS1" s="22"/>
      <c r="DUT1" s="22"/>
      <c r="DUU1" s="22"/>
      <c r="DUV1" s="22"/>
      <c r="DUW1" s="22"/>
      <c r="DUX1" s="22"/>
      <c r="DUY1" s="22"/>
      <c r="DUZ1" s="22"/>
      <c r="DVA1" s="22"/>
      <c r="DVB1" s="22"/>
      <c r="DVC1" s="22"/>
      <c r="DVD1" s="22"/>
      <c r="DVE1" s="22"/>
      <c r="DVF1" s="22"/>
      <c r="DVG1" s="22"/>
      <c r="DVH1" s="22"/>
      <c r="DVI1" s="22"/>
      <c r="DVJ1" s="22"/>
      <c r="DVK1" s="22"/>
      <c r="DVL1" s="22"/>
      <c r="DVM1" s="22"/>
      <c r="DVN1" s="22"/>
      <c r="DVO1" s="22"/>
      <c r="DVP1" s="22"/>
      <c r="DVQ1" s="22"/>
      <c r="DVR1" s="22"/>
      <c r="DVS1" s="22"/>
      <c r="DVT1" s="22"/>
      <c r="DVU1" s="22"/>
      <c r="DVV1" s="22"/>
      <c r="DVW1" s="22"/>
      <c r="DVX1" s="22"/>
      <c r="DVY1" s="22"/>
      <c r="DVZ1" s="22"/>
      <c r="DWA1" s="22"/>
      <c r="DWB1" s="22"/>
      <c r="DWC1" s="22"/>
      <c r="DWD1" s="22"/>
      <c r="DWE1" s="22"/>
      <c r="DWF1" s="22"/>
      <c r="DWG1" s="22"/>
      <c r="DWH1" s="22"/>
      <c r="DWI1" s="22"/>
      <c r="DWJ1" s="22"/>
      <c r="DWK1" s="22"/>
      <c r="DWL1" s="22"/>
      <c r="DWM1" s="22"/>
      <c r="DWN1" s="22"/>
      <c r="DWO1" s="22"/>
      <c r="DWP1" s="22"/>
      <c r="DWQ1" s="22"/>
      <c r="DWR1" s="22"/>
      <c r="DWS1" s="22"/>
      <c r="DWT1" s="22"/>
      <c r="DWU1" s="22"/>
      <c r="DWV1" s="22"/>
      <c r="DWW1" s="22"/>
      <c r="DWX1" s="22"/>
      <c r="DWY1" s="22"/>
      <c r="DWZ1" s="22"/>
      <c r="DXA1" s="22"/>
      <c r="DXB1" s="22"/>
      <c r="DXC1" s="22"/>
      <c r="DXD1" s="22"/>
      <c r="DXE1" s="22"/>
      <c r="DXF1" s="22"/>
      <c r="DXG1" s="22"/>
      <c r="DXH1" s="22"/>
      <c r="DXI1" s="22"/>
      <c r="DXJ1" s="22"/>
      <c r="DXK1" s="22"/>
      <c r="DXL1" s="22"/>
      <c r="DXM1" s="22"/>
      <c r="DXN1" s="22"/>
      <c r="DXO1" s="22"/>
      <c r="DXP1" s="22"/>
      <c r="DXQ1" s="22"/>
      <c r="DXR1" s="22"/>
      <c r="DXS1" s="22"/>
      <c r="DXT1" s="22"/>
      <c r="DXU1" s="22"/>
      <c r="DXV1" s="22"/>
      <c r="DXW1" s="22"/>
      <c r="DXX1" s="22"/>
      <c r="DXY1" s="22"/>
      <c r="DXZ1" s="22"/>
      <c r="DYA1" s="22"/>
      <c r="DYB1" s="22"/>
      <c r="DYC1" s="22"/>
      <c r="DYD1" s="22"/>
      <c r="DYE1" s="22"/>
      <c r="DYF1" s="22"/>
      <c r="DYG1" s="22"/>
      <c r="DYH1" s="22"/>
      <c r="DYI1" s="22"/>
      <c r="DYJ1" s="22"/>
      <c r="DYK1" s="22"/>
      <c r="DYL1" s="22"/>
      <c r="DYM1" s="22"/>
      <c r="DYN1" s="22"/>
      <c r="DYO1" s="22"/>
      <c r="DYP1" s="22"/>
      <c r="DYQ1" s="22"/>
      <c r="DYR1" s="22"/>
      <c r="DYS1" s="22"/>
      <c r="DYT1" s="22"/>
      <c r="DYU1" s="22"/>
      <c r="DYV1" s="22"/>
      <c r="DYW1" s="22"/>
      <c r="DYX1" s="22"/>
      <c r="DYY1" s="22"/>
      <c r="DYZ1" s="22"/>
      <c r="DZA1" s="22"/>
      <c r="DZB1" s="22"/>
      <c r="DZC1" s="22"/>
      <c r="DZD1" s="22"/>
      <c r="DZE1" s="22"/>
      <c r="DZF1" s="22"/>
      <c r="DZG1" s="22"/>
      <c r="DZH1" s="22"/>
      <c r="DZI1" s="22"/>
      <c r="DZJ1" s="22"/>
      <c r="DZK1" s="22"/>
      <c r="DZL1" s="22"/>
      <c r="DZM1" s="22"/>
      <c r="DZN1" s="22"/>
      <c r="DZO1" s="22"/>
      <c r="DZP1" s="22"/>
      <c r="DZQ1" s="22"/>
      <c r="DZR1" s="22"/>
      <c r="DZS1" s="22"/>
      <c r="DZT1" s="22"/>
      <c r="DZU1" s="22"/>
      <c r="DZV1" s="22"/>
      <c r="DZW1" s="22"/>
      <c r="DZX1" s="22"/>
      <c r="DZY1" s="22"/>
      <c r="DZZ1" s="22"/>
      <c r="EAA1" s="22"/>
      <c r="EAB1" s="22"/>
      <c r="EAC1" s="22"/>
      <c r="EAD1" s="22"/>
      <c r="EAE1" s="22"/>
      <c r="EAF1" s="22"/>
      <c r="EAG1" s="22"/>
      <c r="EAH1" s="22"/>
      <c r="EAI1" s="22"/>
      <c r="EAJ1" s="22"/>
      <c r="EAK1" s="22"/>
      <c r="EAL1" s="22"/>
      <c r="EAM1" s="22"/>
      <c r="EAN1" s="22"/>
      <c r="EAO1" s="22"/>
      <c r="EAP1" s="22"/>
      <c r="EAQ1" s="22"/>
      <c r="EAR1" s="22"/>
      <c r="EAS1" s="22"/>
      <c r="EAT1" s="22"/>
      <c r="EAU1" s="22"/>
      <c r="EAV1" s="22"/>
      <c r="EAW1" s="22"/>
      <c r="EAX1" s="22"/>
      <c r="EAY1" s="22"/>
      <c r="EAZ1" s="22"/>
      <c r="EBA1" s="22"/>
      <c r="EBB1" s="22"/>
      <c r="EBC1" s="22"/>
      <c r="EBD1" s="22"/>
      <c r="EBE1" s="22"/>
      <c r="EBF1" s="22"/>
      <c r="EBG1" s="22"/>
      <c r="EBH1" s="22"/>
      <c r="EBI1" s="22"/>
      <c r="EBJ1" s="22"/>
      <c r="EBK1" s="22"/>
      <c r="EBL1" s="22"/>
      <c r="EBM1" s="22"/>
      <c r="EBN1" s="22"/>
      <c r="EBO1" s="22"/>
      <c r="EBP1" s="22"/>
      <c r="EBQ1" s="22"/>
      <c r="EBR1" s="22"/>
      <c r="EBS1" s="22"/>
      <c r="EBT1" s="22"/>
      <c r="EBU1" s="22"/>
      <c r="EBV1" s="22"/>
      <c r="EBW1" s="22"/>
      <c r="EBX1" s="22"/>
      <c r="EBY1" s="22"/>
      <c r="EBZ1" s="22"/>
      <c r="ECA1" s="22"/>
      <c r="ECB1" s="22"/>
      <c r="ECC1" s="22"/>
      <c r="ECD1" s="22"/>
      <c r="ECE1" s="22"/>
      <c r="ECF1" s="22"/>
      <c r="ECG1" s="22"/>
      <c r="ECH1" s="22"/>
      <c r="ECI1" s="22"/>
      <c r="ECJ1" s="22"/>
      <c r="ECK1" s="22"/>
      <c r="ECL1" s="22"/>
      <c r="ECM1" s="22"/>
      <c r="ECN1" s="22"/>
      <c r="ECO1" s="22"/>
      <c r="ECP1" s="22"/>
      <c r="ECQ1" s="22"/>
      <c r="ECR1" s="22"/>
      <c r="ECS1" s="22"/>
      <c r="ECT1" s="22"/>
      <c r="ECU1" s="22"/>
      <c r="ECV1" s="22"/>
      <c r="ECW1" s="22"/>
      <c r="ECX1" s="22"/>
      <c r="ECY1" s="22"/>
      <c r="ECZ1" s="22"/>
      <c r="EDA1" s="22"/>
      <c r="EDB1" s="22"/>
      <c r="EDC1" s="22"/>
      <c r="EDD1" s="22"/>
      <c r="EDE1" s="22"/>
      <c r="EDF1" s="22"/>
      <c r="EDG1" s="22"/>
      <c r="EDH1" s="22"/>
      <c r="EDI1" s="22"/>
      <c r="EDJ1" s="22"/>
      <c r="EDK1" s="22"/>
      <c r="EDL1" s="22"/>
      <c r="EDM1" s="22"/>
      <c r="EDN1" s="22"/>
      <c r="EDO1" s="22"/>
      <c r="EDP1" s="22"/>
      <c r="EDQ1" s="22"/>
      <c r="EDR1" s="22"/>
      <c r="EDS1" s="22"/>
      <c r="EDT1" s="22"/>
      <c r="EDU1" s="22"/>
      <c r="EDV1" s="22"/>
      <c r="EDW1" s="22"/>
      <c r="EDX1" s="22"/>
      <c r="EDY1" s="22"/>
      <c r="EDZ1" s="22"/>
      <c r="EEA1" s="22"/>
      <c r="EEB1" s="22"/>
      <c r="EEC1" s="22"/>
      <c r="EED1" s="22"/>
      <c r="EEE1" s="22"/>
      <c r="EEF1" s="22"/>
      <c r="EEG1" s="22"/>
      <c r="EEH1" s="22"/>
      <c r="EEI1" s="22"/>
      <c r="EEJ1" s="22"/>
      <c r="EEK1" s="22"/>
      <c r="EEL1" s="22"/>
      <c r="EEM1" s="22"/>
      <c r="EEN1" s="22"/>
      <c r="EEO1" s="22"/>
      <c r="EEP1" s="22"/>
      <c r="EEQ1" s="22"/>
      <c r="EER1" s="22"/>
      <c r="EES1" s="22"/>
      <c r="EET1" s="22"/>
      <c r="EEU1" s="22"/>
      <c r="EEV1" s="22"/>
      <c r="EEW1" s="22"/>
      <c r="EEX1" s="22"/>
      <c r="EEY1" s="22"/>
      <c r="EEZ1" s="22"/>
      <c r="EFA1" s="22"/>
      <c r="EFB1" s="22"/>
      <c r="EFC1" s="22"/>
      <c r="EFD1" s="22"/>
      <c r="EFE1" s="22"/>
      <c r="EFF1" s="22"/>
      <c r="EFG1" s="22"/>
      <c r="EFH1" s="22"/>
      <c r="EFI1" s="22"/>
      <c r="EFJ1" s="22"/>
      <c r="EFK1" s="22"/>
      <c r="EFL1" s="22"/>
      <c r="EFM1" s="22"/>
      <c r="EFN1" s="22"/>
      <c r="EFO1" s="22"/>
      <c r="EFP1" s="22"/>
      <c r="EFQ1" s="22"/>
      <c r="EFR1" s="22"/>
      <c r="EFS1" s="22"/>
      <c r="EFT1" s="22"/>
      <c r="EFU1" s="22"/>
      <c r="EFV1" s="22"/>
      <c r="EFW1" s="22"/>
      <c r="EFX1" s="22"/>
      <c r="EFY1" s="22"/>
      <c r="EFZ1" s="22"/>
      <c r="EGA1" s="22"/>
      <c r="EGB1" s="22"/>
      <c r="EGC1" s="22"/>
      <c r="EGD1" s="22"/>
      <c r="EGE1" s="22"/>
      <c r="EGF1" s="22"/>
      <c r="EGG1" s="22"/>
      <c r="EGH1" s="22"/>
      <c r="EGI1" s="22"/>
      <c r="EGJ1" s="22"/>
      <c r="EGK1" s="22"/>
      <c r="EGL1" s="22"/>
      <c r="EGM1" s="22"/>
      <c r="EGN1" s="22"/>
      <c r="EGO1" s="22"/>
      <c r="EGP1" s="22"/>
      <c r="EGQ1" s="22"/>
      <c r="EGR1" s="22"/>
      <c r="EGS1" s="22"/>
      <c r="EGT1" s="22"/>
      <c r="EGU1" s="22"/>
      <c r="EGV1" s="22"/>
      <c r="EGW1" s="22"/>
      <c r="EGX1" s="22"/>
      <c r="EGY1" s="22"/>
      <c r="EGZ1" s="22"/>
      <c r="EHA1" s="22"/>
      <c r="EHB1" s="22"/>
      <c r="EHC1" s="22"/>
      <c r="EHD1" s="22"/>
      <c r="EHE1" s="22"/>
      <c r="EHF1" s="22"/>
      <c r="EHG1" s="22"/>
      <c r="EHH1" s="22"/>
      <c r="EHI1" s="22"/>
      <c r="EHJ1" s="22"/>
      <c r="EHK1" s="22"/>
      <c r="EHL1" s="22"/>
      <c r="EHM1" s="22"/>
      <c r="EHN1" s="22"/>
      <c r="EHO1" s="22"/>
      <c r="EHP1" s="22"/>
      <c r="EHQ1" s="22"/>
      <c r="EHR1" s="22"/>
      <c r="EHS1" s="22"/>
      <c r="EHT1" s="22"/>
      <c r="EHU1" s="22"/>
      <c r="EHV1" s="22"/>
      <c r="EHW1" s="22"/>
      <c r="EHX1" s="22"/>
      <c r="EHY1" s="22"/>
      <c r="EHZ1" s="22"/>
      <c r="EIA1" s="22"/>
      <c r="EIB1" s="22"/>
      <c r="EIC1" s="22"/>
      <c r="EID1" s="22"/>
      <c r="EIE1" s="22"/>
      <c r="EIF1" s="22"/>
      <c r="EIG1" s="22"/>
      <c r="EIH1" s="22"/>
      <c r="EII1" s="22"/>
      <c r="EIJ1" s="22"/>
      <c r="EIK1" s="22"/>
      <c r="EIL1" s="22"/>
      <c r="EIM1" s="22"/>
      <c r="EIN1" s="22"/>
      <c r="EIO1" s="22"/>
      <c r="EIP1" s="22"/>
      <c r="EIQ1" s="22"/>
      <c r="EIR1" s="22"/>
      <c r="EIS1" s="22"/>
      <c r="EIT1" s="22"/>
      <c r="EIU1" s="22"/>
      <c r="EIV1" s="22"/>
      <c r="EIW1" s="22"/>
      <c r="EIX1" s="22"/>
      <c r="EIY1" s="22"/>
      <c r="EIZ1" s="22"/>
      <c r="EJA1" s="22"/>
      <c r="EJB1" s="22"/>
      <c r="EJC1" s="22"/>
      <c r="EJD1" s="22"/>
      <c r="EJE1" s="22"/>
      <c r="EJF1" s="22"/>
      <c r="EJG1" s="22"/>
      <c r="EJH1" s="22"/>
      <c r="EJI1" s="22"/>
      <c r="EJJ1" s="22"/>
      <c r="EJK1" s="22"/>
      <c r="EJL1" s="22"/>
      <c r="EJM1" s="22"/>
      <c r="EJN1" s="22"/>
      <c r="EJO1" s="22"/>
      <c r="EJP1" s="22"/>
      <c r="EJQ1" s="22"/>
      <c r="EJR1" s="22"/>
      <c r="EJS1" s="22"/>
      <c r="EJT1" s="22"/>
      <c r="EJU1" s="22"/>
      <c r="EJV1" s="22"/>
      <c r="EJW1" s="22"/>
      <c r="EJX1" s="22"/>
      <c r="EJY1" s="22"/>
      <c r="EJZ1" s="22"/>
      <c r="EKA1" s="22"/>
      <c r="EKB1" s="22"/>
      <c r="EKC1" s="22"/>
      <c r="EKD1" s="22"/>
      <c r="EKE1" s="22"/>
      <c r="EKF1" s="22"/>
      <c r="EKG1" s="22"/>
      <c r="EKH1" s="22"/>
      <c r="EKI1" s="22"/>
      <c r="EKJ1" s="22"/>
      <c r="EKK1" s="22"/>
      <c r="EKL1" s="22"/>
      <c r="EKM1" s="22"/>
      <c r="EKN1" s="22"/>
      <c r="EKO1" s="22"/>
      <c r="EKP1" s="22"/>
      <c r="EKQ1" s="22"/>
      <c r="EKR1" s="22"/>
      <c r="EKS1" s="22"/>
      <c r="EKT1" s="22"/>
      <c r="EKU1" s="22"/>
      <c r="EKV1" s="22"/>
      <c r="EKW1" s="22"/>
      <c r="EKX1" s="22"/>
      <c r="EKY1" s="22"/>
      <c r="EKZ1" s="22"/>
      <c r="ELA1" s="22"/>
      <c r="ELB1" s="22"/>
      <c r="ELC1" s="22"/>
      <c r="ELD1" s="22"/>
      <c r="ELE1" s="22"/>
      <c r="ELF1" s="22"/>
      <c r="ELG1" s="22"/>
      <c r="ELH1" s="22"/>
      <c r="ELI1" s="22"/>
      <c r="ELJ1" s="22"/>
      <c r="ELK1" s="22"/>
      <c r="ELL1" s="22"/>
      <c r="ELM1" s="22"/>
      <c r="ELN1" s="22"/>
      <c r="ELO1" s="22"/>
      <c r="ELP1" s="22"/>
      <c r="ELQ1" s="22"/>
      <c r="ELR1" s="22"/>
      <c r="ELS1" s="22"/>
      <c r="ELT1" s="22"/>
      <c r="ELU1" s="22"/>
      <c r="ELV1" s="22"/>
      <c r="ELW1" s="22"/>
      <c r="ELX1" s="22"/>
      <c r="ELY1" s="22"/>
      <c r="ELZ1" s="22"/>
      <c r="EMA1" s="22"/>
      <c r="EMB1" s="22"/>
      <c r="EMC1" s="22"/>
      <c r="EMD1" s="22"/>
      <c r="EME1" s="22"/>
      <c r="EMF1" s="22"/>
      <c r="EMG1" s="22"/>
      <c r="EMH1" s="22"/>
      <c r="EMI1" s="22"/>
      <c r="EMJ1" s="22"/>
      <c r="EMK1" s="22"/>
      <c r="EML1" s="22"/>
      <c r="EMM1" s="22"/>
      <c r="EMN1" s="22"/>
      <c r="EMO1" s="22"/>
      <c r="EMP1" s="22"/>
      <c r="EMQ1" s="22"/>
      <c r="EMR1" s="22"/>
      <c r="EMS1" s="22"/>
      <c r="EMT1" s="22"/>
      <c r="EMU1" s="22"/>
      <c r="EMV1" s="22"/>
      <c r="EMW1" s="22"/>
      <c r="EMX1" s="22"/>
      <c r="EMY1" s="22"/>
      <c r="EMZ1" s="22"/>
      <c r="ENA1" s="22"/>
      <c r="ENB1" s="22"/>
      <c r="ENC1" s="22"/>
      <c r="END1" s="22"/>
      <c r="ENE1" s="22"/>
      <c r="ENF1" s="22"/>
      <c r="ENG1" s="22"/>
      <c r="ENH1" s="22"/>
      <c r="ENI1" s="22"/>
      <c r="ENJ1" s="22"/>
      <c r="ENK1" s="22"/>
      <c r="ENL1" s="22"/>
      <c r="ENM1" s="22"/>
      <c r="ENN1" s="22"/>
      <c r="ENO1" s="22"/>
      <c r="ENP1" s="22"/>
      <c r="ENQ1" s="22"/>
      <c r="ENR1" s="22"/>
      <c r="ENS1" s="22"/>
      <c r="ENT1" s="22"/>
      <c r="ENU1" s="22"/>
      <c r="ENV1" s="22"/>
      <c r="ENW1" s="22"/>
      <c r="ENX1" s="22"/>
      <c r="ENY1" s="22"/>
      <c r="ENZ1" s="22"/>
      <c r="EOA1" s="22"/>
      <c r="EOB1" s="22"/>
      <c r="EOC1" s="22"/>
      <c r="EOD1" s="22"/>
      <c r="EOE1" s="22"/>
      <c r="EOF1" s="22"/>
      <c r="EOG1" s="22"/>
      <c r="EOH1" s="22"/>
      <c r="EOI1" s="22"/>
      <c r="EOJ1" s="22"/>
      <c r="EOK1" s="22"/>
      <c r="EOL1" s="22"/>
      <c r="EOM1" s="22"/>
      <c r="EON1" s="22"/>
      <c r="EOO1" s="22"/>
      <c r="EOP1" s="22"/>
      <c r="EOQ1" s="22"/>
      <c r="EOR1" s="22"/>
      <c r="EOS1" s="22"/>
      <c r="EOT1" s="22"/>
      <c r="EOU1" s="22"/>
      <c r="EOV1" s="22"/>
      <c r="EOW1" s="22"/>
      <c r="EOX1" s="22"/>
      <c r="EOY1" s="22"/>
      <c r="EOZ1" s="22"/>
      <c r="EPA1" s="22"/>
      <c r="EPB1" s="22"/>
      <c r="EPC1" s="22"/>
      <c r="EPD1" s="22"/>
      <c r="EPE1" s="22"/>
      <c r="EPF1" s="22"/>
      <c r="EPG1" s="22"/>
      <c r="EPH1" s="22"/>
      <c r="EPI1" s="22"/>
      <c r="EPJ1" s="22"/>
      <c r="EPK1" s="22"/>
      <c r="EPL1" s="22"/>
      <c r="EPM1" s="22"/>
      <c r="EPN1" s="22"/>
      <c r="EPO1" s="22"/>
      <c r="EPP1" s="22"/>
      <c r="EPQ1" s="22"/>
      <c r="EPR1" s="22"/>
      <c r="EPS1" s="22"/>
      <c r="EPT1" s="22"/>
      <c r="EPU1" s="22"/>
      <c r="EPV1" s="22"/>
      <c r="EPW1" s="22"/>
      <c r="EPX1" s="22"/>
      <c r="EPY1" s="22"/>
      <c r="EPZ1" s="22"/>
      <c r="EQA1" s="22"/>
      <c r="EQB1" s="22"/>
      <c r="EQC1" s="22"/>
      <c r="EQD1" s="22"/>
      <c r="EQE1" s="22"/>
      <c r="EQF1" s="22"/>
      <c r="EQG1" s="22"/>
      <c r="EQH1" s="22"/>
      <c r="EQI1" s="22"/>
      <c r="EQJ1" s="22"/>
      <c r="EQK1" s="22"/>
      <c r="EQL1" s="22"/>
      <c r="EQM1" s="22"/>
      <c r="EQN1" s="22"/>
      <c r="EQO1" s="22"/>
      <c r="EQP1" s="22"/>
      <c r="EQQ1" s="22"/>
      <c r="EQR1" s="22"/>
      <c r="EQS1" s="22"/>
      <c r="EQT1" s="22"/>
      <c r="EQU1" s="22"/>
      <c r="EQV1" s="22"/>
      <c r="EQW1" s="22"/>
      <c r="EQX1" s="22"/>
      <c r="EQY1" s="22"/>
      <c r="EQZ1" s="22"/>
      <c r="ERA1" s="22"/>
      <c r="ERB1" s="22"/>
      <c r="ERC1" s="22"/>
      <c r="ERD1" s="22"/>
      <c r="ERE1" s="22"/>
      <c r="ERF1" s="22"/>
      <c r="ERG1" s="22"/>
      <c r="ERH1" s="22"/>
      <c r="ERI1" s="22"/>
      <c r="ERJ1" s="22"/>
      <c r="ERK1" s="22"/>
      <c r="ERL1" s="22"/>
      <c r="ERM1" s="22"/>
      <c r="ERN1" s="22"/>
      <c r="ERO1" s="22"/>
      <c r="ERP1" s="22"/>
      <c r="ERQ1" s="22"/>
      <c r="ERR1" s="22"/>
      <c r="ERS1" s="22"/>
      <c r="ERT1" s="22"/>
      <c r="ERU1" s="22"/>
      <c r="ERV1" s="22"/>
      <c r="ERW1" s="22"/>
      <c r="ERX1" s="22"/>
      <c r="ERY1" s="22"/>
      <c r="ERZ1" s="22"/>
      <c r="ESA1" s="22"/>
      <c r="ESB1" s="22"/>
      <c r="ESC1" s="22"/>
      <c r="ESD1" s="22"/>
      <c r="ESE1" s="22"/>
      <c r="ESF1" s="22"/>
      <c r="ESG1" s="22"/>
      <c r="ESH1" s="22"/>
      <c r="ESI1" s="22"/>
      <c r="ESJ1" s="22"/>
      <c r="ESK1" s="22"/>
      <c r="ESL1" s="22"/>
      <c r="ESM1" s="22"/>
      <c r="ESN1" s="22"/>
      <c r="ESO1" s="22"/>
      <c r="ESP1" s="22"/>
      <c r="ESQ1" s="22"/>
      <c r="ESR1" s="22"/>
      <c r="ESS1" s="22"/>
      <c r="EST1" s="22"/>
      <c r="ESU1" s="22"/>
      <c r="ESV1" s="22"/>
      <c r="ESW1" s="22"/>
      <c r="ESX1" s="22"/>
      <c r="ESY1" s="22"/>
      <c r="ESZ1" s="22"/>
      <c r="ETA1" s="22"/>
      <c r="ETB1" s="22"/>
      <c r="ETC1" s="22"/>
      <c r="ETD1" s="22"/>
      <c r="ETE1" s="22"/>
      <c r="ETF1" s="22"/>
      <c r="ETG1" s="22"/>
      <c r="ETH1" s="22"/>
      <c r="ETI1" s="22"/>
      <c r="ETJ1" s="22"/>
      <c r="ETK1" s="22"/>
      <c r="ETL1" s="22"/>
      <c r="ETM1" s="22"/>
      <c r="ETN1" s="22"/>
      <c r="ETO1" s="22"/>
      <c r="ETP1" s="22"/>
      <c r="ETQ1" s="22"/>
      <c r="ETR1" s="22"/>
      <c r="ETS1" s="22"/>
      <c r="ETT1" s="22"/>
      <c r="ETU1" s="22"/>
      <c r="ETV1" s="22"/>
      <c r="ETW1" s="22"/>
      <c r="ETX1" s="22"/>
      <c r="ETY1" s="22"/>
      <c r="ETZ1" s="22"/>
      <c r="EUA1" s="22"/>
      <c r="EUB1" s="22"/>
      <c r="EUC1" s="22"/>
      <c r="EUD1" s="22"/>
      <c r="EUE1" s="22"/>
      <c r="EUF1" s="22"/>
      <c r="EUG1" s="22"/>
      <c r="EUH1" s="22"/>
      <c r="EUI1" s="22"/>
      <c r="EUJ1" s="22"/>
      <c r="EUK1" s="22"/>
      <c r="EUL1" s="22"/>
      <c r="EUM1" s="22"/>
      <c r="EUN1" s="22"/>
      <c r="EUO1" s="22"/>
      <c r="EUP1" s="22"/>
      <c r="EUQ1" s="22"/>
      <c r="EUR1" s="22"/>
      <c r="EUS1" s="22"/>
      <c r="EUT1" s="22"/>
      <c r="EUU1" s="22"/>
      <c r="EUV1" s="22"/>
      <c r="EUW1" s="22"/>
      <c r="EUX1" s="22"/>
      <c r="EUY1" s="22"/>
      <c r="EUZ1" s="22"/>
      <c r="EVA1" s="22"/>
      <c r="EVB1" s="22"/>
      <c r="EVC1" s="22"/>
      <c r="EVD1" s="22"/>
      <c r="EVE1" s="22"/>
      <c r="EVF1" s="22"/>
      <c r="EVG1" s="22"/>
      <c r="EVH1" s="22"/>
      <c r="EVI1" s="22"/>
      <c r="EVJ1" s="22"/>
      <c r="EVK1" s="22"/>
      <c r="EVL1" s="22"/>
      <c r="EVM1" s="22"/>
      <c r="EVN1" s="22"/>
      <c r="EVO1" s="22"/>
      <c r="EVP1" s="22"/>
      <c r="EVQ1" s="22"/>
      <c r="EVR1" s="22"/>
      <c r="EVS1" s="22"/>
      <c r="EVT1" s="22"/>
      <c r="EVU1" s="22"/>
      <c r="EVV1" s="22"/>
      <c r="EVW1" s="22"/>
      <c r="EVX1" s="22"/>
      <c r="EVY1" s="22"/>
      <c r="EVZ1" s="22"/>
      <c r="EWA1" s="22"/>
      <c r="EWB1" s="22"/>
      <c r="EWC1" s="22"/>
      <c r="EWD1" s="22"/>
      <c r="EWE1" s="22"/>
      <c r="EWF1" s="22"/>
      <c r="EWG1" s="22"/>
      <c r="EWH1" s="22"/>
      <c r="EWI1" s="22"/>
      <c r="EWJ1" s="22"/>
      <c r="EWK1" s="22"/>
      <c r="EWL1" s="22"/>
      <c r="EWM1" s="22"/>
      <c r="EWN1" s="22"/>
      <c r="EWO1" s="22"/>
      <c r="EWP1" s="22"/>
      <c r="EWQ1" s="22"/>
      <c r="EWR1" s="22"/>
      <c r="EWS1" s="22"/>
      <c r="EWT1" s="22"/>
      <c r="EWU1" s="22"/>
      <c r="EWV1" s="22"/>
      <c r="EWW1" s="22"/>
      <c r="EWX1" s="22"/>
      <c r="EWY1" s="22"/>
      <c r="EWZ1" s="22"/>
      <c r="EXA1" s="22"/>
      <c r="EXB1" s="22"/>
      <c r="EXC1" s="22"/>
      <c r="EXD1" s="22"/>
      <c r="EXE1" s="22"/>
      <c r="EXF1" s="22"/>
      <c r="EXG1" s="22"/>
      <c r="EXH1" s="22"/>
      <c r="EXI1" s="22"/>
      <c r="EXJ1" s="22"/>
      <c r="EXK1" s="22"/>
      <c r="EXL1" s="22"/>
      <c r="EXM1" s="22"/>
      <c r="EXN1" s="22"/>
      <c r="EXO1" s="22"/>
      <c r="EXP1" s="22"/>
      <c r="EXQ1" s="22"/>
      <c r="EXR1" s="22"/>
      <c r="EXS1" s="22"/>
      <c r="EXT1" s="22"/>
      <c r="EXU1" s="22"/>
      <c r="EXV1" s="22"/>
      <c r="EXW1" s="22"/>
      <c r="EXX1" s="22"/>
      <c r="EXY1" s="22"/>
      <c r="EXZ1" s="22"/>
      <c r="EYA1" s="22"/>
      <c r="EYB1" s="22"/>
      <c r="EYC1" s="22"/>
      <c r="EYD1" s="22"/>
      <c r="EYE1" s="22"/>
      <c r="EYF1" s="22"/>
      <c r="EYG1" s="22"/>
      <c r="EYH1" s="22"/>
      <c r="EYI1" s="22"/>
      <c r="EYJ1" s="22"/>
      <c r="EYK1" s="22"/>
      <c r="EYL1" s="22"/>
      <c r="EYM1" s="22"/>
      <c r="EYN1" s="22"/>
      <c r="EYO1" s="22"/>
      <c r="EYP1" s="22"/>
      <c r="EYQ1" s="22"/>
      <c r="EYR1" s="22"/>
      <c r="EYS1" s="22"/>
      <c r="EYT1" s="22"/>
      <c r="EYU1" s="22"/>
      <c r="EYV1" s="22"/>
      <c r="EYW1" s="22"/>
      <c r="EYX1" s="22"/>
      <c r="EYY1" s="22"/>
      <c r="EYZ1" s="22"/>
      <c r="EZA1" s="22"/>
      <c r="EZB1" s="22"/>
      <c r="EZC1" s="22"/>
      <c r="EZD1" s="22"/>
      <c r="EZE1" s="22"/>
      <c r="EZF1" s="22"/>
      <c r="EZG1" s="22"/>
      <c r="EZH1" s="22"/>
      <c r="EZI1" s="22"/>
      <c r="EZJ1" s="22"/>
      <c r="EZK1" s="22"/>
      <c r="EZL1" s="22"/>
      <c r="EZM1" s="22"/>
      <c r="EZN1" s="22"/>
      <c r="EZO1" s="22"/>
      <c r="EZP1" s="22"/>
      <c r="EZQ1" s="22"/>
      <c r="EZR1" s="22"/>
      <c r="EZS1" s="22"/>
      <c r="EZT1" s="22"/>
      <c r="EZU1" s="22"/>
      <c r="EZV1" s="22"/>
      <c r="EZW1" s="22"/>
      <c r="EZX1" s="22"/>
      <c r="EZY1" s="22"/>
      <c r="EZZ1" s="22"/>
      <c r="FAA1" s="22"/>
      <c r="FAB1" s="22"/>
      <c r="FAC1" s="22"/>
      <c r="FAD1" s="22"/>
      <c r="FAE1" s="22"/>
      <c r="FAF1" s="22"/>
      <c r="FAG1" s="22"/>
      <c r="FAH1" s="22"/>
      <c r="FAI1" s="22"/>
      <c r="FAJ1" s="22"/>
      <c r="FAK1" s="22"/>
      <c r="FAL1" s="22"/>
      <c r="FAM1" s="22"/>
      <c r="FAN1" s="22"/>
      <c r="FAO1" s="22"/>
      <c r="FAP1" s="22"/>
      <c r="FAQ1" s="22"/>
      <c r="FAR1" s="22"/>
      <c r="FAS1" s="22"/>
      <c r="FAT1" s="22"/>
      <c r="FAU1" s="22"/>
      <c r="FAV1" s="22"/>
      <c r="FAW1" s="22"/>
      <c r="FAX1" s="22"/>
      <c r="FAY1" s="22"/>
      <c r="FAZ1" s="22"/>
      <c r="FBA1" s="22"/>
      <c r="FBB1" s="22"/>
      <c r="FBC1" s="22"/>
      <c r="FBD1" s="22"/>
      <c r="FBE1" s="22"/>
      <c r="FBF1" s="22"/>
      <c r="FBG1" s="22"/>
      <c r="FBH1" s="22"/>
      <c r="FBI1" s="22"/>
      <c r="FBJ1" s="22"/>
      <c r="FBK1" s="22"/>
      <c r="FBL1" s="22"/>
      <c r="FBM1" s="22"/>
      <c r="FBN1" s="22"/>
      <c r="FBO1" s="22"/>
      <c r="FBP1" s="22"/>
      <c r="FBQ1" s="22"/>
      <c r="FBR1" s="22"/>
      <c r="FBS1" s="22"/>
      <c r="FBT1" s="22"/>
      <c r="FBU1" s="22"/>
      <c r="FBV1" s="22"/>
      <c r="FBW1" s="22"/>
      <c r="FBX1" s="22"/>
      <c r="FBY1" s="22"/>
      <c r="FBZ1" s="22"/>
      <c r="FCA1" s="22"/>
      <c r="FCB1" s="22"/>
      <c r="FCC1" s="22"/>
      <c r="FCD1" s="22"/>
      <c r="FCE1" s="22"/>
      <c r="FCF1" s="22"/>
      <c r="FCG1" s="22"/>
      <c r="FCH1" s="22"/>
      <c r="FCI1" s="22"/>
      <c r="FCJ1" s="22"/>
      <c r="FCK1" s="22"/>
      <c r="FCL1" s="22"/>
      <c r="FCM1" s="22"/>
      <c r="FCN1" s="22"/>
      <c r="FCO1" s="22"/>
      <c r="FCP1" s="22"/>
      <c r="FCQ1" s="22"/>
      <c r="FCR1" s="22"/>
      <c r="FCS1" s="22"/>
      <c r="FCT1" s="22"/>
      <c r="FCU1" s="22"/>
      <c r="FCV1" s="22"/>
      <c r="FCW1" s="22"/>
      <c r="FCX1" s="22"/>
      <c r="FCY1" s="22"/>
      <c r="FCZ1" s="22"/>
      <c r="FDA1" s="22"/>
      <c r="FDB1" s="22"/>
      <c r="FDC1" s="22"/>
      <c r="FDD1" s="22"/>
      <c r="FDE1" s="22"/>
      <c r="FDF1" s="22"/>
      <c r="FDG1" s="22"/>
      <c r="FDH1" s="22"/>
      <c r="FDI1" s="22"/>
      <c r="FDJ1" s="22"/>
      <c r="FDK1" s="22"/>
      <c r="FDL1" s="22"/>
      <c r="FDM1" s="22"/>
      <c r="FDN1" s="22"/>
      <c r="FDO1" s="22"/>
      <c r="FDP1" s="22"/>
      <c r="FDQ1" s="22"/>
      <c r="FDR1" s="22"/>
      <c r="FDS1" s="22"/>
      <c r="FDT1" s="22"/>
      <c r="FDU1" s="22"/>
      <c r="FDV1" s="22"/>
      <c r="FDW1" s="22"/>
      <c r="FDX1" s="22"/>
      <c r="FDY1" s="22"/>
      <c r="FDZ1" s="22"/>
      <c r="FEA1" s="22"/>
      <c r="FEB1" s="22"/>
      <c r="FEC1" s="22"/>
      <c r="FED1" s="22"/>
      <c r="FEE1" s="22"/>
      <c r="FEF1" s="22"/>
      <c r="FEG1" s="22"/>
      <c r="FEH1" s="22"/>
      <c r="FEI1" s="22"/>
      <c r="FEJ1" s="22"/>
      <c r="FEK1" s="22"/>
      <c r="FEL1" s="22"/>
      <c r="FEM1" s="22"/>
      <c r="FEN1" s="22"/>
      <c r="FEO1" s="22"/>
      <c r="FEP1" s="22"/>
      <c r="FEQ1" s="22"/>
      <c r="FER1" s="22"/>
      <c r="FES1" s="22"/>
      <c r="FET1" s="22"/>
      <c r="FEU1" s="22"/>
      <c r="FEV1" s="22"/>
      <c r="FEW1" s="22"/>
      <c r="FEX1" s="22"/>
      <c r="FEY1" s="22"/>
      <c r="FEZ1" s="22"/>
      <c r="FFA1" s="22"/>
      <c r="FFB1" s="22"/>
      <c r="FFC1" s="22"/>
      <c r="FFD1" s="22"/>
      <c r="FFE1" s="22"/>
      <c r="FFF1" s="22"/>
      <c r="FFG1" s="22"/>
      <c r="FFH1" s="22"/>
      <c r="FFI1" s="22"/>
      <c r="FFJ1" s="22"/>
      <c r="FFK1" s="22"/>
      <c r="FFL1" s="22"/>
      <c r="FFM1" s="22"/>
      <c r="FFN1" s="22"/>
      <c r="FFO1" s="22"/>
      <c r="FFP1" s="22"/>
      <c r="FFQ1" s="22"/>
      <c r="FFR1" s="22"/>
      <c r="FFS1" s="22"/>
      <c r="FFT1" s="22"/>
      <c r="FFU1" s="22"/>
      <c r="FFV1" s="22"/>
      <c r="FFW1" s="22"/>
      <c r="FFX1" s="22"/>
      <c r="FFY1" s="22"/>
      <c r="FFZ1" s="22"/>
      <c r="FGA1" s="22"/>
      <c r="FGB1" s="22"/>
      <c r="FGC1" s="22"/>
      <c r="FGD1" s="22"/>
      <c r="FGE1" s="22"/>
      <c r="FGF1" s="22"/>
      <c r="FGG1" s="22"/>
      <c r="FGH1" s="22"/>
      <c r="FGI1" s="22"/>
      <c r="FGJ1" s="22"/>
      <c r="FGK1" s="22"/>
      <c r="FGL1" s="22"/>
      <c r="FGM1" s="22"/>
      <c r="FGN1" s="22"/>
      <c r="FGO1" s="22"/>
      <c r="FGP1" s="22"/>
      <c r="FGQ1" s="22"/>
      <c r="FGR1" s="22"/>
      <c r="FGS1" s="22"/>
      <c r="FGT1" s="22"/>
      <c r="FGU1" s="22"/>
      <c r="FGV1" s="22"/>
      <c r="FGW1" s="22"/>
      <c r="FGX1" s="22"/>
      <c r="FGY1" s="22"/>
      <c r="FGZ1" s="22"/>
      <c r="FHA1" s="22"/>
      <c r="FHB1" s="22"/>
      <c r="FHC1" s="22"/>
      <c r="FHD1" s="22"/>
      <c r="FHE1" s="22"/>
      <c r="FHF1" s="22"/>
      <c r="FHG1" s="22"/>
      <c r="FHH1" s="22"/>
      <c r="FHI1" s="22"/>
      <c r="FHJ1" s="22"/>
      <c r="FHK1" s="22"/>
      <c r="FHL1" s="22"/>
      <c r="FHM1" s="22"/>
      <c r="FHN1" s="22"/>
      <c r="FHO1" s="22"/>
      <c r="FHP1" s="22"/>
      <c r="FHQ1" s="22"/>
      <c r="FHR1" s="22"/>
      <c r="FHS1" s="22"/>
      <c r="FHT1" s="22"/>
      <c r="FHU1" s="22"/>
      <c r="FHV1" s="22"/>
      <c r="FHW1" s="22"/>
      <c r="FHX1" s="22"/>
      <c r="FHY1" s="22"/>
      <c r="FHZ1" s="22"/>
      <c r="FIA1" s="22"/>
      <c r="FIB1" s="22"/>
      <c r="FIC1" s="22"/>
      <c r="FID1" s="22"/>
      <c r="FIE1" s="22"/>
      <c r="FIF1" s="22"/>
      <c r="FIG1" s="22"/>
      <c r="FIH1" s="22"/>
      <c r="FII1" s="22"/>
      <c r="FIJ1" s="22"/>
      <c r="FIK1" s="22"/>
      <c r="FIL1" s="22"/>
      <c r="FIM1" s="22"/>
      <c r="FIN1" s="22"/>
      <c r="FIO1" s="22"/>
      <c r="FIP1" s="22"/>
      <c r="FIQ1" s="22"/>
      <c r="FIR1" s="22"/>
      <c r="FIS1" s="22"/>
      <c r="FIT1" s="22"/>
      <c r="FIU1" s="22"/>
      <c r="FIV1" s="22"/>
      <c r="FIW1" s="22"/>
      <c r="FIX1" s="22"/>
      <c r="FIY1" s="22"/>
      <c r="FIZ1" s="22"/>
      <c r="FJA1" s="22"/>
      <c r="FJB1" s="22"/>
      <c r="FJC1" s="22"/>
      <c r="FJD1" s="22"/>
      <c r="FJE1" s="22"/>
      <c r="FJF1" s="22"/>
      <c r="FJG1" s="22"/>
      <c r="FJH1" s="22"/>
      <c r="FJI1" s="22"/>
      <c r="FJJ1" s="22"/>
      <c r="FJK1" s="22"/>
      <c r="FJL1" s="22"/>
      <c r="FJM1" s="22"/>
      <c r="FJN1" s="22"/>
      <c r="FJO1" s="22"/>
      <c r="FJP1" s="22"/>
      <c r="FJQ1" s="22"/>
      <c r="FJR1" s="22"/>
      <c r="FJS1" s="22"/>
      <c r="FJT1" s="22"/>
      <c r="FJU1" s="22"/>
      <c r="FJV1" s="22"/>
      <c r="FJW1" s="22"/>
      <c r="FJX1" s="22"/>
      <c r="FJY1" s="22"/>
      <c r="FJZ1" s="22"/>
      <c r="FKA1" s="22"/>
      <c r="FKB1" s="22"/>
      <c r="FKC1" s="22"/>
      <c r="FKD1" s="22"/>
      <c r="FKE1" s="22"/>
      <c r="FKF1" s="22"/>
      <c r="FKG1" s="22"/>
      <c r="FKH1" s="22"/>
      <c r="FKI1" s="22"/>
      <c r="FKJ1" s="22"/>
      <c r="FKK1" s="22"/>
      <c r="FKL1" s="22"/>
      <c r="FKM1" s="22"/>
      <c r="FKN1" s="22"/>
      <c r="FKO1" s="22"/>
      <c r="FKP1" s="22"/>
      <c r="FKQ1" s="22"/>
      <c r="FKR1" s="22"/>
      <c r="FKS1" s="22"/>
      <c r="FKT1" s="22"/>
      <c r="FKU1" s="22"/>
      <c r="FKV1" s="22"/>
      <c r="FKW1" s="22"/>
      <c r="FKX1" s="22"/>
      <c r="FKY1" s="22"/>
      <c r="FKZ1" s="22"/>
      <c r="FLA1" s="22"/>
      <c r="FLB1" s="22"/>
      <c r="FLC1" s="22"/>
      <c r="FLD1" s="22"/>
      <c r="FLE1" s="22"/>
      <c r="FLF1" s="22"/>
      <c r="FLG1" s="22"/>
      <c r="FLH1" s="22"/>
      <c r="FLI1" s="22"/>
      <c r="FLJ1" s="22"/>
      <c r="FLK1" s="22"/>
      <c r="FLL1" s="22"/>
      <c r="FLM1" s="22"/>
      <c r="FLN1" s="22"/>
      <c r="FLO1" s="22"/>
      <c r="FLP1" s="22"/>
      <c r="FLQ1" s="22"/>
      <c r="FLR1" s="22"/>
      <c r="FLS1" s="22"/>
      <c r="FLT1" s="22"/>
      <c r="FLU1" s="22"/>
      <c r="FLV1" s="22"/>
      <c r="FLW1" s="22"/>
      <c r="FLX1" s="22"/>
      <c r="FLY1" s="22"/>
      <c r="FLZ1" s="22"/>
      <c r="FMA1" s="22"/>
      <c r="FMB1" s="22"/>
      <c r="FMC1" s="22"/>
      <c r="FMD1" s="22"/>
      <c r="FME1" s="22"/>
      <c r="FMF1" s="22"/>
      <c r="FMG1" s="22"/>
      <c r="FMH1" s="22"/>
      <c r="FMI1" s="22"/>
      <c r="FMJ1" s="22"/>
      <c r="FMK1" s="22"/>
      <c r="FML1" s="22"/>
      <c r="FMM1" s="22"/>
      <c r="FMN1" s="22"/>
      <c r="FMO1" s="22"/>
      <c r="FMP1" s="22"/>
      <c r="FMQ1" s="22"/>
      <c r="FMR1" s="22"/>
      <c r="FMS1" s="22"/>
      <c r="FMT1" s="22"/>
      <c r="FMU1" s="22"/>
      <c r="FMV1" s="22"/>
      <c r="FMW1" s="22"/>
      <c r="FMX1" s="22"/>
      <c r="FMY1" s="22"/>
      <c r="FMZ1" s="22"/>
      <c r="FNA1" s="22"/>
      <c r="FNB1" s="22"/>
      <c r="FNC1" s="22"/>
      <c r="FND1" s="22"/>
      <c r="FNE1" s="22"/>
      <c r="FNF1" s="22"/>
      <c r="FNG1" s="22"/>
      <c r="FNH1" s="22"/>
      <c r="FNI1" s="22"/>
      <c r="FNJ1" s="22"/>
      <c r="FNK1" s="22"/>
      <c r="FNL1" s="22"/>
      <c r="FNM1" s="22"/>
      <c r="FNN1" s="22"/>
      <c r="FNO1" s="22"/>
      <c r="FNP1" s="22"/>
      <c r="FNQ1" s="22"/>
      <c r="FNR1" s="22"/>
      <c r="FNS1" s="22"/>
      <c r="FNT1" s="22"/>
      <c r="FNU1" s="22"/>
      <c r="FNV1" s="22"/>
      <c r="FNW1" s="22"/>
      <c r="FNX1" s="22"/>
      <c r="FNY1" s="22"/>
      <c r="FNZ1" s="22"/>
      <c r="FOA1" s="22"/>
      <c r="FOB1" s="22"/>
      <c r="FOC1" s="22"/>
      <c r="FOD1" s="22"/>
      <c r="FOE1" s="22"/>
      <c r="FOF1" s="22"/>
      <c r="FOG1" s="22"/>
      <c r="FOH1" s="22"/>
      <c r="FOI1" s="22"/>
      <c r="FOJ1" s="22"/>
      <c r="FOK1" s="22"/>
      <c r="FOL1" s="22"/>
      <c r="FOM1" s="22"/>
      <c r="FON1" s="22"/>
      <c r="FOO1" s="22"/>
      <c r="FOP1" s="22"/>
      <c r="FOQ1" s="22"/>
      <c r="FOR1" s="22"/>
      <c r="FOS1" s="22"/>
      <c r="FOT1" s="22"/>
      <c r="FOU1" s="22"/>
      <c r="FOV1" s="22"/>
      <c r="FOW1" s="22"/>
      <c r="FOX1" s="22"/>
      <c r="FOY1" s="22"/>
      <c r="FOZ1" s="22"/>
      <c r="FPA1" s="22"/>
      <c r="FPB1" s="22"/>
      <c r="FPC1" s="22"/>
      <c r="FPD1" s="22"/>
      <c r="FPE1" s="22"/>
      <c r="FPF1" s="22"/>
      <c r="FPG1" s="22"/>
      <c r="FPH1" s="22"/>
      <c r="FPI1" s="22"/>
      <c r="FPJ1" s="22"/>
      <c r="FPK1" s="22"/>
      <c r="FPL1" s="22"/>
      <c r="FPM1" s="22"/>
      <c r="FPN1" s="22"/>
      <c r="FPO1" s="22"/>
      <c r="FPP1" s="22"/>
      <c r="FPQ1" s="22"/>
      <c r="FPR1" s="22"/>
      <c r="FPS1" s="22"/>
      <c r="FPT1" s="22"/>
      <c r="FPU1" s="22"/>
      <c r="FPV1" s="22"/>
      <c r="FPW1" s="22"/>
      <c r="FPX1" s="22"/>
      <c r="FPY1" s="22"/>
      <c r="FPZ1" s="22"/>
      <c r="FQA1" s="22"/>
      <c r="FQB1" s="22"/>
      <c r="FQC1" s="22"/>
      <c r="FQD1" s="22"/>
      <c r="FQE1" s="22"/>
      <c r="FQF1" s="22"/>
      <c r="FQG1" s="22"/>
      <c r="FQH1" s="22"/>
      <c r="FQI1" s="22"/>
      <c r="FQJ1" s="22"/>
      <c r="FQK1" s="22"/>
      <c r="FQL1" s="22"/>
      <c r="FQM1" s="22"/>
      <c r="FQN1" s="22"/>
      <c r="FQO1" s="22"/>
      <c r="FQP1" s="22"/>
      <c r="FQQ1" s="22"/>
      <c r="FQR1" s="22"/>
      <c r="FQS1" s="22"/>
      <c r="FQT1" s="22"/>
      <c r="FQU1" s="22"/>
      <c r="FQV1" s="22"/>
      <c r="FQW1" s="22"/>
      <c r="FQX1" s="22"/>
      <c r="FQY1" s="22"/>
      <c r="FQZ1" s="22"/>
      <c r="FRA1" s="22"/>
      <c r="FRB1" s="22"/>
      <c r="FRC1" s="22"/>
      <c r="FRD1" s="22"/>
      <c r="FRE1" s="22"/>
      <c r="FRF1" s="22"/>
      <c r="FRG1" s="22"/>
      <c r="FRH1" s="22"/>
      <c r="FRI1" s="22"/>
      <c r="FRJ1" s="22"/>
      <c r="FRK1" s="22"/>
      <c r="FRL1" s="22"/>
      <c r="FRM1" s="22"/>
      <c r="FRN1" s="22"/>
      <c r="FRO1" s="22"/>
      <c r="FRP1" s="22"/>
      <c r="FRQ1" s="22"/>
      <c r="FRR1" s="22"/>
      <c r="FRS1" s="22"/>
      <c r="FRT1" s="22"/>
      <c r="FRU1" s="22"/>
      <c r="FRV1" s="22"/>
      <c r="FRW1" s="22"/>
      <c r="FRX1" s="22"/>
      <c r="FRY1" s="22"/>
      <c r="FRZ1" s="22"/>
      <c r="FSA1" s="22"/>
      <c r="FSB1" s="22"/>
      <c r="FSC1" s="22"/>
      <c r="FSD1" s="22"/>
      <c r="FSE1" s="22"/>
      <c r="FSF1" s="22"/>
      <c r="FSG1" s="22"/>
      <c r="FSH1" s="22"/>
      <c r="FSI1" s="22"/>
      <c r="FSJ1" s="22"/>
      <c r="FSK1" s="22"/>
      <c r="FSL1" s="22"/>
      <c r="FSM1" s="22"/>
      <c r="FSN1" s="22"/>
      <c r="FSO1" s="22"/>
      <c r="FSP1" s="22"/>
      <c r="FSQ1" s="22"/>
      <c r="FSR1" s="22"/>
      <c r="FSS1" s="22"/>
      <c r="FST1" s="22"/>
      <c r="FSU1" s="22"/>
      <c r="FSV1" s="22"/>
      <c r="FSW1" s="22"/>
      <c r="FSX1" s="22"/>
      <c r="FSY1" s="22"/>
      <c r="FSZ1" s="22"/>
      <c r="FTA1" s="22"/>
      <c r="FTB1" s="22"/>
      <c r="FTC1" s="22"/>
      <c r="FTD1" s="22"/>
      <c r="FTE1" s="22"/>
      <c r="FTF1" s="22"/>
      <c r="FTG1" s="22"/>
      <c r="FTH1" s="22"/>
      <c r="FTI1" s="22"/>
      <c r="FTJ1" s="22"/>
      <c r="FTK1" s="22"/>
      <c r="FTL1" s="22"/>
      <c r="FTM1" s="22"/>
      <c r="FTN1" s="22"/>
      <c r="FTO1" s="22"/>
      <c r="FTP1" s="22"/>
      <c r="FTQ1" s="22"/>
      <c r="FTR1" s="22"/>
      <c r="FTS1" s="22"/>
      <c r="FTT1" s="22"/>
      <c r="FTU1" s="22"/>
      <c r="FTV1" s="22"/>
      <c r="FTW1" s="22"/>
      <c r="FTX1" s="22"/>
      <c r="FTY1" s="22"/>
      <c r="FTZ1" s="22"/>
      <c r="FUA1" s="22"/>
      <c r="FUB1" s="22"/>
      <c r="FUC1" s="22"/>
      <c r="FUD1" s="22"/>
      <c r="FUE1" s="22"/>
      <c r="FUF1" s="22"/>
      <c r="FUG1" s="22"/>
      <c r="FUH1" s="22"/>
      <c r="FUI1" s="22"/>
      <c r="FUJ1" s="22"/>
      <c r="FUK1" s="22"/>
      <c r="FUL1" s="22"/>
      <c r="FUM1" s="22"/>
      <c r="FUN1" s="22"/>
      <c r="FUO1" s="22"/>
      <c r="FUP1" s="22"/>
      <c r="FUQ1" s="22"/>
      <c r="FUR1" s="22"/>
      <c r="FUS1" s="22"/>
      <c r="FUT1" s="22"/>
      <c r="FUU1" s="22"/>
      <c r="FUV1" s="22"/>
      <c r="FUW1" s="22"/>
      <c r="FUX1" s="22"/>
      <c r="FUY1" s="22"/>
      <c r="FUZ1" s="22"/>
      <c r="FVA1" s="22"/>
      <c r="FVB1" s="22"/>
      <c r="FVC1" s="22"/>
      <c r="FVD1" s="22"/>
      <c r="FVE1" s="22"/>
      <c r="FVF1" s="22"/>
      <c r="FVG1" s="22"/>
      <c r="FVH1" s="22"/>
      <c r="FVI1" s="22"/>
      <c r="FVJ1" s="22"/>
      <c r="FVK1" s="22"/>
      <c r="FVL1" s="22"/>
      <c r="FVM1" s="22"/>
      <c r="FVN1" s="22"/>
      <c r="FVO1" s="22"/>
      <c r="FVP1" s="22"/>
      <c r="FVQ1" s="22"/>
      <c r="FVR1" s="22"/>
      <c r="FVS1" s="22"/>
      <c r="FVT1" s="22"/>
      <c r="FVU1" s="22"/>
      <c r="FVV1" s="22"/>
      <c r="FVW1" s="22"/>
      <c r="FVX1" s="22"/>
      <c r="FVY1" s="22"/>
      <c r="FVZ1" s="22"/>
      <c r="FWA1" s="22"/>
      <c r="FWB1" s="22"/>
      <c r="FWC1" s="22"/>
      <c r="FWD1" s="22"/>
      <c r="FWE1" s="22"/>
      <c r="FWF1" s="22"/>
      <c r="FWG1" s="22"/>
      <c r="FWH1" s="22"/>
      <c r="FWI1" s="22"/>
      <c r="FWJ1" s="22"/>
      <c r="FWK1" s="22"/>
      <c r="FWL1" s="22"/>
      <c r="FWM1" s="22"/>
      <c r="FWN1" s="22"/>
      <c r="FWO1" s="22"/>
      <c r="FWP1" s="22"/>
      <c r="FWQ1" s="22"/>
      <c r="FWR1" s="22"/>
      <c r="FWS1" s="22"/>
      <c r="FWT1" s="22"/>
      <c r="FWU1" s="22"/>
      <c r="FWV1" s="22"/>
      <c r="FWW1" s="22"/>
      <c r="FWX1" s="22"/>
      <c r="FWY1" s="22"/>
      <c r="FWZ1" s="22"/>
      <c r="FXA1" s="22"/>
      <c r="FXB1" s="22"/>
      <c r="FXC1" s="22"/>
      <c r="FXD1" s="22"/>
      <c r="FXE1" s="22"/>
      <c r="FXF1" s="22"/>
      <c r="FXG1" s="22"/>
      <c r="FXH1" s="22"/>
      <c r="FXI1" s="22"/>
      <c r="FXJ1" s="22"/>
      <c r="FXK1" s="22"/>
      <c r="FXL1" s="22"/>
      <c r="FXM1" s="22"/>
      <c r="FXN1" s="22"/>
      <c r="FXO1" s="22"/>
      <c r="FXP1" s="22"/>
      <c r="FXQ1" s="22"/>
      <c r="FXR1" s="22"/>
      <c r="FXS1" s="22"/>
      <c r="FXT1" s="22"/>
      <c r="FXU1" s="22"/>
      <c r="FXV1" s="22"/>
      <c r="FXW1" s="22"/>
      <c r="FXX1" s="22"/>
      <c r="FXY1" s="22"/>
      <c r="FXZ1" s="22"/>
      <c r="FYA1" s="22"/>
      <c r="FYB1" s="22"/>
      <c r="FYC1" s="22"/>
      <c r="FYD1" s="22"/>
      <c r="FYE1" s="22"/>
      <c r="FYF1" s="22"/>
      <c r="FYG1" s="22"/>
      <c r="FYH1" s="22"/>
      <c r="FYI1" s="22"/>
      <c r="FYJ1" s="22"/>
      <c r="FYK1" s="22"/>
      <c r="FYL1" s="22"/>
      <c r="FYM1" s="22"/>
      <c r="FYN1" s="22"/>
      <c r="FYO1" s="22"/>
      <c r="FYP1" s="22"/>
      <c r="FYQ1" s="22"/>
      <c r="FYR1" s="22"/>
      <c r="FYS1" s="22"/>
      <c r="FYT1" s="22"/>
      <c r="FYU1" s="22"/>
      <c r="FYV1" s="22"/>
      <c r="FYW1" s="22"/>
      <c r="FYX1" s="22"/>
      <c r="FYY1" s="22"/>
      <c r="FYZ1" s="22"/>
      <c r="FZA1" s="22"/>
      <c r="FZB1" s="22"/>
      <c r="FZC1" s="22"/>
      <c r="FZD1" s="22"/>
      <c r="FZE1" s="22"/>
      <c r="FZF1" s="22"/>
      <c r="FZG1" s="22"/>
      <c r="FZH1" s="22"/>
      <c r="FZI1" s="22"/>
      <c r="FZJ1" s="22"/>
      <c r="FZK1" s="22"/>
      <c r="FZL1" s="22"/>
      <c r="FZM1" s="22"/>
      <c r="FZN1" s="22"/>
      <c r="FZO1" s="22"/>
      <c r="FZP1" s="22"/>
      <c r="FZQ1" s="22"/>
      <c r="FZR1" s="22"/>
      <c r="FZS1" s="22"/>
      <c r="FZT1" s="22"/>
      <c r="FZU1" s="22"/>
      <c r="FZV1" s="22"/>
      <c r="FZW1" s="22"/>
      <c r="FZX1" s="22"/>
      <c r="FZY1" s="22"/>
      <c r="FZZ1" s="22"/>
      <c r="GAA1" s="22"/>
      <c r="GAB1" s="22"/>
      <c r="GAC1" s="22"/>
      <c r="GAD1" s="22"/>
      <c r="GAE1" s="22"/>
      <c r="GAF1" s="22"/>
      <c r="GAG1" s="22"/>
      <c r="GAH1" s="22"/>
      <c r="GAI1" s="22"/>
      <c r="GAJ1" s="22"/>
      <c r="GAK1" s="22"/>
      <c r="GAL1" s="22"/>
      <c r="GAM1" s="22"/>
      <c r="GAN1" s="22"/>
      <c r="GAO1" s="22"/>
      <c r="GAP1" s="22"/>
      <c r="GAQ1" s="22"/>
      <c r="GAR1" s="22"/>
      <c r="GAS1" s="22"/>
      <c r="GAT1" s="22"/>
      <c r="GAU1" s="22"/>
      <c r="GAV1" s="22"/>
      <c r="GAW1" s="22"/>
      <c r="GAX1" s="22"/>
      <c r="GAY1" s="22"/>
      <c r="GAZ1" s="22"/>
      <c r="GBA1" s="22"/>
      <c r="GBB1" s="22"/>
      <c r="GBC1" s="22"/>
      <c r="GBD1" s="22"/>
      <c r="GBE1" s="22"/>
      <c r="GBF1" s="22"/>
      <c r="GBG1" s="22"/>
      <c r="GBH1" s="22"/>
      <c r="GBI1" s="22"/>
      <c r="GBJ1" s="22"/>
      <c r="GBK1" s="22"/>
      <c r="GBL1" s="22"/>
      <c r="GBM1" s="22"/>
      <c r="GBN1" s="22"/>
      <c r="GBO1" s="22"/>
      <c r="GBP1" s="22"/>
      <c r="GBQ1" s="22"/>
      <c r="GBR1" s="22"/>
      <c r="GBS1" s="22"/>
      <c r="GBT1" s="22"/>
      <c r="GBU1" s="22"/>
      <c r="GBV1" s="22"/>
      <c r="GBW1" s="22"/>
      <c r="GBX1" s="22"/>
      <c r="GBY1" s="22"/>
      <c r="GBZ1" s="22"/>
      <c r="GCA1" s="22"/>
      <c r="GCB1" s="22"/>
      <c r="GCC1" s="22"/>
      <c r="GCD1" s="22"/>
      <c r="GCE1" s="22"/>
      <c r="GCF1" s="22"/>
      <c r="GCG1" s="22"/>
      <c r="GCH1" s="22"/>
      <c r="GCI1" s="22"/>
      <c r="GCJ1" s="22"/>
      <c r="GCK1" s="22"/>
      <c r="GCL1" s="22"/>
      <c r="GCM1" s="22"/>
      <c r="GCN1" s="22"/>
      <c r="GCO1" s="22"/>
      <c r="GCP1" s="22"/>
      <c r="GCQ1" s="22"/>
      <c r="GCR1" s="22"/>
      <c r="GCS1" s="22"/>
      <c r="GCT1" s="22"/>
      <c r="GCU1" s="22"/>
      <c r="GCV1" s="22"/>
      <c r="GCW1" s="22"/>
      <c r="GCX1" s="22"/>
      <c r="GCY1" s="22"/>
      <c r="GCZ1" s="22"/>
      <c r="GDA1" s="22"/>
      <c r="GDB1" s="22"/>
      <c r="GDC1" s="22"/>
      <c r="GDD1" s="22"/>
      <c r="GDE1" s="22"/>
      <c r="GDF1" s="22"/>
      <c r="GDG1" s="22"/>
      <c r="GDH1" s="22"/>
      <c r="GDI1" s="22"/>
      <c r="GDJ1" s="22"/>
      <c r="GDK1" s="22"/>
      <c r="GDL1" s="22"/>
      <c r="GDM1" s="22"/>
      <c r="GDN1" s="22"/>
      <c r="GDO1" s="22"/>
      <c r="GDP1" s="22"/>
      <c r="GDQ1" s="22"/>
      <c r="GDR1" s="22"/>
      <c r="GDS1" s="22"/>
      <c r="GDT1" s="22"/>
      <c r="GDU1" s="22"/>
      <c r="GDV1" s="22"/>
      <c r="GDW1" s="22"/>
      <c r="GDX1" s="22"/>
      <c r="GDY1" s="22"/>
      <c r="GDZ1" s="22"/>
      <c r="GEA1" s="22"/>
      <c r="GEB1" s="22"/>
      <c r="GEC1" s="22"/>
      <c r="GED1" s="22"/>
      <c r="GEE1" s="22"/>
      <c r="GEF1" s="22"/>
      <c r="GEG1" s="22"/>
      <c r="GEH1" s="22"/>
      <c r="GEI1" s="22"/>
      <c r="GEJ1" s="22"/>
      <c r="GEK1" s="22"/>
      <c r="GEL1" s="22"/>
      <c r="GEM1" s="22"/>
      <c r="GEN1" s="22"/>
      <c r="GEO1" s="22"/>
      <c r="GEP1" s="22"/>
      <c r="GEQ1" s="22"/>
      <c r="GER1" s="22"/>
      <c r="GES1" s="22"/>
      <c r="GET1" s="22"/>
      <c r="GEU1" s="22"/>
      <c r="GEV1" s="22"/>
      <c r="GEW1" s="22"/>
      <c r="GEX1" s="22"/>
      <c r="GEY1" s="22"/>
      <c r="GEZ1" s="22"/>
      <c r="GFA1" s="22"/>
      <c r="GFB1" s="22"/>
      <c r="GFC1" s="22"/>
      <c r="GFD1" s="22"/>
      <c r="GFE1" s="22"/>
      <c r="GFF1" s="22"/>
      <c r="GFG1" s="22"/>
      <c r="GFH1" s="22"/>
      <c r="GFI1" s="22"/>
      <c r="GFJ1" s="22"/>
      <c r="GFK1" s="22"/>
      <c r="GFL1" s="22"/>
      <c r="GFM1" s="22"/>
      <c r="GFN1" s="22"/>
      <c r="GFO1" s="22"/>
      <c r="GFP1" s="22"/>
      <c r="GFQ1" s="22"/>
      <c r="GFR1" s="22"/>
      <c r="GFS1" s="22"/>
      <c r="GFT1" s="22"/>
      <c r="GFU1" s="22"/>
      <c r="GFV1" s="22"/>
      <c r="GFW1" s="22"/>
      <c r="GFX1" s="22"/>
      <c r="GFY1" s="22"/>
      <c r="GFZ1" s="22"/>
      <c r="GGA1" s="22"/>
      <c r="GGB1" s="22"/>
      <c r="GGC1" s="22"/>
      <c r="GGD1" s="22"/>
      <c r="GGE1" s="22"/>
      <c r="GGF1" s="22"/>
      <c r="GGG1" s="22"/>
      <c r="GGH1" s="22"/>
      <c r="GGI1" s="22"/>
      <c r="GGJ1" s="22"/>
      <c r="GGK1" s="22"/>
      <c r="GGL1" s="22"/>
      <c r="GGM1" s="22"/>
      <c r="GGN1" s="22"/>
      <c r="GGO1" s="22"/>
      <c r="GGP1" s="22"/>
      <c r="GGQ1" s="22"/>
      <c r="GGR1" s="22"/>
      <c r="GGS1" s="22"/>
      <c r="GGT1" s="22"/>
      <c r="GGU1" s="22"/>
      <c r="GGV1" s="22"/>
      <c r="GGW1" s="22"/>
      <c r="GGX1" s="22"/>
      <c r="GGY1" s="22"/>
      <c r="GGZ1" s="22"/>
      <c r="GHA1" s="22"/>
      <c r="GHB1" s="22"/>
      <c r="GHC1" s="22"/>
      <c r="GHD1" s="22"/>
      <c r="GHE1" s="22"/>
      <c r="GHF1" s="22"/>
      <c r="GHG1" s="22"/>
      <c r="GHH1" s="22"/>
      <c r="GHI1" s="22"/>
      <c r="GHJ1" s="22"/>
      <c r="GHK1" s="22"/>
      <c r="GHL1" s="22"/>
      <c r="GHM1" s="22"/>
      <c r="GHN1" s="22"/>
      <c r="GHO1" s="22"/>
      <c r="GHP1" s="22"/>
      <c r="GHQ1" s="22"/>
      <c r="GHR1" s="22"/>
      <c r="GHS1" s="22"/>
      <c r="GHT1" s="22"/>
      <c r="GHU1" s="22"/>
      <c r="GHV1" s="22"/>
      <c r="GHW1" s="22"/>
      <c r="GHX1" s="22"/>
      <c r="GHY1" s="22"/>
      <c r="GHZ1" s="22"/>
      <c r="GIA1" s="22"/>
      <c r="GIB1" s="22"/>
      <c r="GIC1" s="22"/>
      <c r="GID1" s="22"/>
      <c r="GIE1" s="22"/>
      <c r="GIF1" s="22"/>
      <c r="GIG1" s="22"/>
      <c r="GIH1" s="22"/>
      <c r="GII1" s="22"/>
      <c r="GIJ1" s="22"/>
      <c r="GIK1" s="22"/>
      <c r="GIL1" s="22"/>
      <c r="GIM1" s="22"/>
      <c r="GIN1" s="22"/>
      <c r="GIO1" s="22"/>
      <c r="GIP1" s="22"/>
      <c r="GIQ1" s="22"/>
      <c r="GIR1" s="22"/>
      <c r="GIS1" s="22"/>
      <c r="GIT1" s="22"/>
      <c r="GIU1" s="22"/>
      <c r="GIV1" s="22"/>
      <c r="GIW1" s="22"/>
      <c r="GIX1" s="22"/>
      <c r="GIY1" s="22"/>
      <c r="GIZ1" s="22"/>
      <c r="GJA1" s="22"/>
      <c r="GJB1" s="22"/>
      <c r="GJC1" s="22"/>
      <c r="GJD1" s="22"/>
      <c r="GJE1" s="22"/>
      <c r="GJF1" s="22"/>
      <c r="GJG1" s="22"/>
      <c r="GJH1" s="22"/>
      <c r="GJI1" s="22"/>
      <c r="GJJ1" s="22"/>
      <c r="GJK1" s="22"/>
      <c r="GJL1" s="22"/>
      <c r="GJM1" s="22"/>
      <c r="GJN1" s="22"/>
      <c r="GJO1" s="22"/>
      <c r="GJP1" s="22"/>
      <c r="GJQ1" s="22"/>
      <c r="GJR1" s="22"/>
      <c r="GJS1" s="22"/>
      <c r="GJT1" s="22"/>
      <c r="GJU1" s="22"/>
      <c r="GJV1" s="22"/>
      <c r="GJW1" s="22"/>
      <c r="GJX1" s="22"/>
      <c r="GJY1" s="22"/>
      <c r="GJZ1" s="22"/>
      <c r="GKA1" s="22"/>
      <c r="GKB1" s="22"/>
      <c r="GKC1" s="22"/>
      <c r="GKD1" s="22"/>
      <c r="GKE1" s="22"/>
      <c r="GKF1" s="22"/>
      <c r="GKG1" s="22"/>
      <c r="GKH1" s="22"/>
      <c r="GKI1" s="22"/>
      <c r="GKJ1" s="22"/>
      <c r="GKK1" s="22"/>
      <c r="GKL1" s="22"/>
      <c r="GKM1" s="22"/>
      <c r="GKN1" s="22"/>
      <c r="GKO1" s="22"/>
      <c r="GKP1" s="22"/>
      <c r="GKQ1" s="22"/>
      <c r="GKR1" s="22"/>
      <c r="GKS1" s="22"/>
      <c r="GKT1" s="22"/>
      <c r="GKU1" s="22"/>
      <c r="GKV1" s="22"/>
      <c r="GKW1" s="22"/>
      <c r="GKX1" s="22"/>
      <c r="GKY1" s="22"/>
      <c r="GKZ1" s="22"/>
      <c r="GLA1" s="22"/>
      <c r="GLB1" s="22"/>
      <c r="GLC1" s="22"/>
      <c r="GLD1" s="22"/>
      <c r="GLE1" s="22"/>
      <c r="GLF1" s="22"/>
      <c r="GLG1" s="22"/>
      <c r="GLH1" s="22"/>
      <c r="GLI1" s="22"/>
      <c r="GLJ1" s="22"/>
      <c r="GLK1" s="22"/>
      <c r="GLL1" s="22"/>
      <c r="GLM1" s="22"/>
      <c r="GLN1" s="22"/>
      <c r="GLO1" s="22"/>
      <c r="GLP1" s="22"/>
      <c r="GLQ1" s="22"/>
      <c r="GLR1" s="22"/>
      <c r="GLS1" s="22"/>
      <c r="GLT1" s="22"/>
      <c r="GLU1" s="22"/>
      <c r="GLV1" s="22"/>
      <c r="GLW1" s="22"/>
      <c r="GLX1" s="22"/>
      <c r="GLY1" s="22"/>
      <c r="GLZ1" s="22"/>
      <c r="GMA1" s="22"/>
      <c r="GMB1" s="22"/>
      <c r="GMC1" s="22"/>
      <c r="GMD1" s="22"/>
      <c r="GME1" s="22"/>
      <c r="GMF1" s="22"/>
      <c r="GMG1" s="22"/>
      <c r="GMH1" s="22"/>
      <c r="GMI1" s="22"/>
      <c r="GMJ1" s="22"/>
      <c r="GMK1" s="22"/>
      <c r="GML1" s="22"/>
      <c r="GMM1" s="22"/>
      <c r="GMN1" s="22"/>
      <c r="GMO1" s="22"/>
      <c r="GMP1" s="22"/>
      <c r="GMQ1" s="22"/>
      <c r="GMR1" s="22"/>
      <c r="GMS1" s="22"/>
      <c r="GMT1" s="22"/>
      <c r="GMU1" s="22"/>
      <c r="GMV1" s="22"/>
      <c r="GMW1" s="22"/>
      <c r="GMX1" s="22"/>
      <c r="GMY1" s="22"/>
      <c r="GMZ1" s="22"/>
      <c r="GNA1" s="22"/>
      <c r="GNB1" s="22"/>
      <c r="GNC1" s="22"/>
      <c r="GND1" s="22"/>
      <c r="GNE1" s="22"/>
      <c r="GNF1" s="22"/>
      <c r="GNG1" s="22"/>
      <c r="GNH1" s="22"/>
      <c r="GNI1" s="22"/>
      <c r="GNJ1" s="22"/>
      <c r="GNK1" s="22"/>
      <c r="GNL1" s="22"/>
      <c r="GNM1" s="22"/>
      <c r="GNN1" s="22"/>
      <c r="GNO1" s="22"/>
      <c r="GNP1" s="22"/>
      <c r="GNQ1" s="22"/>
      <c r="GNR1" s="22"/>
      <c r="GNS1" s="22"/>
      <c r="GNT1" s="22"/>
      <c r="GNU1" s="22"/>
      <c r="GNV1" s="22"/>
      <c r="GNW1" s="22"/>
      <c r="GNX1" s="22"/>
      <c r="GNY1" s="22"/>
      <c r="GNZ1" s="22"/>
      <c r="GOA1" s="22"/>
      <c r="GOB1" s="22"/>
      <c r="GOC1" s="22"/>
      <c r="GOD1" s="22"/>
      <c r="GOE1" s="22"/>
      <c r="GOF1" s="22"/>
      <c r="GOG1" s="22"/>
      <c r="GOH1" s="22"/>
      <c r="GOI1" s="22"/>
      <c r="GOJ1" s="22"/>
      <c r="GOK1" s="22"/>
      <c r="GOL1" s="22"/>
      <c r="GOM1" s="22"/>
      <c r="GON1" s="22"/>
      <c r="GOO1" s="22"/>
      <c r="GOP1" s="22"/>
      <c r="GOQ1" s="22"/>
      <c r="GOR1" s="22"/>
      <c r="GOS1" s="22"/>
      <c r="GOT1" s="22"/>
      <c r="GOU1" s="22"/>
      <c r="GOV1" s="22"/>
      <c r="GOW1" s="22"/>
      <c r="GOX1" s="22"/>
      <c r="GOY1" s="22"/>
      <c r="GOZ1" s="22"/>
      <c r="GPA1" s="22"/>
      <c r="GPB1" s="22"/>
      <c r="GPC1" s="22"/>
      <c r="GPD1" s="22"/>
      <c r="GPE1" s="22"/>
      <c r="GPF1" s="22"/>
      <c r="GPG1" s="22"/>
      <c r="GPH1" s="22"/>
      <c r="GPI1" s="22"/>
      <c r="GPJ1" s="22"/>
      <c r="GPK1" s="22"/>
      <c r="GPL1" s="22"/>
      <c r="GPM1" s="22"/>
      <c r="GPN1" s="22"/>
      <c r="GPO1" s="22"/>
      <c r="GPP1" s="22"/>
      <c r="GPQ1" s="22"/>
      <c r="GPR1" s="22"/>
      <c r="GPS1" s="22"/>
      <c r="GPT1" s="22"/>
      <c r="GPU1" s="22"/>
      <c r="GPV1" s="22"/>
      <c r="GPW1" s="22"/>
      <c r="GPX1" s="22"/>
      <c r="GPY1" s="22"/>
      <c r="GPZ1" s="22"/>
      <c r="GQA1" s="22"/>
      <c r="GQB1" s="22"/>
      <c r="GQC1" s="22"/>
      <c r="GQD1" s="22"/>
      <c r="GQE1" s="22"/>
      <c r="GQF1" s="22"/>
      <c r="GQG1" s="22"/>
      <c r="GQH1" s="22"/>
      <c r="GQI1" s="22"/>
      <c r="GQJ1" s="22"/>
      <c r="GQK1" s="22"/>
      <c r="GQL1" s="22"/>
      <c r="GQM1" s="22"/>
      <c r="GQN1" s="22"/>
      <c r="GQO1" s="22"/>
      <c r="GQP1" s="22"/>
      <c r="GQQ1" s="22"/>
      <c r="GQR1" s="22"/>
      <c r="GQS1" s="22"/>
      <c r="GQT1" s="22"/>
      <c r="GQU1" s="22"/>
      <c r="GQV1" s="22"/>
      <c r="GQW1" s="22"/>
      <c r="GQX1" s="22"/>
      <c r="GQY1" s="22"/>
      <c r="GQZ1" s="22"/>
      <c r="GRA1" s="22"/>
      <c r="GRB1" s="22"/>
      <c r="GRC1" s="22"/>
      <c r="GRD1" s="22"/>
      <c r="GRE1" s="22"/>
      <c r="GRF1" s="22"/>
      <c r="GRG1" s="22"/>
      <c r="GRH1" s="22"/>
      <c r="GRI1" s="22"/>
      <c r="GRJ1" s="22"/>
      <c r="GRK1" s="22"/>
      <c r="GRL1" s="22"/>
      <c r="GRM1" s="22"/>
      <c r="GRN1" s="22"/>
      <c r="GRO1" s="22"/>
      <c r="GRP1" s="22"/>
      <c r="GRQ1" s="22"/>
      <c r="GRR1" s="22"/>
      <c r="GRS1" s="22"/>
      <c r="GRT1" s="22"/>
      <c r="GRU1" s="22"/>
      <c r="GRV1" s="22"/>
      <c r="GRW1" s="22"/>
      <c r="GRX1" s="22"/>
      <c r="GRY1" s="22"/>
      <c r="GRZ1" s="22"/>
      <c r="GSA1" s="22"/>
      <c r="GSB1" s="22"/>
      <c r="GSC1" s="22"/>
      <c r="GSD1" s="22"/>
      <c r="GSE1" s="22"/>
      <c r="GSF1" s="22"/>
      <c r="GSG1" s="22"/>
      <c r="GSH1" s="22"/>
      <c r="GSI1" s="22"/>
      <c r="GSJ1" s="22"/>
      <c r="GSK1" s="22"/>
      <c r="GSL1" s="22"/>
      <c r="GSM1" s="22"/>
      <c r="GSN1" s="22"/>
      <c r="GSO1" s="22"/>
      <c r="GSP1" s="22"/>
      <c r="GSQ1" s="22"/>
      <c r="GSR1" s="22"/>
      <c r="GSS1" s="22"/>
      <c r="GST1" s="22"/>
      <c r="GSU1" s="22"/>
      <c r="GSV1" s="22"/>
      <c r="GSW1" s="22"/>
      <c r="GSX1" s="22"/>
      <c r="GSY1" s="22"/>
      <c r="GSZ1" s="22"/>
      <c r="GTA1" s="22"/>
      <c r="GTB1" s="22"/>
      <c r="GTC1" s="22"/>
      <c r="GTD1" s="22"/>
      <c r="GTE1" s="22"/>
      <c r="GTF1" s="22"/>
      <c r="GTG1" s="22"/>
      <c r="GTH1" s="22"/>
      <c r="GTI1" s="22"/>
      <c r="GTJ1" s="22"/>
      <c r="GTK1" s="22"/>
      <c r="GTL1" s="22"/>
      <c r="GTM1" s="22"/>
      <c r="GTN1" s="22"/>
      <c r="GTO1" s="22"/>
      <c r="GTP1" s="22"/>
      <c r="GTQ1" s="22"/>
      <c r="GTR1" s="22"/>
      <c r="GTS1" s="22"/>
      <c r="GTT1" s="22"/>
      <c r="GTU1" s="22"/>
      <c r="GTV1" s="22"/>
      <c r="GTW1" s="22"/>
      <c r="GTX1" s="22"/>
      <c r="GTY1" s="22"/>
      <c r="GTZ1" s="22"/>
      <c r="GUA1" s="22"/>
      <c r="GUB1" s="22"/>
      <c r="GUC1" s="22"/>
      <c r="GUD1" s="22"/>
      <c r="GUE1" s="22"/>
      <c r="GUF1" s="22"/>
      <c r="GUG1" s="22"/>
      <c r="GUH1" s="22"/>
      <c r="GUI1" s="22"/>
      <c r="GUJ1" s="22"/>
      <c r="GUK1" s="22"/>
      <c r="GUL1" s="22"/>
      <c r="GUM1" s="22"/>
      <c r="GUN1" s="22"/>
      <c r="GUO1" s="22"/>
      <c r="GUP1" s="22"/>
      <c r="GUQ1" s="22"/>
      <c r="GUR1" s="22"/>
      <c r="GUS1" s="22"/>
      <c r="GUT1" s="22"/>
      <c r="GUU1" s="22"/>
      <c r="GUV1" s="22"/>
      <c r="GUW1" s="22"/>
      <c r="GUX1" s="22"/>
      <c r="GUY1" s="22"/>
      <c r="GUZ1" s="22"/>
      <c r="GVA1" s="22"/>
      <c r="GVB1" s="22"/>
      <c r="GVC1" s="22"/>
      <c r="GVD1" s="22"/>
      <c r="GVE1" s="22"/>
      <c r="GVF1" s="22"/>
      <c r="GVG1" s="22"/>
      <c r="GVH1" s="22"/>
      <c r="GVI1" s="22"/>
      <c r="GVJ1" s="22"/>
      <c r="GVK1" s="22"/>
      <c r="GVL1" s="22"/>
      <c r="GVM1" s="22"/>
      <c r="GVN1" s="22"/>
      <c r="GVO1" s="22"/>
      <c r="GVP1" s="22"/>
      <c r="GVQ1" s="22"/>
      <c r="GVR1" s="22"/>
      <c r="GVS1" s="22"/>
      <c r="GVT1" s="22"/>
      <c r="GVU1" s="22"/>
      <c r="GVV1" s="22"/>
      <c r="GVW1" s="22"/>
      <c r="GVX1" s="22"/>
      <c r="GVY1" s="22"/>
      <c r="GVZ1" s="22"/>
      <c r="GWA1" s="22"/>
      <c r="GWB1" s="22"/>
      <c r="GWC1" s="22"/>
      <c r="GWD1" s="22"/>
      <c r="GWE1" s="22"/>
      <c r="GWF1" s="22"/>
      <c r="GWG1" s="22"/>
      <c r="GWH1" s="22"/>
      <c r="GWI1" s="22"/>
      <c r="GWJ1" s="22"/>
      <c r="GWK1" s="22"/>
      <c r="GWL1" s="22"/>
      <c r="GWM1" s="22"/>
      <c r="GWN1" s="22"/>
      <c r="GWO1" s="22"/>
      <c r="GWP1" s="22"/>
      <c r="GWQ1" s="22"/>
      <c r="GWR1" s="22"/>
      <c r="GWS1" s="22"/>
      <c r="GWT1" s="22"/>
      <c r="GWU1" s="22"/>
      <c r="GWV1" s="22"/>
      <c r="GWW1" s="22"/>
      <c r="GWX1" s="22"/>
      <c r="GWY1" s="22"/>
      <c r="GWZ1" s="22"/>
      <c r="GXA1" s="22"/>
      <c r="GXB1" s="22"/>
      <c r="GXC1" s="22"/>
      <c r="GXD1" s="22"/>
      <c r="GXE1" s="22"/>
      <c r="GXF1" s="22"/>
      <c r="GXG1" s="22"/>
      <c r="GXH1" s="22"/>
      <c r="GXI1" s="22"/>
      <c r="GXJ1" s="22"/>
      <c r="GXK1" s="22"/>
      <c r="GXL1" s="22"/>
      <c r="GXM1" s="22"/>
      <c r="GXN1" s="22"/>
      <c r="GXO1" s="22"/>
      <c r="GXP1" s="22"/>
      <c r="GXQ1" s="22"/>
      <c r="GXR1" s="22"/>
      <c r="GXS1" s="22"/>
      <c r="GXT1" s="22"/>
      <c r="GXU1" s="22"/>
      <c r="GXV1" s="22"/>
      <c r="GXW1" s="22"/>
      <c r="GXX1" s="22"/>
      <c r="GXY1" s="22"/>
      <c r="GXZ1" s="22"/>
      <c r="GYA1" s="22"/>
      <c r="GYB1" s="22"/>
      <c r="GYC1" s="22"/>
      <c r="GYD1" s="22"/>
      <c r="GYE1" s="22"/>
      <c r="GYF1" s="22"/>
      <c r="GYG1" s="22"/>
      <c r="GYH1" s="22"/>
      <c r="GYI1" s="22"/>
      <c r="GYJ1" s="22"/>
      <c r="GYK1" s="22"/>
      <c r="GYL1" s="22"/>
      <c r="GYM1" s="22"/>
      <c r="GYN1" s="22"/>
      <c r="GYO1" s="22"/>
      <c r="GYP1" s="22"/>
      <c r="GYQ1" s="22"/>
      <c r="GYR1" s="22"/>
      <c r="GYS1" s="22"/>
      <c r="GYT1" s="22"/>
      <c r="GYU1" s="22"/>
      <c r="GYV1" s="22"/>
      <c r="GYW1" s="22"/>
      <c r="GYX1" s="22"/>
      <c r="GYY1" s="22"/>
      <c r="GYZ1" s="22"/>
      <c r="GZA1" s="22"/>
      <c r="GZB1" s="22"/>
      <c r="GZC1" s="22"/>
      <c r="GZD1" s="22"/>
      <c r="GZE1" s="22"/>
      <c r="GZF1" s="22"/>
      <c r="GZG1" s="22"/>
      <c r="GZH1" s="22"/>
      <c r="GZI1" s="22"/>
      <c r="GZJ1" s="22"/>
      <c r="GZK1" s="22"/>
      <c r="GZL1" s="22"/>
      <c r="GZM1" s="22"/>
      <c r="GZN1" s="22"/>
      <c r="GZO1" s="22"/>
      <c r="GZP1" s="22"/>
      <c r="GZQ1" s="22"/>
      <c r="GZR1" s="22"/>
      <c r="GZS1" s="22"/>
      <c r="GZT1" s="22"/>
      <c r="GZU1" s="22"/>
      <c r="GZV1" s="22"/>
      <c r="GZW1" s="22"/>
      <c r="GZX1" s="22"/>
      <c r="GZY1" s="22"/>
      <c r="GZZ1" s="22"/>
      <c r="HAA1" s="22"/>
      <c r="HAB1" s="22"/>
      <c r="HAC1" s="22"/>
      <c r="HAD1" s="22"/>
      <c r="HAE1" s="22"/>
      <c r="HAF1" s="22"/>
      <c r="HAG1" s="22"/>
      <c r="HAH1" s="22"/>
      <c r="HAI1" s="22"/>
      <c r="HAJ1" s="22"/>
      <c r="HAK1" s="22"/>
      <c r="HAL1" s="22"/>
      <c r="HAM1" s="22"/>
      <c r="HAN1" s="22"/>
      <c r="HAO1" s="22"/>
      <c r="HAP1" s="22"/>
      <c r="HAQ1" s="22"/>
      <c r="HAR1" s="22"/>
      <c r="HAS1" s="22"/>
      <c r="HAT1" s="22"/>
      <c r="HAU1" s="22"/>
      <c r="HAV1" s="22"/>
      <c r="HAW1" s="22"/>
      <c r="HAX1" s="22"/>
      <c r="HAY1" s="22"/>
      <c r="HAZ1" s="22"/>
      <c r="HBA1" s="22"/>
      <c r="HBB1" s="22"/>
      <c r="HBC1" s="22"/>
      <c r="HBD1" s="22"/>
      <c r="HBE1" s="22"/>
      <c r="HBF1" s="22"/>
      <c r="HBG1" s="22"/>
      <c r="HBH1" s="22"/>
      <c r="HBI1" s="22"/>
      <c r="HBJ1" s="22"/>
      <c r="HBK1" s="22"/>
      <c r="HBL1" s="22"/>
      <c r="HBM1" s="22"/>
      <c r="HBN1" s="22"/>
      <c r="HBO1" s="22"/>
      <c r="HBP1" s="22"/>
      <c r="HBQ1" s="22"/>
      <c r="HBR1" s="22"/>
      <c r="HBS1" s="22"/>
      <c r="HBT1" s="22"/>
      <c r="HBU1" s="22"/>
      <c r="HBV1" s="22"/>
      <c r="HBW1" s="22"/>
      <c r="HBX1" s="22"/>
      <c r="HBY1" s="22"/>
      <c r="HBZ1" s="22"/>
      <c r="HCA1" s="22"/>
      <c r="HCB1" s="22"/>
      <c r="HCC1" s="22"/>
      <c r="HCD1" s="22"/>
      <c r="HCE1" s="22"/>
      <c r="HCF1" s="22"/>
      <c r="HCG1" s="22"/>
      <c r="HCH1" s="22"/>
      <c r="HCI1" s="22"/>
      <c r="HCJ1" s="22"/>
      <c r="HCK1" s="22"/>
      <c r="HCL1" s="22"/>
      <c r="HCM1" s="22"/>
      <c r="HCN1" s="22"/>
      <c r="HCO1" s="22"/>
      <c r="HCP1" s="22"/>
      <c r="HCQ1" s="22"/>
      <c r="HCR1" s="22"/>
      <c r="HCS1" s="22"/>
      <c r="HCT1" s="22"/>
      <c r="HCU1" s="22"/>
      <c r="HCV1" s="22"/>
      <c r="HCW1" s="22"/>
      <c r="HCX1" s="22"/>
      <c r="HCY1" s="22"/>
      <c r="HCZ1" s="22"/>
      <c r="HDA1" s="22"/>
      <c r="HDB1" s="22"/>
      <c r="HDC1" s="22"/>
      <c r="HDD1" s="22"/>
      <c r="HDE1" s="22"/>
      <c r="HDF1" s="22"/>
      <c r="HDG1" s="22"/>
      <c r="HDH1" s="22"/>
      <c r="HDI1" s="22"/>
      <c r="HDJ1" s="22"/>
      <c r="HDK1" s="22"/>
      <c r="HDL1" s="22"/>
      <c r="HDM1" s="22"/>
      <c r="HDN1" s="22"/>
      <c r="HDO1" s="22"/>
      <c r="HDP1" s="22"/>
      <c r="HDQ1" s="22"/>
      <c r="HDR1" s="22"/>
      <c r="HDS1" s="22"/>
      <c r="HDT1" s="22"/>
      <c r="HDU1" s="22"/>
      <c r="HDV1" s="22"/>
      <c r="HDW1" s="22"/>
      <c r="HDX1" s="22"/>
      <c r="HDY1" s="22"/>
      <c r="HDZ1" s="22"/>
      <c r="HEA1" s="22"/>
      <c r="HEB1" s="22"/>
      <c r="HEC1" s="22"/>
      <c r="HED1" s="22"/>
      <c r="HEE1" s="22"/>
      <c r="HEF1" s="22"/>
      <c r="HEG1" s="22"/>
      <c r="HEH1" s="22"/>
      <c r="HEI1" s="22"/>
      <c r="HEJ1" s="22"/>
      <c r="HEK1" s="22"/>
      <c r="HEL1" s="22"/>
      <c r="HEM1" s="22"/>
      <c r="HEN1" s="22"/>
      <c r="HEO1" s="22"/>
      <c r="HEP1" s="22"/>
      <c r="HEQ1" s="22"/>
      <c r="HER1" s="22"/>
      <c r="HES1" s="22"/>
      <c r="HET1" s="22"/>
      <c r="HEU1" s="22"/>
      <c r="HEV1" s="22"/>
      <c r="HEW1" s="22"/>
      <c r="HEX1" s="22"/>
      <c r="HEY1" s="22"/>
      <c r="HEZ1" s="22"/>
      <c r="HFA1" s="22"/>
      <c r="HFB1" s="22"/>
      <c r="HFC1" s="22"/>
      <c r="HFD1" s="22"/>
      <c r="HFE1" s="22"/>
      <c r="HFF1" s="22"/>
      <c r="HFG1" s="22"/>
      <c r="HFH1" s="22"/>
      <c r="HFI1" s="22"/>
      <c r="HFJ1" s="22"/>
      <c r="HFK1" s="22"/>
      <c r="HFL1" s="22"/>
      <c r="HFM1" s="22"/>
      <c r="HFN1" s="22"/>
      <c r="HFO1" s="22"/>
      <c r="HFP1" s="22"/>
      <c r="HFQ1" s="22"/>
      <c r="HFR1" s="22"/>
      <c r="HFS1" s="22"/>
      <c r="HFT1" s="22"/>
      <c r="HFU1" s="22"/>
      <c r="HFV1" s="22"/>
      <c r="HFW1" s="22"/>
      <c r="HFX1" s="22"/>
      <c r="HFY1" s="22"/>
      <c r="HFZ1" s="22"/>
      <c r="HGA1" s="22"/>
      <c r="HGB1" s="22"/>
      <c r="HGC1" s="22"/>
      <c r="HGD1" s="22"/>
      <c r="HGE1" s="22"/>
      <c r="HGF1" s="22"/>
      <c r="HGG1" s="22"/>
      <c r="HGH1" s="22"/>
      <c r="HGI1" s="22"/>
      <c r="HGJ1" s="22"/>
      <c r="HGK1" s="22"/>
      <c r="HGL1" s="22"/>
      <c r="HGM1" s="22"/>
      <c r="HGN1" s="22"/>
      <c r="HGO1" s="22"/>
      <c r="HGP1" s="22"/>
      <c r="HGQ1" s="22"/>
      <c r="HGR1" s="22"/>
      <c r="HGS1" s="22"/>
      <c r="HGT1" s="22"/>
      <c r="HGU1" s="22"/>
      <c r="HGV1" s="22"/>
      <c r="HGW1" s="22"/>
      <c r="HGX1" s="22"/>
      <c r="HGY1" s="22"/>
      <c r="HGZ1" s="22"/>
      <c r="HHA1" s="22"/>
      <c r="HHB1" s="22"/>
      <c r="HHC1" s="22"/>
      <c r="HHD1" s="22"/>
      <c r="HHE1" s="22"/>
      <c r="HHF1" s="22"/>
      <c r="HHG1" s="22"/>
      <c r="HHH1" s="22"/>
      <c r="HHI1" s="22"/>
      <c r="HHJ1" s="22"/>
      <c r="HHK1" s="22"/>
      <c r="HHL1" s="22"/>
      <c r="HHM1" s="22"/>
      <c r="HHN1" s="22"/>
      <c r="HHO1" s="22"/>
      <c r="HHP1" s="22"/>
      <c r="HHQ1" s="22"/>
      <c r="HHR1" s="22"/>
      <c r="HHS1" s="22"/>
      <c r="HHT1" s="22"/>
      <c r="HHU1" s="22"/>
      <c r="HHV1" s="22"/>
      <c r="HHW1" s="22"/>
      <c r="HHX1" s="22"/>
      <c r="HHY1" s="22"/>
      <c r="HHZ1" s="22"/>
      <c r="HIA1" s="22"/>
      <c r="HIB1" s="22"/>
      <c r="HIC1" s="22"/>
      <c r="HID1" s="22"/>
      <c r="HIE1" s="22"/>
      <c r="HIF1" s="22"/>
      <c r="HIG1" s="22"/>
      <c r="HIH1" s="22"/>
      <c r="HII1" s="22"/>
      <c r="HIJ1" s="22"/>
      <c r="HIK1" s="22"/>
      <c r="HIL1" s="22"/>
      <c r="HIM1" s="22"/>
      <c r="HIN1" s="22"/>
      <c r="HIO1" s="22"/>
      <c r="HIP1" s="22"/>
      <c r="HIQ1" s="22"/>
      <c r="HIR1" s="22"/>
      <c r="HIS1" s="22"/>
      <c r="HIT1" s="22"/>
      <c r="HIU1" s="22"/>
      <c r="HIV1" s="22"/>
      <c r="HIW1" s="22"/>
      <c r="HIX1" s="22"/>
      <c r="HIY1" s="22"/>
      <c r="HIZ1" s="22"/>
      <c r="HJA1" s="22"/>
      <c r="HJB1" s="22"/>
      <c r="HJC1" s="22"/>
      <c r="HJD1" s="22"/>
      <c r="HJE1" s="22"/>
      <c r="HJF1" s="22"/>
      <c r="HJG1" s="22"/>
      <c r="HJH1" s="22"/>
      <c r="HJI1" s="22"/>
      <c r="HJJ1" s="22"/>
      <c r="HJK1" s="22"/>
      <c r="HJL1" s="22"/>
      <c r="HJM1" s="22"/>
      <c r="HJN1" s="22"/>
      <c r="HJO1" s="22"/>
      <c r="HJP1" s="22"/>
      <c r="HJQ1" s="22"/>
      <c r="HJR1" s="22"/>
      <c r="HJS1" s="22"/>
      <c r="HJT1" s="22"/>
      <c r="HJU1" s="22"/>
      <c r="HJV1" s="22"/>
      <c r="HJW1" s="22"/>
      <c r="HJX1" s="22"/>
      <c r="HJY1" s="22"/>
      <c r="HJZ1" s="22"/>
      <c r="HKA1" s="22"/>
      <c r="HKB1" s="22"/>
      <c r="HKC1" s="22"/>
      <c r="HKD1" s="22"/>
      <c r="HKE1" s="22"/>
      <c r="HKF1" s="22"/>
      <c r="HKG1" s="22"/>
      <c r="HKH1" s="22"/>
      <c r="HKI1" s="22"/>
      <c r="HKJ1" s="22"/>
      <c r="HKK1" s="22"/>
      <c r="HKL1" s="22"/>
      <c r="HKM1" s="22"/>
      <c r="HKN1" s="22"/>
      <c r="HKO1" s="22"/>
      <c r="HKP1" s="22"/>
      <c r="HKQ1" s="22"/>
      <c r="HKR1" s="22"/>
      <c r="HKS1" s="22"/>
      <c r="HKT1" s="22"/>
      <c r="HKU1" s="22"/>
      <c r="HKV1" s="22"/>
      <c r="HKW1" s="22"/>
      <c r="HKX1" s="22"/>
      <c r="HKY1" s="22"/>
      <c r="HKZ1" s="22"/>
      <c r="HLA1" s="22"/>
      <c r="HLB1" s="22"/>
      <c r="HLC1" s="22"/>
      <c r="HLD1" s="22"/>
      <c r="HLE1" s="22"/>
      <c r="HLF1" s="22"/>
      <c r="HLG1" s="22"/>
      <c r="HLH1" s="22"/>
      <c r="HLI1" s="22"/>
      <c r="HLJ1" s="22"/>
      <c r="HLK1" s="22"/>
      <c r="HLL1" s="22"/>
      <c r="HLM1" s="22"/>
      <c r="HLN1" s="22"/>
      <c r="HLO1" s="22"/>
      <c r="HLP1" s="22"/>
      <c r="HLQ1" s="22"/>
      <c r="HLR1" s="22"/>
      <c r="HLS1" s="22"/>
      <c r="HLT1" s="22"/>
      <c r="HLU1" s="22"/>
      <c r="HLV1" s="22"/>
      <c r="HLW1" s="22"/>
      <c r="HLX1" s="22"/>
      <c r="HLY1" s="22"/>
      <c r="HLZ1" s="22"/>
      <c r="HMA1" s="22"/>
      <c r="HMB1" s="22"/>
      <c r="HMC1" s="22"/>
      <c r="HMD1" s="22"/>
      <c r="HME1" s="22"/>
      <c r="HMF1" s="22"/>
      <c r="HMG1" s="22"/>
      <c r="HMH1" s="22"/>
      <c r="HMI1" s="22"/>
      <c r="HMJ1" s="22"/>
      <c r="HMK1" s="22"/>
      <c r="HML1" s="22"/>
      <c r="HMM1" s="22"/>
      <c r="HMN1" s="22"/>
      <c r="HMO1" s="22"/>
      <c r="HMP1" s="22"/>
      <c r="HMQ1" s="22"/>
      <c r="HMR1" s="22"/>
      <c r="HMS1" s="22"/>
      <c r="HMT1" s="22"/>
      <c r="HMU1" s="22"/>
      <c r="HMV1" s="22"/>
      <c r="HMW1" s="22"/>
      <c r="HMX1" s="22"/>
      <c r="HMY1" s="22"/>
      <c r="HMZ1" s="22"/>
      <c r="HNA1" s="22"/>
      <c r="HNB1" s="22"/>
      <c r="HNC1" s="22"/>
      <c r="HND1" s="22"/>
      <c r="HNE1" s="22"/>
      <c r="HNF1" s="22"/>
      <c r="HNG1" s="22"/>
      <c r="HNH1" s="22"/>
      <c r="HNI1" s="22"/>
      <c r="HNJ1" s="22"/>
      <c r="HNK1" s="22"/>
      <c r="HNL1" s="22"/>
      <c r="HNM1" s="22"/>
      <c r="HNN1" s="22"/>
      <c r="HNO1" s="22"/>
      <c r="HNP1" s="22"/>
      <c r="HNQ1" s="22"/>
      <c r="HNR1" s="22"/>
      <c r="HNS1" s="22"/>
      <c r="HNT1" s="22"/>
      <c r="HNU1" s="22"/>
      <c r="HNV1" s="22"/>
      <c r="HNW1" s="22"/>
      <c r="HNX1" s="22"/>
      <c r="HNY1" s="22"/>
      <c r="HNZ1" s="22"/>
      <c r="HOA1" s="22"/>
      <c r="HOB1" s="22"/>
      <c r="HOC1" s="22"/>
      <c r="HOD1" s="22"/>
      <c r="HOE1" s="22"/>
      <c r="HOF1" s="22"/>
      <c r="HOG1" s="22"/>
      <c r="HOH1" s="22"/>
      <c r="HOI1" s="22"/>
      <c r="HOJ1" s="22"/>
      <c r="HOK1" s="22"/>
      <c r="HOL1" s="22"/>
      <c r="HOM1" s="22"/>
      <c r="HON1" s="22"/>
      <c r="HOO1" s="22"/>
      <c r="HOP1" s="22"/>
      <c r="HOQ1" s="22"/>
      <c r="HOR1" s="22"/>
      <c r="HOS1" s="22"/>
      <c r="HOT1" s="22"/>
      <c r="HOU1" s="22"/>
      <c r="HOV1" s="22"/>
      <c r="HOW1" s="22"/>
      <c r="HOX1" s="22"/>
      <c r="HOY1" s="22"/>
      <c r="HOZ1" s="22"/>
      <c r="HPA1" s="22"/>
      <c r="HPB1" s="22"/>
      <c r="HPC1" s="22"/>
      <c r="HPD1" s="22"/>
      <c r="HPE1" s="22"/>
      <c r="HPF1" s="22"/>
      <c r="HPG1" s="22"/>
      <c r="HPH1" s="22"/>
      <c r="HPI1" s="22"/>
      <c r="HPJ1" s="22"/>
      <c r="HPK1" s="22"/>
      <c r="HPL1" s="22"/>
      <c r="HPM1" s="22"/>
      <c r="HPN1" s="22"/>
      <c r="HPO1" s="22"/>
      <c r="HPP1" s="22"/>
      <c r="HPQ1" s="22"/>
      <c r="HPR1" s="22"/>
      <c r="HPS1" s="22"/>
      <c r="HPT1" s="22"/>
      <c r="HPU1" s="22"/>
      <c r="HPV1" s="22"/>
      <c r="HPW1" s="22"/>
      <c r="HPX1" s="22"/>
      <c r="HPY1" s="22"/>
      <c r="HPZ1" s="22"/>
      <c r="HQA1" s="22"/>
      <c r="HQB1" s="22"/>
      <c r="HQC1" s="22"/>
      <c r="HQD1" s="22"/>
      <c r="HQE1" s="22"/>
      <c r="HQF1" s="22"/>
      <c r="HQG1" s="22"/>
      <c r="HQH1" s="22"/>
      <c r="HQI1" s="22"/>
      <c r="HQJ1" s="22"/>
      <c r="HQK1" s="22"/>
      <c r="HQL1" s="22"/>
      <c r="HQM1" s="22"/>
      <c r="HQN1" s="22"/>
      <c r="HQO1" s="22"/>
      <c r="HQP1" s="22"/>
      <c r="HQQ1" s="22"/>
      <c r="HQR1" s="22"/>
      <c r="HQS1" s="22"/>
      <c r="HQT1" s="22"/>
      <c r="HQU1" s="22"/>
      <c r="HQV1" s="22"/>
      <c r="HQW1" s="22"/>
      <c r="HQX1" s="22"/>
      <c r="HQY1" s="22"/>
      <c r="HQZ1" s="22"/>
      <c r="HRA1" s="22"/>
      <c r="HRB1" s="22"/>
      <c r="HRC1" s="22"/>
      <c r="HRD1" s="22"/>
      <c r="HRE1" s="22"/>
      <c r="HRF1" s="22"/>
      <c r="HRG1" s="22"/>
      <c r="HRH1" s="22"/>
      <c r="HRI1" s="22"/>
      <c r="HRJ1" s="22"/>
      <c r="HRK1" s="22"/>
      <c r="HRL1" s="22"/>
      <c r="HRM1" s="22"/>
      <c r="HRN1" s="22"/>
      <c r="HRO1" s="22"/>
      <c r="HRP1" s="22"/>
      <c r="HRQ1" s="22"/>
      <c r="HRR1" s="22"/>
      <c r="HRS1" s="22"/>
      <c r="HRT1" s="22"/>
      <c r="HRU1" s="22"/>
      <c r="HRV1" s="22"/>
      <c r="HRW1" s="22"/>
      <c r="HRX1" s="22"/>
      <c r="HRY1" s="22"/>
      <c r="HRZ1" s="22"/>
      <c r="HSA1" s="22"/>
      <c r="HSB1" s="22"/>
      <c r="HSC1" s="22"/>
      <c r="HSD1" s="22"/>
      <c r="HSE1" s="22"/>
      <c r="HSF1" s="22"/>
      <c r="HSG1" s="22"/>
      <c r="HSH1" s="22"/>
      <c r="HSI1" s="22"/>
      <c r="HSJ1" s="22"/>
      <c r="HSK1" s="22"/>
      <c r="HSL1" s="22"/>
      <c r="HSM1" s="22"/>
      <c r="HSN1" s="22"/>
      <c r="HSO1" s="22"/>
      <c r="HSP1" s="22"/>
      <c r="HSQ1" s="22"/>
      <c r="HSR1" s="22"/>
      <c r="HSS1" s="22"/>
      <c r="HST1" s="22"/>
      <c r="HSU1" s="22"/>
      <c r="HSV1" s="22"/>
      <c r="HSW1" s="22"/>
      <c r="HSX1" s="22"/>
      <c r="HSY1" s="22"/>
      <c r="HSZ1" s="22"/>
      <c r="HTA1" s="22"/>
      <c r="HTB1" s="22"/>
      <c r="HTC1" s="22"/>
      <c r="HTD1" s="22"/>
      <c r="HTE1" s="22"/>
      <c r="HTF1" s="22"/>
      <c r="HTG1" s="22"/>
      <c r="HTH1" s="22"/>
      <c r="HTI1" s="22"/>
      <c r="HTJ1" s="22"/>
      <c r="HTK1" s="22"/>
      <c r="HTL1" s="22"/>
      <c r="HTM1" s="22"/>
      <c r="HTN1" s="22"/>
      <c r="HTO1" s="22"/>
      <c r="HTP1" s="22"/>
      <c r="HTQ1" s="22"/>
      <c r="HTR1" s="22"/>
      <c r="HTS1" s="22"/>
      <c r="HTT1" s="22"/>
      <c r="HTU1" s="22"/>
      <c r="HTV1" s="22"/>
      <c r="HTW1" s="22"/>
      <c r="HTX1" s="22"/>
      <c r="HTY1" s="22"/>
      <c r="HTZ1" s="22"/>
      <c r="HUA1" s="22"/>
      <c r="HUB1" s="22"/>
      <c r="HUC1" s="22"/>
      <c r="HUD1" s="22"/>
      <c r="HUE1" s="22"/>
      <c r="HUF1" s="22"/>
      <c r="HUG1" s="22"/>
      <c r="HUH1" s="22"/>
      <c r="HUI1" s="22"/>
      <c r="HUJ1" s="22"/>
      <c r="HUK1" s="22"/>
      <c r="HUL1" s="22"/>
      <c r="HUM1" s="22"/>
      <c r="HUN1" s="22"/>
      <c r="HUO1" s="22"/>
      <c r="HUP1" s="22"/>
      <c r="HUQ1" s="22"/>
      <c r="HUR1" s="22"/>
      <c r="HUS1" s="22"/>
      <c r="HUT1" s="22"/>
      <c r="HUU1" s="22"/>
      <c r="HUV1" s="22"/>
      <c r="HUW1" s="22"/>
      <c r="HUX1" s="22"/>
      <c r="HUY1" s="22"/>
      <c r="HUZ1" s="22"/>
      <c r="HVA1" s="22"/>
      <c r="HVB1" s="22"/>
      <c r="HVC1" s="22"/>
      <c r="HVD1" s="22"/>
      <c r="HVE1" s="22"/>
      <c r="HVF1" s="22"/>
      <c r="HVG1" s="22"/>
      <c r="HVH1" s="22"/>
      <c r="HVI1" s="22"/>
      <c r="HVJ1" s="22"/>
      <c r="HVK1" s="22"/>
      <c r="HVL1" s="22"/>
      <c r="HVM1" s="22"/>
      <c r="HVN1" s="22"/>
      <c r="HVO1" s="22"/>
      <c r="HVP1" s="22"/>
      <c r="HVQ1" s="22"/>
      <c r="HVR1" s="22"/>
      <c r="HVS1" s="22"/>
      <c r="HVT1" s="22"/>
      <c r="HVU1" s="22"/>
      <c r="HVV1" s="22"/>
      <c r="HVW1" s="22"/>
      <c r="HVX1" s="22"/>
      <c r="HVY1" s="22"/>
      <c r="HVZ1" s="22"/>
      <c r="HWA1" s="22"/>
      <c r="HWB1" s="22"/>
      <c r="HWC1" s="22"/>
      <c r="HWD1" s="22"/>
      <c r="HWE1" s="22"/>
      <c r="HWF1" s="22"/>
      <c r="HWG1" s="22"/>
      <c r="HWH1" s="22"/>
      <c r="HWI1" s="22"/>
      <c r="HWJ1" s="22"/>
      <c r="HWK1" s="22"/>
      <c r="HWL1" s="22"/>
      <c r="HWM1" s="22"/>
      <c r="HWN1" s="22"/>
      <c r="HWO1" s="22"/>
      <c r="HWP1" s="22"/>
      <c r="HWQ1" s="22"/>
      <c r="HWR1" s="22"/>
      <c r="HWS1" s="22"/>
      <c r="HWT1" s="22"/>
      <c r="HWU1" s="22"/>
      <c r="HWV1" s="22"/>
      <c r="HWW1" s="22"/>
      <c r="HWX1" s="22"/>
      <c r="HWY1" s="22"/>
      <c r="HWZ1" s="22"/>
      <c r="HXA1" s="22"/>
      <c r="HXB1" s="22"/>
      <c r="HXC1" s="22"/>
      <c r="HXD1" s="22"/>
      <c r="HXE1" s="22"/>
      <c r="HXF1" s="22"/>
      <c r="HXG1" s="22"/>
      <c r="HXH1" s="22"/>
      <c r="HXI1" s="22"/>
      <c r="HXJ1" s="22"/>
      <c r="HXK1" s="22"/>
      <c r="HXL1" s="22"/>
      <c r="HXM1" s="22"/>
      <c r="HXN1" s="22"/>
      <c r="HXO1" s="22"/>
      <c r="HXP1" s="22"/>
      <c r="HXQ1" s="22"/>
      <c r="HXR1" s="22"/>
      <c r="HXS1" s="22"/>
      <c r="HXT1" s="22"/>
      <c r="HXU1" s="22"/>
      <c r="HXV1" s="22"/>
      <c r="HXW1" s="22"/>
      <c r="HXX1" s="22"/>
      <c r="HXY1" s="22"/>
      <c r="HXZ1" s="22"/>
      <c r="HYA1" s="22"/>
      <c r="HYB1" s="22"/>
      <c r="HYC1" s="22"/>
      <c r="HYD1" s="22"/>
      <c r="HYE1" s="22"/>
      <c r="HYF1" s="22"/>
      <c r="HYG1" s="22"/>
      <c r="HYH1" s="22"/>
      <c r="HYI1" s="22"/>
      <c r="HYJ1" s="22"/>
      <c r="HYK1" s="22"/>
      <c r="HYL1" s="22"/>
      <c r="HYM1" s="22"/>
      <c r="HYN1" s="22"/>
      <c r="HYO1" s="22"/>
      <c r="HYP1" s="22"/>
      <c r="HYQ1" s="22"/>
      <c r="HYR1" s="22"/>
      <c r="HYS1" s="22"/>
      <c r="HYT1" s="22"/>
      <c r="HYU1" s="22"/>
      <c r="HYV1" s="22"/>
      <c r="HYW1" s="22"/>
      <c r="HYX1" s="22"/>
      <c r="HYY1" s="22"/>
      <c r="HYZ1" s="22"/>
      <c r="HZA1" s="22"/>
      <c r="HZB1" s="22"/>
      <c r="HZC1" s="22"/>
      <c r="HZD1" s="22"/>
      <c r="HZE1" s="22"/>
      <c r="HZF1" s="22"/>
      <c r="HZG1" s="22"/>
      <c r="HZH1" s="22"/>
      <c r="HZI1" s="22"/>
      <c r="HZJ1" s="22"/>
      <c r="HZK1" s="22"/>
      <c r="HZL1" s="22"/>
      <c r="HZM1" s="22"/>
      <c r="HZN1" s="22"/>
      <c r="HZO1" s="22"/>
      <c r="HZP1" s="22"/>
      <c r="HZQ1" s="22"/>
      <c r="HZR1" s="22"/>
      <c r="HZS1" s="22"/>
      <c r="HZT1" s="22"/>
      <c r="HZU1" s="22"/>
      <c r="HZV1" s="22"/>
      <c r="HZW1" s="22"/>
      <c r="HZX1" s="22"/>
      <c r="HZY1" s="22"/>
      <c r="HZZ1" s="22"/>
      <c r="IAA1" s="22"/>
      <c r="IAB1" s="22"/>
      <c r="IAC1" s="22"/>
      <c r="IAD1" s="22"/>
      <c r="IAE1" s="22"/>
      <c r="IAF1" s="22"/>
      <c r="IAG1" s="22"/>
      <c r="IAH1" s="22"/>
      <c r="IAI1" s="22"/>
      <c r="IAJ1" s="22"/>
      <c r="IAK1" s="22"/>
      <c r="IAL1" s="22"/>
      <c r="IAM1" s="22"/>
      <c r="IAN1" s="22"/>
      <c r="IAO1" s="22"/>
      <c r="IAP1" s="22"/>
      <c r="IAQ1" s="22"/>
      <c r="IAR1" s="22"/>
      <c r="IAS1" s="22"/>
      <c r="IAT1" s="22"/>
      <c r="IAU1" s="22"/>
      <c r="IAV1" s="22"/>
      <c r="IAW1" s="22"/>
      <c r="IAX1" s="22"/>
      <c r="IAY1" s="22"/>
      <c r="IAZ1" s="22"/>
      <c r="IBA1" s="22"/>
      <c r="IBB1" s="22"/>
      <c r="IBC1" s="22"/>
      <c r="IBD1" s="22"/>
      <c r="IBE1" s="22"/>
      <c r="IBF1" s="22"/>
      <c r="IBG1" s="22"/>
      <c r="IBH1" s="22"/>
      <c r="IBI1" s="22"/>
      <c r="IBJ1" s="22"/>
      <c r="IBK1" s="22"/>
      <c r="IBL1" s="22"/>
      <c r="IBM1" s="22"/>
      <c r="IBN1" s="22"/>
      <c r="IBO1" s="22"/>
      <c r="IBP1" s="22"/>
      <c r="IBQ1" s="22"/>
      <c r="IBR1" s="22"/>
      <c r="IBS1" s="22"/>
      <c r="IBT1" s="22"/>
      <c r="IBU1" s="22"/>
      <c r="IBV1" s="22"/>
      <c r="IBW1" s="22"/>
      <c r="IBX1" s="22"/>
      <c r="IBY1" s="22"/>
      <c r="IBZ1" s="22"/>
      <c r="ICA1" s="22"/>
      <c r="ICB1" s="22"/>
      <c r="ICC1" s="22"/>
      <c r="ICD1" s="22"/>
      <c r="ICE1" s="22"/>
      <c r="ICF1" s="22"/>
      <c r="ICG1" s="22"/>
      <c r="ICH1" s="22"/>
      <c r="ICI1" s="22"/>
      <c r="ICJ1" s="22"/>
      <c r="ICK1" s="22"/>
      <c r="ICL1" s="22"/>
      <c r="ICM1" s="22"/>
      <c r="ICN1" s="22"/>
      <c r="ICO1" s="22"/>
      <c r="ICP1" s="22"/>
      <c r="ICQ1" s="22"/>
      <c r="ICR1" s="22"/>
      <c r="ICS1" s="22"/>
      <c r="ICT1" s="22"/>
      <c r="ICU1" s="22"/>
      <c r="ICV1" s="22"/>
      <c r="ICW1" s="22"/>
      <c r="ICX1" s="22"/>
      <c r="ICY1" s="22"/>
      <c r="ICZ1" s="22"/>
      <c r="IDA1" s="22"/>
      <c r="IDB1" s="22"/>
      <c r="IDC1" s="22"/>
      <c r="IDD1" s="22"/>
      <c r="IDE1" s="22"/>
      <c r="IDF1" s="22"/>
      <c r="IDG1" s="22"/>
      <c r="IDH1" s="22"/>
      <c r="IDI1" s="22"/>
      <c r="IDJ1" s="22"/>
      <c r="IDK1" s="22"/>
      <c r="IDL1" s="22"/>
      <c r="IDM1" s="22"/>
      <c r="IDN1" s="22"/>
      <c r="IDO1" s="22"/>
      <c r="IDP1" s="22"/>
      <c r="IDQ1" s="22"/>
      <c r="IDR1" s="22"/>
      <c r="IDS1" s="22"/>
      <c r="IDT1" s="22"/>
      <c r="IDU1" s="22"/>
      <c r="IDV1" s="22"/>
      <c r="IDW1" s="22"/>
      <c r="IDX1" s="22"/>
      <c r="IDY1" s="22"/>
      <c r="IDZ1" s="22"/>
      <c r="IEA1" s="22"/>
      <c r="IEB1" s="22"/>
      <c r="IEC1" s="22"/>
      <c r="IED1" s="22"/>
      <c r="IEE1" s="22"/>
      <c r="IEF1" s="22"/>
      <c r="IEG1" s="22"/>
      <c r="IEH1" s="22"/>
      <c r="IEI1" s="22"/>
      <c r="IEJ1" s="22"/>
      <c r="IEK1" s="22"/>
      <c r="IEL1" s="22"/>
      <c r="IEM1" s="22"/>
      <c r="IEN1" s="22"/>
      <c r="IEO1" s="22"/>
      <c r="IEP1" s="22"/>
      <c r="IEQ1" s="22"/>
      <c r="IER1" s="22"/>
      <c r="IES1" s="22"/>
      <c r="IET1" s="22"/>
      <c r="IEU1" s="22"/>
      <c r="IEV1" s="22"/>
      <c r="IEW1" s="22"/>
      <c r="IEX1" s="22"/>
      <c r="IEY1" s="22"/>
      <c r="IEZ1" s="22"/>
      <c r="IFA1" s="22"/>
      <c r="IFB1" s="22"/>
      <c r="IFC1" s="22"/>
      <c r="IFD1" s="22"/>
      <c r="IFE1" s="22"/>
      <c r="IFF1" s="22"/>
      <c r="IFG1" s="22"/>
      <c r="IFH1" s="22"/>
      <c r="IFI1" s="22"/>
      <c r="IFJ1" s="22"/>
      <c r="IFK1" s="22"/>
      <c r="IFL1" s="22"/>
      <c r="IFM1" s="22"/>
      <c r="IFN1" s="22"/>
      <c r="IFO1" s="22"/>
      <c r="IFP1" s="22"/>
      <c r="IFQ1" s="22"/>
      <c r="IFR1" s="22"/>
      <c r="IFS1" s="22"/>
      <c r="IFT1" s="22"/>
      <c r="IFU1" s="22"/>
      <c r="IFV1" s="22"/>
      <c r="IFW1" s="22"/>
      <c r="IFX1" s="22"/>
      <c r="IFY1" s="22"/>
      <c r="IFZ1" s="22"/>
      <c r="IGA1" s="22"/>
      <c r="IGB1" s="22"/>
      <c r="IGC1" s="22"/>
      <c r="IGD1" s="22"/>
      <c r="IGE1" s="22"/>
      <c r="IGF1" s="22"/>
      <c r="IGG1" s="22"/>
      <c r="IGH1" s="22"/>
      <c r="IGI1" s="22"/>
      <c r="IGJ1" s="22"/>
      <c r="IGK1" s="22"/>
      <c r="IGL1" s="22"/>
      <c r="IGM1" s="22"/>
      <c r="IGN1" s="22"/>
      <c r="IGO1" s="22"/>
      <c r="IGP1" s="22"/>
      <c r="IGQ1" s="22"/>
      <c r="IGR1" s="22"/>
      <c r="IGS1" s="22"/>
      <c r="IGT1" s="22"/>
      <c r="IGU1" s="22"/>
      <c r="IGV1" s="22"/>
      <c r="IGW1" s="22"/>
      <c r="IGX1" s="22"/>
      <c r="IGY1" s="22"/>
      <c r="IGZ1" s="22"/>
      <c r="IHA1" s="22"/>
      <c r="IHB1" s="22"/>
      <c r="IHC1" s="22"/>
      <c r="IHD1" s="22"/>
      <c r="IHE1" s="22"/>
      <c r="IHF1" s="22"/>
      <c r="IHG1" s="22"/>
      <c r="IHH1" s="22"/>
      <c r="IHI1" s="22"/>
      <c r="IHJ1" s="22"/>
      <c r="IHK1" s="22"/>
      <c r="IHL1" s="22"/>
      <c r="IHM1" s="22"/>
      <c r="IHN1" s="22"/>
      <c r="IHO1" s="22"/>
      <c r="IHP1" s="22"/>
      <c r="IHQ1" s="22"/>
      <c r="IHR1" s="22"/>
      <c r="IHS1" s="22"/>
      <c r="IHT1" s="22"/>
      <c r="IHU1" s="22"/>
      <c r="IHV1" s="22"/>
      <c r="IHW1" s="22"/>
      <c r="IHX1" s="22"/>
      <c r="IHY1" s="22"/>
      <c r="IHZ1" s="22"/>
      <c r="IIA1" s="22"/>
      <c r="IIB1" s="22"/>
      <c r="IIC1" s="22"/>
      <c r="IID1" s="22"/>
      <c r="IIE1" s="22"/>
      <c r="IIF1" s="22"/>
      <c r="IIG1" s="22"/>
      <c r="IIH1" s="22"/>
      <c r="III1" s="22"/>
      <c r="IIJ1" s="22"/>
      <c r="IIK1" s="22"/>
      <c r="IIL1" s="22"/>
      <c r="IIM1" s="22"/>
      <c r="IIN1" s="22"/>
      <c r="IIO1" s="22"/>
      <c r="IIP1" s="22"/>
      <c r="IIQ1" s="22"/>
      <c r="IIR1" s="22"/>
      <c r="IIS1" s="22"/>
      <c r="IIT1" s="22"/>
      <c r="IIU1" s="22"/>
      <c r="IIV1" s="22"/>
      <c r="IIW1" s="22"/>
      <c r="IIX1" s="22"/>
      <c r="IIY1" s="22"/>
      <c r="IIZ1" s="22"/>
      <c r="IJA1" s="22"/>
      <c r="IJB1" s="22"/>
      <c r="IJC1" s="22"/>
      <c r="IJD1" s="22"/>
      <c r="IJE1" s="22"/>
      <c r="IJF1" s="22"/>
      <c r="IJG1" s="22"/>
      <c r="IJH1" s="22"/>
      <c r="IJI1" s="22"/>
      <c r="IJJ1" s="22"/>
      <c r="IJK1" s="22"/>
      <c r="IJL1" s="22"/>
      <c r="IJM1" s="22"/>
      <c r="IJN1" s="22"/>
      <c r="IJO1" s="22"/>
      <c r="IJP1" s="22"/>
      <c r="IJQ1" s="22"/>
      <c r="IJR1" s="22"/>
      <c r="IJS1" s="22"/>
      <c r="IJT1" s="22"/>
      <c r="IJU1" s="22"/>
      <c r="IJV1" s="22"/>
      <c r="IJW1" s="22"/>
      <c r="IJX1" s="22"/>
      <c r="IJY1" s="22"/>
      <c r="IJZ1" s="22"/>
      <c r="IKA1" s="22"/>
      <c r="IKB1" s="22"/>
      <c r="IKC1" s="22"/>
      <c r="IKD1" s="22"/>
      <c r="IKE1" s="22"/>
      <c r="IKF1" s="22"/>
      <c r="IKG1" s="22"/>
      <c r="IKH1" s="22"/>
      <c r="IKI1" s="22"/>
      <c r="IKJ1" s="22"/>
      <c r="IKK1" s="22"/>
      <c r="IKL1" s="22"/>
      <c r="IKM1" s="22"/>
      <c r="IKN1" s="22"/>
      <c r="IKO1" s="22"/>
      <c r="IKP1" s="22"/>
      <c r="IKQ1" s="22"/>
      <c r="IKR1" s="22"/>
      <c r="IKS1" s="22"/>
      <c r="IKT1" s="22"/>
      <c r="IKU1" s="22"/>
      <c r="IKV1" s="22"/>
      <c r="IKW1" s="22"/>
      <c r="IKX1" s="22"/>
      <c r="IKY1" s="22"/>
      <c r="IKZ1" s="22"/>
      <c r="ILA1" s="22"/>
      <c r="ILB1" s="22"/>
      <c r="ILC1" s="22"/>
      <c r="ILD1" s="22"/>
      <c r="ILE1" s="22"/>
      <c r="ILF1" s="22"/>
      <c r="ILG1" s="22"/>
      <c r="ILH1" s="22"/>
      <c r="ILI1" s="22"/>
      <c r="ILJ1" s="22"/>
      <c r="ILK1" s="22"/>
      <c r="ILL1" s="22"/>
      <c r="ILM1" s="22"/>
      <c r="ILN1" s="22"/>
      <c r="ILO1" s="22"/>
      <c r="ILP1" s="22"/>
      <c r="ILQ1" s="22"/>
      <c r="ILR1" s="22"/>
      <c r="ILS1" s="22"/>
      <c r="ILT1" s="22"/>
      <c r="ILU1" s="22"/>
      <c r="ILV1" s="22"/>
      <c r="ILW1" s="22"/>
      <c r="ILX1" s="22"/>
      <c r="ILY1" s="22"/>
      <c r="ILZ1" s="22"/>
      <c r="IMA1" s="22"/>
      <c r="IMB1" s="22"/>
      <c r="IMC1" s="22"/>
      <c r="IMD1" s="22"/>
      <c r="IME1" s="22"/>
      <c r="IMF1" s="22"/>
      <c r="IMG1" s="22"/>
      <c r="IMH1" s="22"/>
      <c r="IMI1" s="22"/>
      <c r="IMJ1" s="22"/>
      <c r="IMK1" s="22"/>
      <c r="IML1" s="22"/>
      <c r="IMM1" s="22"/>
      <c r="IMN1" s="22"/>
      <c r="IMO1" s="22"/>
      <c r="IMP1" s="22"/>
      <c r="IMQ1" s="22"/>
      <c r="IMR1" s="22"/>
      <c r="IMS1" s="22"/>
      <c r="IMT1" s="22"/>
      <c r="IMU1" s="22"/>
      <c r="IMV1" s="22"/>
      <c r="IMW1" s="22"/>
      <c r="IMX1" s="22"/>
      <c r="IMY1" s="22"/>
      <c r="IMZ1" s="22"/>
      <c r="INA1" s="22"/>
      <c r="INB1" s="22"/>
      <c r="INC1" s="22"/>
      <c r="IND1" s="22"/>
      <c r="INE1" s="22"/>
      <c r="INF1" s="22"/>
      <c r="ING1" s="22"/>
      <c r="INH1" s="22"/>
      <c r="INI1" s="22"/>
      <c r="INJ1" s="22"/>
      <c r="INK1" s="22"/>
      <c r="INL1" s="22"/>
      <c r="INM1" s="22"/>
      <c r="INN1" s="22"/>
      <c r="INO1" s="22"/>
      <c r="INP1" s="22"/>
      <c r="INQ1" s="22"/>
      <c r="INR1" s="22"/>
      <c r="INS1" s="22"/>
      <c r="INT1" s="22"/>
      <c r="INU1" s="22"/>
      <c r="INV1" s="22"/>
      <c r="INW1" s="22"/>
      <c r="INX1" s="22"/>
      <c r="INY1" s="22"/>
      <c r="INZ1" s="22"/>
      <c r="IOA1" s="22"/>
      <c r="IOB1" s="22"/>
      <c r="IOC1" s="22"/>
      <c r="IOD1" s="22"/>
      <c r="IOE1" s="22"/>
      <c r="IOF1" s="22"/>
      <c r="IOG1" s="22"/>
      <c r="IOH1" s="22"/>
      <c r="IOI1" s="22"/>
      <c r="IOJ1" s="22"/>
      <c r="IOK1" s="22"/>
      <c r="IOL1" s="22"/>
      <c r="IOM1" s="22"/>
      <c r="ION1" s="22"/>
      <c r="IOO1" s="22"/>
      <c r="IOP1" s="22"/>
      <c r="IOQ1" s="22"/>
      <c r="IOR1" s="22"/>
      <c r="IOS1" s="22"/>
      <c r="IOT1" s="22"/>
      <c r="IOU1" s="22"/>
      <c r="IOV1" s="22"/>
      <c r="IOW1" s="22"/>
      <c r="IOX1" s="22"/>
      <c r="IOY1" s="22"/>
      <c r="IOZ1" s="22"/>
      <c r="IPA1" s="22"/>
      <c r="IPB1" s="22"/>
      <c r="IPC1" s="22"/>
      <c r="IPD1" s="22"/>
      <c r="IPE1" s="22"/>
      <c r="IPF1" s="22"/>
      <c r="IPG1" s="22"/>
      <c r="IPH1" s="22"/>
      <c r="IPI1" s="22"/>
      <c r="IPJ1" s="22"/>
      <c r="IPK1" s="22"/>
      <c r="IPL1" s="22"/>
      <c r="IPM1" s="22"/>
      <c r="IPN1" s="22"/>
      <c r="IPO1" s="22"/>
      <c r="IPP1" s="22"/>
      <c r="IPQ1" s="22"/>
      <c r="IPR1" s="22"/>
      <c r="IPS1" s="22"/>
      <c r="IPT1" s="22"/>
      <c r="IPU1" s="22"/>
      <c r="IPV1" s="22"/>
      <c r="IPW1" s="22"/>
      <c r="IPX1" s="22"/>
      <c r="IPY1" s="22"/>
      <c r="IPZ1" s="22"/>
      <c r="IQA1" s="22"/>
      <c r="IQB1" s="22"/>
      <c r="IQC1" s="22"/>
      <c r="IQD1" s="22"/>
      <c r="IQE1" s="22"/>
      <c r="IQF1" s="22"/>
      <c r="IQG1" s="22"/>
      <c r="IQH1" s="22"/>
      <c r="IQI1" s="22"/>
      <c r="IQJ1" s="22"/>
      <c r="IQK1" s="22"/>
      <c r="IQL1" s="22"/>
      <c r="IQM1" s="22"/>
      <c r="IQN1" s="22"/>
      <c r="IQO1" s="22"/>
      <c r="IQP1" s="22"/>
      <c r="IQQ1" s="22"/>
      <c r="IQR1" s="22"/>
      <c r="IQS1" s="22"/>
      <c r="IQT1" s="22"/>
      <c r="IQU1" s="22"/>
      <c r="IQV1" s="22"/>
      <c r="IQW1" s="22"/>
      <c r="IQX1" s="22"/>
      <c r="IQY1" s="22"/>
      <c r="IQZ1" s="22"/>
      <c r="IRA1" s="22"/>
      <c r="IRB1" s="22"/>
      <c r="IRC1" s="22"/>
      <c r="IRD1" s="22"/>
      <c r="IRE1" s="22"/>
      <c r="IRF1" s="22"/>
      <c r="IRG1" s="22"/>
      <c r="IRH1" s="22"/>
      <c r="IRI1" s="22"/>
      <c r="IRJ1" s="22"/>
      <c r="IRK1" s="22"/>
      <c r="IRL1" s="22"/>
      <c r="IRM1" s="22"/>
      <c r="IRN1" s="22"/>
      <c r="IRO1" s="22"/>
      <c r="IRP1" s="22"/>
      <c r="IRQ1" s="22"/>
      <c r="IRR1" s="22"/>
      <c r="IRS1" s="22"/>
      <c r="IRT1" s="22"/>
      <c r="IRU1" s="22"/>
      <c r="IRV1" s="22"/>
      <c r="IRW1" s="22"/>
      <c r="IRX1" s="22"/>
      <c r="IRY1" s="22"/>
      <c r="IRZ1" s="22"/>
      <c r="ISA1" s="22"/>
      <c r="ISB1" s="22"/>
      <c r="ISC1" s="22"/>
      <c r="ISD1" s="22"/>
      <c r="ISE1" s="22"/>
      <c r="ISF1" s="22"/>
      <c r="ISG1" s="22"/>
      <c r="ISH1" s="22"/>
      <c r="ISI1" s="22"/>
      <c r="ISJ1" s="22"/>
      <c r="ISK1" s="22"/>
      <c r="ISL1" s="22"/>
      <c r="ISM1" s="22"/>
      <c r="ISN1" s="22"/>
      <c r="ISO1" s="22"/>
      <c r="ISP1" s="22"/>
      <c r="ISQ1" s="22"/>
      <c r="ISR1" s="22"/>
      <c r="ISS1" s="22"/>
      <c r="IST1" s="22"/>
      <c r="ISU1" s="22"/>
      <c r="ISV1" s="22"/>
      <c r="ISW1" s="22"/>
      <c r="ISX1" s="22"/>
      <c r="ISY1" s="22"/>
      <c r="ISZ1" s="22"/>
      <c r="ITA1" s="22"/>
      <c r="ITB1" s="22"/>
      <c r="ITC1" s="22"/>
      <c r="ITD1" s="22"/>
      <c r="ITE1" s="22"/>
      <c r="ITF1" s="22"/>
      <c r="ITG1" s="22"/>
      <c r="ITH1" s="22"/>
      <c r="ITI1" s="22"/>
      <c r="ITJ1" s="22"/>
      <c r="ITK1" s="22"/>
      <c r="ITL1" s="22"/>
      <c r="ITM1" s="22"/>
      <c r="ITN1" s="22"/>
      <c r="ITO1" s="22"/>
      <c r="ITP1" s="22"/>
      <c r="ITQ1" s="22"/>
      <c r="ITR1" s="22"/>
      <c r="ITS1" s="22"/>
      <c r="ITT1" s="22"/>
      <c r="ITU1" s="22"/>
      <c r="ITV1" s="22"/>
      <c r="ITW1" s="22"/>
      <c r="ITX1" s="22"/>
      <c r="ITY1" s="22"/>
      <c r="ITZ1" s="22"/>
      <c r="IUA1" s="22"/>
      <c r="IUB1" s="22"/>
      <c r="IUC1" s="22"/>
      <c r="IUD1" s="22"/>
      <c r="IUE1" s="22"/>
      <c r="IUF1" s="22"/>
      <c r="IUG1" s="22"/>
      <c r="IUH1" s="22"/>
      <c r="IUI1" s="22"/>
      <c r="IUJ1" s="22"/>
      <c r="IUK1" s="22"/>
      <c r="IUL1" s="22"/>
      <c r="IUM1" s="22"/>
      <c r="IUN1" s="22"/>
      <c r="IUO1" s="22"/>
      <c r="IUP1" s="22"/>
      <c r="IUQ1" s="22"/>
      <c r="IUR1" s="22"/>
      <c r="IUS1" s="22"/>
      <c r="IUT1" s="22"/>
      <c r="IUU1" s="22"/>
      <c r="IUV1" s="22"/>
      <c r="IUW1" s="22"/>
      <c r="IUX1" s="22"/>
      <c r="IUY1" s="22"/>
      <c r="IUZ1" s="22"/>
      <c r="IVA1" s="22"/>
      <c r="IVB1" s="22"/>
      <c r="IVC1" s="22"/>
      <c r="IVD1" s="22"/>
      <c r="IVE1" s="22"/>
      <c r="IVF1" s="22"/>
      <c r="IVG1" s="22"/>
      <c r="IVH1" s="22"/>
      <c r="IVI1" s="22"/>
      <c r="IVJ1" s="22"/>
      <c r="IVK1" s="22"/>
      <c r="IVL1" s="22"/>
      <c r="IVM1" s="22"/>
      <c r="IVN1" s="22"/>
      <c r="IVO1" s="22"/>
      <c r="IVP1" s="22"/>
      <c r="IVQ1" s="22"/>
      <c r="IVR1" s="22"/>
      <c r="IVS1" s="22"/>
      <c r="IVT1" s="22"/>
      <c r="IVU1" s="22"/>
      <c r="IVV1" s="22"/>
      <c r="IVW1" s="22"/>
      <c r="IVX1" s="22"/>
      <c r="IVY1" s="22"/>
      <c r="IVZ1" s="22"/>
      <c r="IWA1" s="22"/>
      <c r="IWB1" s="22"/>
      <c r="IWC1" s="22"/>
      <c r="IWD1" s="22"/>
      <c r="IWE1" s="22"/>
      <c r="IWF1" s="22"/>
      <c r="IWG1" s="22"/>
      <c r="IWH1" s="22"/>
      <c r="IWI1" s="22"/>
      <c r="IWJ1" s="22"/>
      <c r="IWK1" s="22"/>
      <c r="IWL1" s="22"/>
      <c r="IWM1" s="22"/>
      <c r="IWN1" s="22"/>
      <c r="IWO1" s="22"/>
      <c r="IWP1" s="22"/>
      <c r="IWQ1" s="22"/>
      <c r="IWR1" s="22"/>
      <c r="IWS1" s="22"/>
      <c r="IWT1" s="22"/>
      <c r="IWU1" s="22"/>
      <c r="IWV1" s="22"/>
      <c r="IWW1" s="22"/>
      <c r="IWX1" s="22"/>
      <c r="IWY1" s="22"/>
      <c r="IWZ1" s="22"/>
      <c r="IXA1" s="22"/>
      <c r="IXB1" s="22"/>
      <c r="IXC1" s="22"/>
      <c r="IXD1" s="22"/>
      <c r="IXE1" s="22"/>
      <c r="IXF1" s="22"/>
      <c r="IXG1" s="22"/>
      <c r="IXH1" s="22"/>
      <c r="IXI1" s="22"/>
      <c r="IXJ1" s="22"/>
      <c r="IXK1" s="22"/>
      <c r="IXL1" s="22"/>
      <c r="IXM1" s="22"/>
      <c r="IXN1" s="22"/>
      <c r="IXO1" s="22"/>
      <c r="IXP1" s="22"/>
      <c r="IXQ1" s="22"/>
      <c r="IXR1" s="22"/>
      <c r="IXS1" s="22"/>
      <c r="IXT1" s="22"/>
      <c r="IXU1" s="22"/>
      <c r="IXV1" s="22"/>
      <c r="IXW1" s="22"/>
      <c r="IXX1" s="22"/>
      <c r="IXY1" s="22"/>
      <c r="IXZ1" s="22"/>
      <c r="IYA1" s="22"/>
      <c r="IYB1" s="22"/>
      <c r="IYC1" s="22"/>
      <c r="IYD1" s="22"/>
      <c r="IYE1" s="22"/>
      <c r="IYF1" s="22"/>
      <c r="IYG1" s="22"/>
      <c r="IYH1" s="22"/>
      <c r="IYI1" s="22"/>
      <c r="IYJ1" s="22"/>
      <c r="IYK1" s="22"/>
      <c r="IYL1" s="22"/>
      <c r="IYM1" s="22"/>
      <c r="IYN1" s="22"/>
      <c r="IYO1" s="22"/>
      <c r="IYP1" s="22"/>
      <c r="IYQ1" s="22"/>
      <c r="IYR1" s="22"/>
      <c r="IYS1" s="22"/>
      <c r="IYT1" s="22"/>
      <c r="IYU1" s="22"/>
      <c r="IYV1" s="22"/>
      <c r="IYW1" s="22"/>
      <c r="IYX1" s="22"/>
      <c r="IYY1" s="22"/>
      <c r="IYZ1" s="22"/>
      <c r="IZA1" s="22"/>
      <c r="IZB1" s="22"/>
      <c r="IZC1" s="22"/>
      <c r="IZD1" s="22"/>
      <c r="IZE1" s="22"/>
      <c r="IZF1" s="22"/>
      <c r="IZG1" s="22"/>
      <c r="IZH1" s="22"/>
      <c r="IZI1" s="22"/>
      <c r="IZJ1" s="22"/>
      <c r="IZK1" s="22"/>
      <c r="IZL1" s="22"/>
      <c r="IZM1" s="22"/>
      <c r="IZN1" s="22"/>
      <c r="IZO1" s="22"/>
      <c r="IZP1" s="22"/>
      <c r="IZQ1" s="22"/>
      <c r="IZR1" s="22"/>
      <c r="IZS1" s="22"/>
      <c r="IZT1" s="22"/>
      <c r="IZU1" s="22"/>
      <c r="IZV1" s="22"/>
      <c r="IZW1" s="22"/>
      <c r="IZX1" s="22"/>
      <c r="IZY1" s="22"/>
      <c r="IZZ1" s="22"/>
      <c r="JAA1" s="22"/>
      <c r="JAB1" s="22"/>
      <c r="JAC1" s="22"/>
      <c r="JAD1" s="22"/>
      <c r="JAE1" s="22"/>
      <c r="JAF1" s="22"/>
      <c r="JAG1" s="22"/>
      <c r="JAH1" s="22"/>
      <c r="JAI1" s="22"/>
      <c r="JAJ1" s="22"/>
      <c r="JAK1" s="22"/>
      <c r="JAL1" s="22"/>
      <c r="JAM1" s="22"/>
      <c r="JAN1" s="22"/>
      <c r="JAO1" s="22"/>
      <c r="JAP1" s="22"/>
      <c r="JAQ1" s="22"/>
      <c r="JAR1" s="22"/>
      <c r="JAS1" s="22"/>
      <c r="JAT1" s="22"/>
      <c r="JAU1" s="22"/>
      <c r="JAV1" s="22"/>
      <c r="JAW1" s="22"/>
      <c r="JAX1" s="22"/>
      <c r="JAY1" s="22"/>
      <c r="JAZ1" s="22"/>
      <c r="JBA1" s="22"/>
      <c r="JBB1" s="22"/>
      <c r="JBC1" s="22"/>
      <c r="JBD1" s="22"/>
      <c r="JBE1" s="22"/>
      <c r="JBF1" s="22"/>
      <c r="JBG1" s="22"/>
      <c r="JBH1" s="22"/>
      <c r="JBI1" s="22"/>
      <c r="JBJ1" s="22"/>
      <c r="JBK1" s="22"/>
      <c r="JBL1" s="22"/>
      <c r="JBM1" s="22"/>
      <c r="JBN1" s="22"/>
      <c r="JBO1" s="22"/>
      <c r="JBP1" s="22"/>
      <c r="JBQ1" s="22"/>
      <c r="JBR1" s="22"/>
      <c r="JBS1" s="22"/>
      <c r="JBT1" s="22"/>
      <c r="JBU1" s="22"/>
      <c r="JBV1" s="22"/>
      <c r="JBW1" s="22"/>
      <c r="JBX1" s="22"/>
      <c r="JBY1" s="22"/>
      <c r="JBZ1" s="22"/>
      <c r="JCA1" s="22"/>
      <c r="JCB1" s="22"/>
      <c r="JCC1" s="22"/>
      <c r="JCD1" s="22"/>
      <c r="JCE1" s="22"/>
      <c r="JCF1" s="22"/>
      <c r="JCG1" s="22"/>
      <c r="JCH1" s="22"/>
      <c r="JCI1" s="22"/>
      <c r="JCJ1" s="22"/>
      <c r="JCK1" s="22"/>
      <c r="JCL1" s="22"/>
      <c r="JCM1" s="22"/>
      <c r="JCN1" s="22"/>
      <c r="JCO1" s="22"/>
      <c r="JCP1" s="22"/>
      <c r="JCQ1" s="22"/>
      <c r="JCR1" s="22"/>
      <c r="JCS1" s="22"/>
      <c r="JCT1" s="22"/>
      <c r="JCU1" s="22"/>
      <c r="JCV1" s="22"/>
      <c r="JCW1" s="22"/>
      <c r="JCX1" s="22"/>
      <c r="JCY1" s="22"/>
      <c r="JCZ1" s="22"/>
      <c r="JDA1" s="22"/>
      <c r="JDB1" s="22"/>
      <c r="JDC1" s="22"/>
      <c r="JDD1" s="22"/>
      <c r="JDE1" s="22"/>
      <c r="JDF1" s="22"/>
      <c r="JDG1" s="22"/>
      <c r="JDH1" s="22"/>
      <c r="JDI1" s="22"/>
      <c r="JDJ1" s="22"/>
      <c r="JDK1" s="22"/>
      <c r="JDL1" s="22"/>
      <c r="JDM1" s="22"/>
      <c r="JDN1" s="22"/>
      <c r="JDO1" s="22"/>
      <c r="JDP1" s="22"/>
      <c r="JDQ1" s="22"/>
      <c r="JDR1" s="22"/>
      <c r="JDS1" s="22"/>
      <c r="JDT1" s="22"/>
      <c r="JDU1" s="22"/>
      <c r="JDV1" s="22"/>
      <c r="JDW1" s="22"/>
      <c r="JDX1" s="22"/>
      <c r="JDY1" s="22"/>
      <c r="JDZ1" s="22"/>
      <c r="JEA1" s="22"/>
      <c r="JEB1" s="22"/>
      <c r="JEC1" s="22"/>
      <c r="JED1" s="22"/>
      <c r="JEE1" s="22"/>
      <c r="JEF1" s="22"/>
      <c r="JEG1" s="22"/>
      <c r="JEH1" s="22"/>
      <c r="JEI1" s="22"/>
      <c r="JEJ1" s="22"/>
      <c r="JEK1" s="22"/>
      <c r="JEL1" s="22"/>
      <c r="JEM1" s="22"/>
      <c r="JEN1" s="22"/>
      <c r="JEO1" s="22"/>
      <c r="JEP1" s="22"/>
      <c r="JEQ1" s="22"/>
      <c r="JER1" s="22"/>
      <c r="JES1" s="22"/>
      <c r="JET1" s="22"/>
      <c r="JEU1" s="22"/>
      <c r="JEV1" s="22"/>
      <c r="JEW1" s="22"/>
      <c r="JEX1" s="22"/>
      <c r="JEY1" s="22"/>
      <c r="JEZ1" s="22"/>
      <c r="JFA1" s="22"/>
      <c r="JFB1" s="22"/>
      <c r="JFC1" s="22"/>
      <c r="JFD1" s="22"/>
      <c r="JFE1" s="22"/>
      <c r="JFF1" s="22"/>
      <c r="JFG1" s="22"/>
      <c r="JFH1" s="22"/>
      <c r="JFI1" s="22"/>
      <c r="JFJ1" s="22"/>
      <c r="JFK1" s="22"/>
      <c r="JFL1" s="22"/>
      <c r="JFM1" s="22"/>
      <c r="JFN1" s="22"/>
      <c r="JFO1" s="22"/>
      <c r="JFP1" s="22"/>
      <c r="JFQ1" s="22"/>
      <c r="JFR1" s="22"/>
      <c r="JFS1" s="22"/>
      <c r="JFT1" s="22"/>
      <c r="JFU1" s="22"/>
      <c r="JFV1" s="22"/>
      <c r="JFW1" s="22"/>
      <c r="JFX1" s="22"/>
      <c r="JFY1" s="22"/>
      <c r="JFZ1" s="22"/>
      <c r="JGA1" s="22"/>
      <c r="JGB1" s="22"/>
      <c r="JGC1" s="22"/>
      <c r="JGD1" s="22"/>
      <c r="JGE1" s="22"/>
      <c r="JGF1" s="22"/>
      <c r="JGG1" s="22"/>
      <c r="JGH1" s="22"/>
      <c r="JGI1" s="22"/>
      <c r="JGJ1" s="22"/>
      <c r="JGK1" s="22"/>
      <c r="JGL1" s="22"/>
      <c r="JGM1" s="22"/>
      <c r="JGN1" s="22"/>
      <c r="JGO1" s="22"/>
      <c r="JGP1" s="22"/>
      <c r="JGQ1" s="22"/>
      <c r="JGR1" s="22"/>
      <c r="JGS1" s="22"/>
      <c r="JGT1" s="22"/>
      <c r="JGU1" s="22"/>
      <c r="JGV1" s="22"/>
      <c r="JGW1" s="22"/>
      <c r="JGX1" s="22"/>
      <c r="JGY1" s="22"/>
      <c r="JGZ1" s="22"/>
      <c r="JHA1" s="22"/>
      <c r="JHB1" s="22"/>
      <c r="JHC1" s="22"/>
      <c r="JHD1" s="22"/>
      <c r="JHE1" s="22"/>
      <c r="JHF1" s="22"/>
      <c r="JHG1" s="22"/>
      <c r="JHH1" s="22"/>
      <c r="JHI1" s="22"/>
      <c r="JHJ1" s="22"/>
      <c r="JHK1" s="22"/>
      <c r="JHL1" s="22"/>
      <c r="JHM1" s="22"/>
      <c r="JHN1" s="22"/>
      <c r="JHO1" s="22"/>
      <c r="JHP1" s="22"/>
      <c r="JHQ1" s="22"/>
      <c r="JHR1" s="22"/>
      <c r="JHS1" s="22"/>
      <c r="JHT1" s="22"/>
      <c r="JHU1" s="22"/>
      <c r="JHV1" s="22"/>
      <c r="JHW1" s="22"/>
      <c r="JHX1" s="22"/>
      <c r="JHY1" s="22"/>
      <c r="JHZ1" s="22"/>
      <c r="JIA1" s="22"/>
      <c r="JIB1" s="22"/>
      <c r="JIC1" s="22"/>
      <c r="JID1" s="22"/>
      <c r="JIE1" s="22"/>
      <c r="JIF1" s="22"/>
      <c r="JIG1" s="22"/>
      <c r="JIH1" s="22"/>
      <c r="JII1" s="22"/>
      <c r="JIJ1" s="22"/>
      <c r="JIK1" s="22"/>
      <c r="JIL1" s="22"/>
      <c r="JIM1" s="22"/>
      <c r="JIN1" s="22"/>
      <c r="JIO1" s="22"/>
      <c r="JIP1" s="22"/>
      <c r="JIQ1" s="22"/>
      <c r="JIR1" s="22"/>
      <c r="JIS1" s="22"/>
      <c r="JIT1" s="22"/>
      <c r="JIU1" s="22"/>
      <c r="JIV1" s="22"/>
      <c r="JIW1" s="22"/>
      <c r="JIX1" s="22"/>
      <c r="JIY1" s="22"/>
      <c r="JIZ1" s="22"/>
      <c r="JJA1" s="22"/>
      <c r="JJB1" s="22"/>
      <c r="JJC1" s="22"/>
      <c r="JJD1" s="22"/>
      <c r="JJE1" s="22"/>
      <c r="JJF1" s="22"/>
      <c r="JJG1" s="22"/>
      <c r="JJH1" s="22"/>
      <c r="JJI1" s="22"/>
      <c r="JJJ1" s="22"/>
      <c r="JJK1" s="22"/>
      <c r="JJL1" s="22"/>
      <c r="JJM1" s="22"/>
      <c r="JJN1" s="22"/>
      <c r="JJO1" s="22"/>
      <c r="JJP1" s="22"/>
      <c r="JJQ1" s="22"/>
      <c r="JJR1" s="22"/>
      <c r="JJS1" s="22"/>
      <c r="JJT1" s="22"/>
      <c r="JJU1" s="22"/>
      <c r="JJV1" s="22"/>
      <c r="JJW1" s="22"/>
      <c r="JJX1" s="22"/>
      <c r="JJY1" s="22"/>
      <c r="JJZ1" s="22"/>
      <c r="JKA1" s="22"/>
      <c r="JKB1" s="22"/>
      <c r="JKC1" s="22"/>
      <c r="JKD1" s="22"/>
      <c r="JKE1" s="22"/>
      <c r="JKF1" s="22"/>
      <c r="JKG1" s="22"/>
      <c r="JKH1" s="22"/>
      <c r="JKI1" s="22"/>
      <c r="JKJ1" s="22"/>
      <c r="JKK1" s="22"/>
      <c r="JKL1" s="22"/>
      <c r="JKM1" s="22"/>
      <c r="JKN1" s="22"/>
      <c r="JKO1" s="22"/>
      <c r="JKP1" s="22"/>
      <c r="JKQ1" s="22"/>
      <c r="JKR1" s="22"/>
      <c r="JKS1" s="22"/>
      <c r="JKT1" s="22"/>
      <c r="JKU1" s="22"/>
      <c r="JKV1" s="22"/>
      <c r="JKW1" s="22"/>
      <c r="JKX1" s="22"/>
      <c r="JKY1" s="22"/>
      <c r="JKZ1" s="22"/>
      <c r="JLA1" s="22"/>
      <c r="JLB1" s="22"/>
      <c r="JLC1" s="22"/>
      <c r="JLD1" s="22"/>
      <c r="JLE1" s="22"/>
      <c r="JLF1" s="22"/>
      <c r="JLG1" s="22"/>
      <c r="JLH1" s="22"/>
      <c r="JLI1" s="22"/>
      <c r="JLJ1" s="22"/>
      <c r="JLK1" s="22"/>
      <c r="JLL1" s="22"/>
      <c r="JLM1" s="22"/>
      <c r="JLN1" s="22"/>
      <c r="JLO1" s="22"/>
      <c r="JLP1" s="22"/>
      <c r="JLQ1" s="22"/>
      <c r="JLR1" s="22"/>
      <c r="JLS1" s="22"/>
      <c r="JLT1" s="22"/>
      <c r="JLU1" s="22"/>
      <c r="JLV1" s="22"/>
      <c r="JLW1" s="22"/>
      <c r="JLX1" s="22"/>
      <c r="JLY1" s="22"/>
      <c r="JLZ1" s="22"/>
      <c r="JMA1" s="22"/>
      <c r="JMB1" s="22"/>
      <c r="JMC1" s="22"/>
      <c r="JMD1" s="22"/>
      <c r="JME1" s="22"/>
      <c r="JMF1" s="22"/>
      <c r="JMG1" s="22"/>
      <c r="JMH1" s="22"/>
      <c r="JMI1" s="22"/>
      <c r="JMJ1" s="22"/>
      <c r="JMK1" s="22"/>
      <c r="JML1" s="22"/>
      <c r="JMM1" s="22"/>
      <c r="JMN1" s="22"/>
      <c r="JMO1" s="22"/>
      <c r="JMP1" s="22"/>
      <c r="JMQ1" s="22"/>
      <c r="JMR1" s="22"/>
      <c r="JMS1" s="22"/>
      <c r="JMT1" s="22"/>
      <c r="JMU1" s="22"/>
      <c r="JMV1" s="22"/>
      <c r="JMW1" s="22"/>
      <c r="JMX1" s="22"/>
      <c r="JMY1" s="22"/>
      <c r="JMZ1" s="22"/>
      <c r="JNA1" s="22"/>
      <c r="JNB1" s="22"/>
      <c r="JNC1" s="22"/>
      <c r="JND1" s="22"/>
      <c r="JNE1" s="22"/>
      <c r="JNF1" s="22"/>
      <c r="JNG1" s="22"/>
      <c r="JNH1" s="22"/>
      <c r="JNI1" s="22"/>
      <c r="JNJ1" s="22"/>
      <c r="JNK1" s="22"/>
      <c r="JNL1" s="22"/>
      <c r="JNM1" s="22"/>
      <c r="JNN1" s="22"/>
      <c r="JNO1" s="22"/>
      <c r="JNP1" s="22"/>
      <c r="JNQ1" s="22"/>
      <c r="JNR1" s="22"/>
      <c r="JNS1" s="22"/>
      <c r="JNT1" s="22"/>
      <c r="JNU1" s="22"/>
      <c r="JNV1" s="22"/>
      <c r="JNW1" s="22"/>
      <c r="JNX1" s="22"/>
      <c r="JNY1" s="22"/>
      <c r="JNZ1" s="22"/>
      <c r="JOA1" s="22"/>
      <c r="JOB1" s="22"/>
      <c r="JOC1" s="22"/>
      <c r="JOD1" s="22"/>
      <c r="JOE1" s="22"/>
      <c r="JOF1" s="22"/>
      <c r="JOG1" s="22"/>
      <c r="JOH1" s="22"/>
      <c r="JOI1" s="22"/>
      <c r="JOJ1" s="22"/>
      <c r="JOK1" s="22"/>
      <c r="JOL1" s="22"/>
      <c r="JOM1" s="22"/>
      <c r="JON1" s="22"/>
      <c r="JOO1" s="22"/>
      <c r="JOP1" s="22"/>
      <c r="JOQ1" s="22"/>
      <c r="JOR1" s="22"/>
      <c r="JOS1" s="22"/>
      <c r="JOT1" s="22"/>
      <c r="JOU1" s="22"/>
      <c r="JOV1" s="22"/>
      <c r="JOW1" s="22"/>
      <c r="JOX1" s="22"/>
      <c r="JOY1" s="22"/>
      <c r="JOZ1" s="22"/>
      <c r="JPA1" s="22"/>
      <c r="JPB1" s="22"/>
      <c r="JPC1" s="22"/>
      <c r="JPD1" s="22"/>
      <c r="JPE1" s="22"/>
      <c r="JPF1" s="22"/>
      <c r="JPG1" s="22"/>
      <c r="JPH1" s="22"/>
      <c r="JPI1" s="22"/>
      <c r="JPJ1" s="22"/>
      <c r="JPK1" s="22"/>
      <c r="JPL1" s="22"/>
      <c r="JPM1" s="22"/>
      <c r="JPN1" s="22"/>
      <c r="JPO1" s="22"/>
      <c r="JPP1" s="22"/>
      <c r="JPQ1" s="22"/>
      <c r="JPR1" s="22"/>
      <c r="JPS1" s="22"/>
      <c r="JPT1" s="22"/>
      <c r="JPU1" s="22"/>
      <c r="JPV1" s="22"/>
      <c r="JPW1" s="22"/>
      <c r="JPX1" s="22"/>
      <c r="JPY1" s="22"/>
      <c r="JPZ1" s="22"/>
      <c r="JQA1" s="22"/>
      <c r="JQB1" s="22"/>
      <c r="JQC1" s="22"/>
      <c r="JQD1" s="22"/>
      <c r="JQE1" s="22"/>
      <c r="JQF1" s="22"/>
      <c r="JQG1" s="22"/>
      <c r="JQH1" s="22"/>
      <c r="JQI1" s="22"/>
      <c r="JQJ1" s="22"/>
      <c r="JQK1" s="22"/>
      <c r="JQL1" s="22"/>
      <c r="JQM1" s="22"/>
      <c r="JQN1" s="22"/>
      <c r="JQO1" s="22"/>
      <c r="JQP1" s="22"/>
      <c r="JQQ1" s="22"/>
      <c r="JQR1" s="22"/>
      <c r="JQS1" s="22"/>
      <c r="JQT1" s="22"/>
      <c r="JQU1" s="22"/>
      <c r="JQV1" s="22"/>
      <c r="JQW1" s="22"/>
      <c r="JQX1" s="22"/>
      <c r="JQY1" s="22"/>
      <c r="JQZ1" s="22"/>
      <c r="JRA1" s="22"/>
      <c r="JRB1" s="22"/>
      <c r="JRC1" s="22"/>
      <c r="JRD1" s="22"/>
      <c r="JRE1" s="22"/>
      <c r="JRF1" s="22"/>
      <c r="JRG1" s="22"/>
      <c r="JRH1" s="22"/>
      <c r="JRI1" s="22"/>
      <c r="JRJ1" s="22"/>
      <c r="JRK1" s="22"/>
      <c r="JRL1" s="22"/>
      <c r="JRM1" s="22"/>
      <c r="JRN1" s="22"/>
      <c r="JRO1" s="22"/>
      <c r="JRP1" s="22"/>
      <c r="JRQ1" s="22"/>
      <c r="JRR1" s="22"/>
      <c r="JRS1" s="22"/>
      <c r="JRT1" s="22"/>
      <c r="JRU1" s="22"/>
      <c r="JRV1" s="22"/>
      <c r="JRW1" s="22"/>
      <c r="JRX1" s="22"/>
      <c r="JRY1" s="22"/>
      <c r="JRZ1" s="22"/>
      <c r="JSA1" s="22"/>
      <c r="JSB1" s="22"/>
      <c r="JSC1" s="22"/>
      <c r="JSD1" s="22"/>
      <c r="JSE1" s="22"/>
      <c r="JSF1" s="22"/>
      <c r="JSG1" s="22"/>
      <c r="JSH1" s="22"/>
      <c r="JSI1" s="22"/>
      <c r="JSJ1" s="22"/>
      <c r="JSK1" s="22"/>
      <c r="JSL1" s="22"/>
      <c r="JSM1" s="22"/>
      <c r="JSN1" s="22"/>
      <c r="JSO1" s="22"/>
      <c r="JSP1" s="22"/>
      <c r="JSQ1" s="22"/>
      <c r="JSR1" s="22"/>
      <c r="JSS1" s="22"/>
      <c r="JST1" s="22"/>
      <c r="JSU1" s="22"/>
      <c r="JSV1" s="22"/>
      <c r="JSW1" s="22"/>
      <c r="JSX1" s="22"/>
      <c r="JSY1" s="22"/>
      <c r="JSZ1" s="22"/>
      <c r="JTA1" s="22"/>
      <c r="JTB1" s="22"/>
      <c r="JTC1" s="22"/>
      <c r="JTD1" s="22"/>
      <c r="JTE1" s="22"/>
      <c r="JTF1" s="22"/>
      <c r="JTG1" s="22"/>
      <c r="JTH1" s="22"/>
      <c r="JTI1" s="22"/>
      <c r="JTJ1" s="22"/>
      <c r="JTK1" s="22"/>
      <c r="JTL1" s="22"/>
      <c r="JTM1" s="22"/>
      <c r="JTN1" s="22"/>
      <c r="JTO1" s="22"/>
      <c r="JTP1" s="22"/>
      <c r="JTQ1" s="22"/>
      <c r="JTR1" s="22"/>
      <c r="JTS1" s="22"/>
      <c r="JTT1" s="22"/>
      <c r="JTU1" s="22"/>
      <c r="JTV1" s="22"/>
      <c r="JTW1" s="22"/>
      <c r="JTX1" s="22"/>
      <c r="JTY1" s="22"/>
      <c r="JTZ1" s="22"/>
      <c r="JUA1" s="22"/>
      <c r="JUB1" s="22"/>
      <c r="JUC1" s="22"/>
      <c r="JUD1" s="22"/>
      <c r="JUE1" s="22"/>
      <c r="JUF1" s="22"/>
      <c r="JUG1" s="22"/>
      <c r="JUH1" s="22"/>
      <c r="JUI1" s="22"/>
      <c r="JUJ1" s="22"/>
      <c r="JUK1" s="22"/>
      <c r="JUL1" s="22"/>
      <c r="JUM1" s="22"/>
      <c r="JUN1" s="22"/>
      <c r="JUO1" s="22"/>
      <c r="JUP1" s="22"/>
      <c r="JUQ1" s="22"/>
      <c r="JUR1" s="22"/>
      <c r="JUS1" s="22"/>
      <c r="JUT1" s="22"/>
      <c r="JUU1" s="22"/>
      <c r="JUV1" s="22"/>
      <c r="JUW1" s="22"/>
      <c r="JUX1" s="22"/>
      <c r="JUY1" s="22"/>
      <c r="JUZ1" s="22"/>
      <c r="JVA1" s="22"/>
      <c r="JVB1" s="22"/>
      <c r="JVC1" s="22"/>
      <c r="JVD1" s="22"/>
      <c r="JVE1" s="22"/>
      <c r="JVF1" s="22"/>
      <c r="JVG1" s="22"/>
      <c r="JVH1" s="22"/>
      <c r="JVI1" s="22"/>
      <c r="JVJ1" s="22"/>
      <c r="JVK1" s="22"/>
      <c r="JVL1" s="22"/>
      <c r="JVM1" s="22"/>
      <c r="JVN1" s="22"/>
      <c r="JVO1" s="22"/>
      <c r="JVP1" s="22"/>
      <c r="JVQ1" s="22"/>
      <c r="JVR1" s="22"/>
      <c r="JVS1" s="22"/>
      <c r="JVT1" s="22"/>
      <c r="JVU1" s="22"/>
      <c r="JVV1" s="22"/>
      <c r="JVW1" s="22"/>
      <c r="JVX1" s="22"/>
      <c r="JVY1" s="22"/>
      <c r="JVZ1" s="22"/>
      <c r="JWA1" s="22"/>
      <c r="JWB1" s="22"/>
      <c r="JWC1" s="22"/>
      <c r="JWD1" s="22"/>
      <c r="JWE1" s="22"/>
      <c r="JWF1" s="22"/>
      <c r="JWG1" s="22"/>
      <c r="JWH1" s="22"/>
      <c r="JWI1" s="22"/>
      <c r="JWJ1" s="22"/>
      <c r="JWK1" s="22"/>
      <c r="JWL1" s="22"/>
      <c r="JWM1" s="22"/>
      <c r="JWN1" s="22"/>
      <c r="JWO1" s="22"/>
      <c r="JWP1" s="22"/>
      <c r="JWQ1" s="22"/>
      <c r="JWR1" s="22"/>
      <c r="JWS1" s="22"/>
      <c r="JWT1" s="22"/>
      <c r="JWU1" s="22"/>
      <c r="JWV1" s="22"/>
      <c r="JWW1" s="22"/>
      <c r="JWX1" s="22"/>
      <c r="JWY1" s="22"/>
      <c r="JWZ1" s="22"/>
      <c r="JXA1" s="22"/>
      <c r="JXB1" s="22"/>
      <c r="JXC1" s="22"/>
      <c r="JXD1" s="22"/>
      <c r="JXE1" s="22"/>
      <c r="JXF1" s="22"/>
      <c r="JXG1" s="22"/>
      <c r="JXH1" s="22"/>
      <c r="JXI1" s="22"/>
      <c r="JXJ1" s="22"/>
      <c r="JXK1" s="22"/>
      <c r="JXL1" s="22"/>
      <c r="JXM1" s="22"/>
      <c r="JXN1" s="22"/>
      <c r="JXO1" s="22"/>
      <c r="JXP1" s="22"/>
      <c r="JXQ1" s="22"/>
      <c r="JXR1" s="22"/>
      <c r="JXS1" s="22"/>
      <c r="JXT1" s="22"/>
      <c r="JXU1" s="22"/>
      <c r="JXV1" s="22"/>
      <c r="JXW1" s="22"/>
      <c r="JXX1" s="22"/>
      <c r="JXY1" s="22"/>
      <c r="JXZ1" s="22"/>
      <c r="JYA1" s="22"/>
      <c r="JYB1" s="22"/>
      <c r="JYC1" s="22"/>
      <c r="JYD1" s="22"/>
      <c r="JYE1" s="22"/>
      <c r="JYF1" s="22"/>
      <c r="JYG1" s="22"/>
      <c r="JYH1" s="22"/>
      <c r="JYI1" s="22"/>
      <c r="JYJ1" s="22"/>
      <c r="JYK1" s="22"/>
      <c r="JYL1" s="22"/>
      <c r="JYM1" s="22"/>
      <c r="JYN1" s="22"/>
      <c r="JYO1" s="22"/>
      <c r="JYP1" s="22"/>
      <c r="JYQ1" s="22"/>
      <c r="JYR1" s="22"/>
      <c r="JYS1" s="22"/>
      <c r="JYT1" s="22"/>
      <c r="JYU1" s="22"/>
      <c r="JYV1" s="22"/>
      <c r="JYW1" s="22"/>
      <c r="JYX1" s="22"/>
      <c r="JYY1" s="22"/>
      <c r="JYZ1" s="22"/>
      <c r="JZA1" s="22"/>
      <c r="JZB1" s="22"/>
      <c r="JZC1" s="22"/>
      <c r="JZD1" s="22"/>
      <c r="JZE1" s="22"/>
      <c r="JZF1" s="22"/>
      <c r="JZG1" s="22"/>
      <c r="JZH1" s="22"/>
      <c r="JZI1" s="22"/>
      <c r="JZJ1" s="22"/>
      <c r="JZK1" s="22"/>
      <c r="JZL1" s="22"/>
      <c r="JZM1" s="22"/>
      <c r="JZN1" s="22"/>
      <c r="JZO1" s="22"/>
      <c r="JZP1" s="22"/>
      <c r="JZQ1" s="22"/>
      <c r="JZR1" s="22"/>
      <c r="JZS1" s="22"/>
      <c r="JZT1" s="22"/>
      <c r="JZU1" s="22"/>
      <c r="JZV1" s="22"/>
      <c r="JZW1" s="22"/>
      <c r="JZX1" s="22"/>
      <c r="JZY1" s="22"/>
      <c r="JZZ1" s="22"/>
      <c r="KAA1" s="22"/>
      <c r="KAB1" s="22"/>
      <c r="KAC1" s="22"/>
      <c r="KAD1" s="22"/>
      <c r="KAE1" s="22"/>
      <c r="KAF1" s="22"/>
      <c r="KAG1" s="22"/>
      <c r="KAH1" s="22"/>
      <c r="KAI1" s="22"/>
      <c r="KAJ1" s="22"/>
      <c r="KAK1" s="22"/>
      <c r="KAL1" s="22"/>
      <c r="KAM1" s="22"/>
      <c r="KAN1" s="22"/>
      <c r="KAO1" s="22"/>
      <c r="KAP1" s="22"/>
      <c r="KAQ1" s="22"/>
      <c r="KAR1" s="22"/>
      <c r="KAS1" s="22"/>
      <c r="KAT1" s="22"/>
      <c r="KAU1" s="22"/>
      <c r="KAV1" s="22"/>
      <c r="KAW1" s="22"/>
      <c r="KAX1" s="22"/>
      <c r="KAY1" s="22"/>
      <c r="KAZ1" s="22"/>
      <c r="KBA1" s="22"/>
      <c r="KBB1" s="22"/>
      <c r="KBC1" s="22"/>
      <c r="KBD1" s="22"/>
      <c r="KBE1" s="22"/>
      <c r="KBF1" s="22"/>
      <c r="KBG1" s="22"/>
      <c r="KBH1" s="22"/>
      <c r="KBI1" s="22"/>
      <c r="KBJ1" s="22"/>
      <c r="KBK1" s="22"/>
      <c r="KBL1" s="22"/>
      <c r="KBM1" s="22"/>
      <c r="KBN1" s="22"/>
      <c r="KBO1" s="22"/>
      <c r="KBP1" s="22"/>
      <c r="KBQ1" s="22"/>
      <c r="KBR1" s="22"/>
      <c r="KBS1" s="22"/>
      <c r="KBT1" s="22"/>
      <c r="KBU1" s="22"/>
      <c r="KBV1" s="22"/>
      <c r="KBW1" s="22"/>
      <c r="KBX1" s="22"/>
      <c r="KBY1" s="22"/>
      <c r="KBZ1" s="22"/>
      <c r="KCA1" s="22"/>
      <c r="KCB1" s="22"/>
      <c r="KCC1" s="22"/>
      <c r="KCD1" s="22"/>
      <c r="KCE1" s="22"/>
      <c r="KCF1" s="22"/>
      <c r="KCG1" s="22"/>
      <c r="KCH1" s="22"/>
      <c r="KCI1" s="22"/>
      <c r="KCJ1" s="22"/>
      <c r="KCK1" s="22"/>
      <c r="KCL1" s="22"/>
      <c r="KCM1" s="22"/>
      <c r="KCN1" s="22"/>
      <c r="KCO1" s="22"/>
      <c r="KCP1" s="22"/>
      <c r="KCQ1" s="22"/>
      <c r="KCR1" s="22"/>
      <c r="KCS1" s="22"/>
      <c r="KCT1" s="22"/>
      <c r="KCU1" s="22"/>
      <c r="KCV1" s="22"/>
      <c r="KCW1" s="22"/>
      <c r="KCX1" s="22"/>
      <c r="KCY1" s="22"/>
      <c r="KCZ1" s="22"/>
      <c r="KDA1" s="22"/>
      <c r="KDB1" s="22"/>
      <c r="KDC1" s="22"/>
      <c r="KDD1" s="22"/>
      <c r="KDE1" s="22"/>
      <c r="KDF1" s="22"/>
      <c r="KDG1" s="22"/>
      <c r="KDH1" s="22"/>
      <c r="KDI1" s="22"/>
      <c r="KDJ1" s="22"/>
      <c r="KDK1" s="22"/>
      <c r="KDL1" s="22"/>
      <c r="KDM1" s="22"/>
      <c r="KDN1" s="22"/>
      <c r="KDO1" s="22"/>
      <c r="KDP1" s="22"/>
      <c r="KDQ1" s="22"/>
      <c r="KDR1" s="22"/>
      <c r="KDS1" s="22"/>
      <c r="KDT1" s="22"/>
      <c r="KDU1" s="22"/>
      <c r="KDV1" s="22"/>
      <c r="KDW1" s="22"/>
      <c r="KDX1" s="22"/>
      <c r="KDY1" s="22"/>
      <c r="KDZ1" s="22"/>
      <c r="KEA1" s="22"/>
      <c r="KEB1" s="22"/>
      <c r="KEC1" s="22"/>
      <c r="KED1" s="22"/>
      <c r="KEE1" s="22"/>
      <c r="KEF1" s="22"/>
      <c r="KEG1" s="22"/>
      <c r="KEH1" s="22"/>
      <c r="KEI1" s="22"/>
      <c r="KEJ1" s="22"/>
      <c r="KEK1" s="22"/>
      <c r="KEL1" s="22"/>
      <c r="KEM1" s="22"/>
      <c r="KEN1" s="22"/>
      <c r="KEO1" s="22"/>
      <c r="KEP1" s="22"/>
      <c r="KEQ1" s="22"/>
      <c r="KER1" s="22"/>
      <c r="KES1" s="22"/>
      <c r="KET1" s="22"/>
      <c r="KEU1" s="22"/>
      <c r="KEV1" s="22"/>
      <c r="KEW1" s="22"/>
      <c r="KEX1" s="22"/>
      <c r="KEY1" s="22"/>
      <c r="KEZ1" s="22"/>
      <c r="KFA1" s="22"/>
      <c r="KFB1" s="22"/>
      <c r="KFC1" s="22"/>
      <c r="KFD1" s="22"/>
      <c r="KFE1" s="22"/>
      <c r="KFF1" s="22"/>
      <c r="KFG1" s="22"/>
      <c r="KFH1" s="22"/>
      <c r="KFI1" s="22"/>
      <c r="KFJ1" s="22"/>
      <c r="KFK1" s="22"/>
      <c r="KFL1" s="22"/>
      <c r="KFM1" s="22"/>
      <c r="KFN1" s="22"/>
      <c r="KFO1" s="22"/>
      <c r="KFP1" s="22"/>
      <c r="KFQ1" s="22"/>
      <c r="KFR1" s="22"/>
      <c r="KFS1" s="22"/>
      <c r="KFT1" s="22"/>
      <c r="KFU1" s="22"/>
      <c r="KFV1" s="22"/>
      <c r="KFW1" s="22"/>
      <c r="KFX1" s="22"/>
      <c r="KFY1" s="22"/>
      <c r="KFZ1" s="22"/>
      <c r="KGA1" s="22"/>
      <c r="KGB1" s="22"/>
      <c r="KGC1" s="22"/>
      <c r="KGD1" s="22"/>
      <c r="KGE1" s="22"/>
      <c r="KGF1" s="22"/>
      <c r="KGG1" s="22"/>
      <c r="KGH1" s="22"/>
      <c r="KGI1" s="22"/>
      <c r="KGJ1" s="22"/>
      <c r="KGK1" s="22"/>
      <c r="KGL1" s="22"/>
      <c r="KGM1" s="22"/>
      <c r="KGN1" s="22"/>
      <c r="KGO1" s="22"/>
      <c r="KGP1" s="22"/>
      <c r="KGQ1" s="22"/>
      <c r="KGR1" s="22"/>
      <c r="KGS1" s="22"/>
      <c r="KGT1" s="22"/>
      <c r="KGU1" s="22"/>
      <c r="KGV1" s="22"/>
      <c r="KGW1" s="22"/>
      <c r="KGX1" s="22"/>
      <c r="KGY1" s="22"/>
      <c r="KGZ1" s="22"/>
      <c r="KHA1" s="22"/>
      <c r="KHB1" s="22"/>
      <c r="KHC1" s="22"/>
      <c r="KHD1" s="22"/>
      <c r="KHE1" s="22"/>
      <c r="KHF1" s="22"/>
      <c r="KHG1" s="22"/>
      <c r="KHH1" s="22"/>
      <c r="KHI1" s="22"/>
      <c r="KHJ1" s="22"/>
      <c r="KHK1" s="22"/>
      <c r="KHL1" s="22"/>
      <c r="KHM1" s="22"/>
      <c r="KHN1" s="22"/>
      <c r="KHO1" s="22"/>
      <c r="KHP1" s="22"/>
      <c r="KHQ1" s="22"/>
      <c r="KHR1" s="22"/>
      <c r="KHS1" s="22"/>
      <c r="KHT1" s="22"/>
      <c r="KHU1" s="22"/>
      <c r="KHV1" s="22"/>
      <c r="KHW1" s="22"/>
      <c r="KHX1" s="22"/>
      <c r="KHY1" s="22"/>
      <c r="KHZ1" s="22"/>
      <c r="KIA1" s="22"/>
      <c r="KIB1" s="22"/>
      <c r="KIC1" s="22"/>
      <c r="KID1" s="22"/>
      <c r="KIE1" s="22"/>
      <c r="KIF1" s="22"/>
      <c r="KIG1" s="22"/>
      <c r="KIH1" s="22"/>
      <c r="KII1" s="22"/>
      <c r="KIJ1" s="22"/>
      <c r="KIK1" s="22"/>
      <c r="KIL1" s="22"/>
      <c r="KIM1" s="22"/>
      <c r="KIN1" s="22"/>
      <c r="KIO1" s="22"/>
      <c r="KIP1" s="22"/>
      <c r="KIQ1" s="22"/>
      <c r="KIR1" s="22"/>
      <c r="KIS1" s="22"/>
      <c r="KIT1" s="22"/>
      <c r="KIU1" s="22"/>
      <c r="KIV1" s="22"/>
      <c r="KIW1" s="22"/>
      <c r="KIX1" s="22"/>
      <c r="KIY1" s="22"/>
      <c r="KIZ1" s="22"/>
      <c r="KJA1" s="22"/>
      <c r="KJB1" s="22"/>
      <c r="KJC1" s="22"/>
      <c r="KJD1" s="22"/>
      <c r="KJE1" s="22"/>
      <c r="KJF1" s="22"/>
      <c r="KJG1" s="22"/>
      <c r="KJH1" s="22"/>
      <c r="KJI1" s="22"/>
      <c r="KJJ1" s="22"/>
      <c r="KJK1" s="22"/>
      <c r="KJL1" s="22"/>
      <c r="KJM1" s="22"/>
      <c r="KJN1" s="22"/>
      <c r="KJO1" s="22"/>
      <c r="KJP1" s="22"/>
      <c r="KJQ1" s="22"/>
      <c r="KJR1" s="22"/>
      <c r="KJS1" s="22"/>
      <c r="KJT1" s="22"/>
      <c r="KJU1" s="22"/>
      <c r="KJV1" s="22"/>
      <c r="KJW1" s="22"/>
      <c r="KJX1" s="22"/>
      <c r="KJY1" s="22"/>
      <c r="KJZ1" s="22"/>
      <c r="KKA1" s="22"/>
      <c r="KKB1" s="22"/>
      <c r="KKC1" s="22"/>
      <c r="KKD1" s="22"/>
      <c r="KKE1" s="22"/>
      <c r="KKF1" s="22"/>
      <c r="KKG1" s="22"/>
      <c r="KKH1" s="22"/>
      <c r="KKI1" s="22"/>
      <c r="KKJ1" s="22"/>
      <c r="KKK1" s="22"/>
      <c r="KKL1" s="22"/>
      <c r="KKM1" s="22"/>
      <c r="KKN1" s="22"/>
      <c r="KKO1" s="22"/>
      <c r="KKP1" s="22"/>
      <c r="KKQ1" s="22"/>
      <c r="KKR1" s="22"/>
      <c r="KKS1" s="22"/>
      <c r="KKT1" s="22"/>
      <c r="KKU1" s="22"/>
      <c r="KKV1" s="22"/>
      <c r="KKW1" s="22"/>
      <c r="KKX1" s="22"/>
      <c r="KKY1" s="22"/>
      <c r="KKZ1" s="22"/>
      <c r="KLA1" s="22"/>
      <c r="KLB1" s="22"/>
      <c r="KLC1" s="22"/>
      <c r="KLD1" s="22"/>
      <c r="KLE1" s="22"/>
      <c r="KLF1" s="22"/>
      <c r="KLG1" s="22"/>
      <c r="KLH1" s="22"/>
      <c r="KLI1" s="22"/>
      <c r="KLJ1" s="22"/>
      <c r="KLK1" s="22"/>
      <c r="KLL1" s="22"/>
      <c r="KLM1" s="22"/>
      <c r="KLN1" s="22"/>
      <c r="KLO1" s="22"/>
      <c r="KLP1" s="22"/>
      <c r="KLQ1" s="22"/>
      <c r="KLR1" s="22"/>
      <c r="KLS1" s="22"/>
      <c r="KLT1" s="22"/>
      <c r="KLU1" s="22"/>
      <c r="KLV1" s="22"/>
      <c r="KLW1" s="22"/>
      <c r="KLX1" s="22"/>
      <c r="KLY1" s="22"/>
      <c r="KLZ1" s="22"/>
      <c r="KMA1" s="22"/>
      <c r="KMB1" s="22"/>
      <c r="KMC1" s="22"/>
      <c r="KMD1" s="22"/>
      <c r="KME1" s="22"/>
      <c r="KMF1" s="22"/>
      <c r="KMG1" s="22"/>
      <c r="KMH1" s="22"/>
      <c r="KMI1" s="22"/>
      <c r="KMJ1" s="22"/>
      <c r="KMK1" s="22"/>
      <c r="KML1" s="22"/>
      <c r="KMM1" s="22"/>
      <c r="KMN1" s="22"/>
      <c r="KMO1" s="22"/>
      <c r="KMP1" s="22"/>
      <c r="KMQ1" s="22"/>
      <c r="KMR1" s="22"/>
      <c r="KMS1" s="22"/>
      <c r="KMT1" s="22"/>
      <c r="KMU1" s="22"/>
      <c r="KMV1" s="22"/>
      <c r="KMW1" s="22"/>
      <c r="KMX1" s="22"/>
      <c r="KMY1" s="22"/>
      <c r="KMZ1" s="22"/>
      <c r="KNA1" s="22"/>
      <c r="KNB1" s="22"/>
      <c r="KNC1" s="22"/>
      <c r="KND1" s="22"/>
      <c r="KNE1" s="22"/>
      <c r="KNF1" s="22"/>
      <c r="KNG1" s="22"/>
      <c r="KNH1" s="22"/>
      <c r="KNI1" s="22"/>
      <c r="KNJ1" s="22"/>
      <c r="KNK1" s="22"/>
      <c r="KNL1" s="22"/>
      <c r="KNM1" s="22"/>
      <c r="KNN1" s="22"/>
      <c r="KNO1" s="22"/>
      <c r="KNP1" s="22"/>
      <c r="KNQ1" s="22"/>
      <c r="KNR1" s="22"/>
      <c r="KNS1" s="22"/>
      <c r="KNT1" s="22"/>
      <c r="KNU1" s="22"/>
      <c r="KNV1" s="22"/>
      <c r="KNW1" s="22"/>
      <c r="KNX1" s="22"/>
      <c r="KNY1" s="22"/>
      <c r="KNZ1" s="22"/>
      <c r="KOA1" s="22"/>
      <c r="KOB1" s="22"/>
      <c r="KOC1" s="22"/>
      <c r="KOD1" s="22"/>
      <c r="KOE1" s="22"/>
      <c r="KOF1" s="22"/>
      <c r="KOG1" s="22"/>
      <c r="KOH1" s="22"/>
      <c r="KOI1" s="22"/>
      <c r="KOJ1" s="22"/>
      <c r="KOK1" s="22"/>
      <c r="KOL1" s="22"/>
      <c r="KOM1" s="22"/>
      <c r="KON1" s="22"/>
      <c r="KOO1" s="22"/>
      <c r="KOP1" s="22"/>
      <c r="KOQ1" s="22"/>
      <c r="KOR1" s="22"/>
      <c r="KOS1" s="22"/>
      <c r="KOT1" s="22"/>
      <c r="KOU1" s="22"/>
      <c r="KOV1" s="22"/>
      <c r="KOW1" s="22"/>
      <c r="KOX1" s="22"/>
      <c r="KOY1" s="22"/>
      <c r="KOZ1" s="22"/>
      <c r="KPA1" s="22"/>
      <c r="KPB1" s="22"/>
      <c r="KPC1" s="22"/>
      <c r="KPD1" s="22"/>
      <c r="KPE1" s="22"/>
      <c r="KPF1" s="22"/>
      <c r="KPG1" s="22"/>
      <c r="KPH1" s="22"/>
      <c r="KPI1" s="22"/>
      <c r="KPJ1" s="22"/>
      <c r="KPK1" s="22"/>
      <c r="KPL1" s="22"/>
      <c r="KPM1" s="22"/>
      <c r="KPN1" s="22"/>
      <c r="KPO1" s="22"/>
      <c r="KPP1" s="22"/>
      <c r="KPQ1" s="22"/>
      <c r="KPR1" s="22"/>
      <c r="KPS1" s="22"/>
      <c r="KPT1" s="22"/>
      <c r="KPU1" s="22"/>
      <c r="KPV1" s="22"/>
      <c r="KPW1" s="22"/>
      <c r="KPX1" s="22"/>
      <c r="KPY1" s="22"/>
      <c r="KPZ1" s="22"/>
      <c r="KQA1" s="22"/>
      <c r="KQB1" s="22"/>
      <c r="KQC1" s="22"/>
      <c r="KQD1" s="22"/>
      <c r="KQE1" s="22"/>
      <c r="KQF1" s="22"/>
      <c r="KQG1" s="22"/>
      <c r="KQH1" s="22"/>
      <c r="KQI1" s="22"/>
      <c r="KQJ1" s="22"/>
      <c r="KQK1" s="22"/>
      <c r="KQL1" s="22"/>
      <c r="KQM1" s="22"/>
      <c r="KQN1" s="22"/>
      <c r="KQO1" s="22"/>
      <c r="KQP1" s="22"/>
      <c r="KQQ1" s="22"/>
      <c r="KQR1" s="22"/>
      <c r="KQS1" s="22"/>
      <c r="KQT1" s="22"/>
      <c r="KQU1" s="22"/>
      <c r="KQV1" s="22"/>
      <c r="KQW1" s="22"/>
      <c r="KQX1" s="22"/>
      <c r="KQY1" s="22"/>
      <c r="KQZ1" s="22"/>
      <c r="KRA1" s="22"/>
      <c r="KRB1" s="22"/>
      <c r="KRC1" s="22"/>
      <c r="KRD1" s="22"/>
      <c r="KRE1" s="22"/>
      <c r="KRF1" s="22"/>
      <c r="KRG1" s="22"/>
      <c r="KRH1" s="22"/>
      <c r="KRI1" s="22"/>
      <c r="KRJ1" s="22"/>
      <c r="KRK1" s="22"/>
      <c r="KRL1" s="22"/>
      <c r="KRM1" s="22"/>
      <c r="KRN1" s="22"/>
      <c r="KRO1" s="22"/>
      <c r="KRP1" s="22"/>
      <c r="KRQ1" s="22"/>
      <c r="KRR1" s="22"/>
      <c r="KRS1" s="22"/>
      <c r="KRT1" s="22"/>
      <c r="KRU1" s="22"/>
      <c r="KRV1" s="22"/>
      <c r="KRW1" s="22"/>
      <c r="KRX1" s="22"/>
      <c r="KRY1" s="22"/>
      <c r="KRZ1" s="22"/>
      <c r="KSA1" s="22"/>
      <c r="KSB1" s="22"/>
      <c r="KSC1" s="22"/>
      <c r="KSD1" s="22"/>
      <c r="KSE1" s="22"/>
      <c r="KSF1" s="22"/>
      <c r="KSG1" s="22"/>
      <c r="KSH1" s="22"/>
      <c r="KSI1" s="22"/>
      <c r="KSJ1" s="22"/>
      <c r="KSK1" s="22"/>
      <c r="KSL1" s="22"/>
      <c r="KSM1" s="22"/>
      <c r="KSN1" s="22"/>
      <c r="KSO1" s="22"/>
      <c r="KSP1" s="22"/>
      <c r="KSQ1" s="22"/>
      <c r="KSR1" s="22"/>
      <c r="KSS1" s="22"/>
      <c r="KST1" s="22"/>
      <c r="KSU1" s="22"/>
      <c r="KSV1" s="22"/>
      <c r="KSW1" s="22"/>
      <c r="KSX1" s="22"/>
      <c r="KSY1" s="22"/>
      <c r="KSZ1" s="22"/>
      <c r="KTA1" s="22"/>
      <c r="KTB1" s="22"/>
      <c r="KTC1" s="22"/>
      <c r="KTD1" s="22"/>
      <c r="KTE1" s="22"/>
      <c r="KTF1" s="22"/>
      <c r="KTG1" s="22"/>
      <c r="KTH1" s="22"/>
      <c r="KTI1" s="22"/>
      <c r="KTJ1" s="22"/>
      <c r="KTK1" s="22"/>
      <c r="KTL1" s="22"/>
      <c r="KTM1" s="22"/>
      <c r="KTN1" s="22"/>
      <c r="KTO1" s="22"/>
      <c r="KTP1" s="22"/>
      <c r="KTQ1" s="22"/>
      <c r="KTR1" s="22"/>
      <c r="KTS1" s="22"/>
      <c r="KTT1" s="22"/>
      <c r="KTU1" s="22"/>
      <c r="KTV1" s="22"/>
      <c r="KTW1" s="22"/>
      <c r="KTX1" s="22"/>
      <c r="KTY1" s="22"/>
      <c r="KTZ1" s="22"/>
      <c r="KUA1" s="22"/>
      <c r="KUB1" s="22"/>
      <c r="KUC1" s="22"/>
      <c r="KUD1" s="22"/>
      <c r="KUE1" s="22"/>
      <c r="KUF1" s="22"/>
      <c r="KUG1" s="22"/>
      <c r="KUH1" s="22"/>
      <c r="KUI1" s="22"/>
      <c r="KUJ1" s="22"/>
      <c r="KUK1" s="22"/>
      <c r="KUL1" s="22"/>
      <c r="KUM1" s="22"/>
      <c r="KUN1" s="22"/>
      <c r="KUO1" s="22"/>
      <c r="KUP1" s="22"/>
      <c r="KUQ1" s="22"/>
      <c r="KUR1" s="22"/>
      <c r="KUS1" s="22"/>
      <c r="KUT1" s="22"/>
      <c r="KUU1" s="22"/>
      <c r="KUV1" s="22"/>
      <c r="KUW1" s="22"/>
      <c r="KUX1" s="22"/>
      <c r="KUY1" s="22"/>
      <c r="KUZ1" s="22"/>
      <c r="KVA1" s="22"/>
      <c r="KVB1" s="22"/>
      <c r="KVC1" s="22"/>
      <c r="KVD1" s="22"/>
      <c r="KVE1" s="22"/>
      <c r="KVF1" s="22"/>
      <c r="KVG1" s="22"/>
      <c r="KVH1" s="22"/>
      <c r="KVI1" s="22"/>
      <c r="KVJ1" s="22"/>
      <c r="KVK1" s="22"/>
      <c r="KVL1" s="22"/>
      <c r="KVM1" s="22"/>
      <c r="KVN1" s="22"/>
      <c r="KVO1" s="22"/>
      <c r="KVP1" s="22"/>
      <c r="KVQ1" s="22"/>
      <c r="KVR1" s="22"/>
      <c r="KVS1" s="22"/>
      <c r="KVT1" s="22"/>
      <c r="KVU1" s="22"/>
      <c r="KVV1" s="22"/>
      <c r="KVW1" s="22"/>
      <c r="KVX1" s="22"/>
      <c r="KVY1" s="22"/>
      <c r="KVZ1" s="22"/>
      <c r="KWA1" s="22"/>
      <c r="KWB1" s="22"/>
      <c r="KWC1" s="22"/>
      <c r="KWD1" s="22"/>
      <c r="KWE1" s="22"/>
      <c r="KWF1" s="22"/>
      <c r="KWG1" s="22"/>
      <c r="KWH1" s="22"/>
      <c r="KWI1" s="22"/>
      <c r="KWJ1" s="22"/>
      <c r="KWK1" s="22"/>
      <c r="KWL1" s="22"/>
      <c r="KWM1" s="22"/>
      <c r="KWN1" s="22"/>
      <c r="KWO1" s="22"/>
      <c r="KWP1" s="22"/>
      <c r="KWQ1" s="22"/>
      <c r="KWR1" s="22"/>
      <c r="KWS1" s="22"/>
      <c r="KWT1" s="22"/>
      <c r="KWU1" s="22"/>
      <c r="KWV1" s="22"/>
      <c r="KWW1" s="22"/>
      <c r="KWX1" s="22"/>
      <c r="KWY1" s="22"/>
      <c r="KWZ1" s="22"/>
      <c r="KXA1" s="22"/>
      <c r="KXB1" s="22"/>
      <c r="KXC1" s="22"/>
      <c r="KXD1" s="22"/>
      <c r="KXE1" s="22"/>
      <c r="KXF1" s="22"/>
      <c r="KXG1" s="22"/>
      <c r="KXH1" s="22"/>
      <c r="KXI1" s="22"/>
      <c r="KXJ1" s="22"/>
      <c r="KXK1" s="22"/>
      <c r="KXL1" s="22"/>
      <c r="KXM1" s="22"/>
      <c r="KXN1" s="22"/>
      <c r="KXO1" s="22"/>
      <c r="KXP1" s="22"/>
      <c r="KXQ1" s="22"/>
      <c r="KXR1" s="22"/>
      <c r="KXS1" s="22"/>
      <c r="KXT1" s="22"/>
      <c r="KXU1" s="22"/>
      <c r="KXV1" s="22"/>
      <c r="KXW1" s="22"/>
      <c r="KXX1" s="22"/>
      <c r="KXY1" s="22"/>
      <c r="KXZ1" s="22"/>
      <c r="KYA1" s="22"/>
      <c r="KYB1" s="22"/>
      <c r="KYC1" s="22"/>
      <c r="KYD1" s="22"/>
      <c r="KYE1" s="22"/>
      <c r="KYF1" s="22"/>
      <c r="KYG1" s="22"/>
      <c r="KYH1" s="22"/>
      <c r="KYI1" s="22"/>
      <c r="KYJ1" s="22"/>
      <c r="KYK1" s="22"/>
      <c r="KYL1" s="22"/>
      <c r="KYM1" s="22"/>
      <c r="KYN1" s="22"/>
      <c r="KYO1" s="22"/>
      <c r="KYP1" s="22"/>
      <c r="KYQ1" s="22"/>
      <c r="KYR1" s="22"/>
      <c r="KYS1" s="22"/>
      <c r="KYT1" s="22"/>
      <c r="KYU1" s="22"/>
      <c r="KYV1" s="22"/>
      <c r="KYW1" s="22"/>
      <c r="KYX1" s="22"/>
      <c r="KYY1" s="22"/>
      <c r="KYZ1" s="22"/>
      <c r="KZA1" s="22"/>
      <c r="KZB1" s="22"/>
      <c r="KZC1" s="22"/>
      <c r="KZD1" s="22"/>
      <c r="KZE1" s="22"/>
      <c r="KZF1" s="22"/>
      <c r="KZG1" s="22"/>
      <c r="KZH1" s="22"/>
      <c r="KZI1" s="22"/>
      <c r="KZJ1" s="22"/>
      <c r="KZK1" s="22"/>
      <c r="KZL1" s="22"/>
      <c r="KZM1" s="22"/>
      <c r="KZN1" s="22"/>
      <c r="KZO1" s="22"/>
      <c r="KZP1" s="22"/>
      <c r="KZQ1" s="22"/>
      <c r="KZR1" s="22"/>
      <c r="KZS1" s="22"/>
      <c r="KZT1" s="22"/>
      <c r="KZU1" s="22"/>
      <c r="KZV1" s="22"/>
      <c r="KZW1" s="22"/>
      <c r="KZX1" s="22"/>
      <c r="KZY1" s="22"/>
      <c r="KZZ1" s="22"/>
      <c r="LAA1" s="22"/>
      <c r="LAB1" s="22"/>
      <c r="LAC1" s="22"/>
      <c r="LAD1" s="22"/>
      <c r="LAE1" s="22"/>
      <c r="LAF1" s="22"/>
      <c r="LAG1" s="22"/>
      <c r="LAH1" s="22"/>
      <c r="LAI1" s="22"/>
      <c r="LAJ1" s="22"/>
      <c r="LAK1" s="22"/>
      <c r="LAL1" s="22"/>
      <c r="LAM1" s="22"/>
      <c r="LAN1" s="22"/>
      <c r="LAO1" s="22"/>
      <c r="LAP1" s="22"/>
      <c r="LAQ1" s="22"/>
      <c r="LAR1" s="22"/>
      <c r="LAS1" s="22"/>
      <c r="LAT1" s="22"/>
      <c r="LAU1" s="22"/>
      <c r="LAV1" s="22"/>
      <c r="LAW1" s="22"/>
      <c r="LAX1" s="22"/>
      <c r="LAY1" s="22"/>
      <c r="LAZ1" s="22"/>
      <c r="LBA1" s="22"/>
      <c r="LBB1" s="22"/>
      <c r="LBC1" s="22"/>
      <c r="LBD1" s="22"/>
      <c r="LBE1" s="22"/>
      <c r="LBF1" s="22"/>
      <c r="LBG1" s="22"/>
      <c r="LBH1" s="22"/>
      <c r="LBI1" s="22"/>
      <c r="LBJ1" s="22"/>
      <c r="LBK1" s="22"/>
      <c r="LBL1" s="22"/>
      <c r="LBM1" s="22"/>
      <c r="LBN1" s="22"/>
      <c r="LBO1" s="22"/>
      <c r="LBP1" s="22"/>
      <c r="LBQ1" s="22"/>
      <c r="LBR1" s="22"/>
      <c r="LBS1" s="22"/>
      <c r="LBT1" s="22"/>
      <c r="LBU1" s="22"/>
      <c r="LBV1" s="22"/>
      <c r="LBW1" s="22"/>
      <c r="LBX1" s="22"/>
      <c r="LBY1" s="22"/>
      <c r="LBZ1" s="22"/>
      <c r="LCA1" s="22"/>
      <c r="LCB1" s="22"/>
      <c r="LCC1" s="22"/>
      <c r="LCD1" s="22"/>
      <c r="LCE1" s="22"/>
      <c r="LCF1" s="22"/>
      <c r="LCG1" s="22"/>
      <c r="LCH1" s="22"/>
      <c r="LCI1" s="22"/>
      <c r="LCJ1" s="22"/>
      <c r="LCK1" s="22"/>
      <c r="LCL1" s="22"/>
      <c r="LCM1" s="22"/>
      <c r="LCN1" s="22"/>
      <c r="LCO1" s="22"/>
      <c r="LCP1" s="22"/>
      <c r="LCQ1" s="22"/>
      <c r="LCR1" s="22"/>
      <c r="LCS1" s="22"/>
      <c r="LCT1" s="22"/>
      <c r="LCU1" s="22"/>
      <c r="LCV1" s="22"/>
      <c r="LCW1" s="22"/>
      <c r="LCX1" s="22"/>
      <c r="LCY1" s="22"/>
      <c r="LCZ1" s="22"/>
      <c r="LDA1" s="22"/>
      <c r="LDB1" s="22"/>
      <c r="LDC1" s="22"/>
      <c r="LDD1" s="22"/>
      <c r="LDE1" s="22"/>
      <c r="LDF1" s="22"/>
      <c r="LDG1" s="22"/>
      <c r="LDH1" s="22"/>
      <c r="LDI1" s="22"/>
      <c r="LDJ1" s="22"/>
      <c r="LDK1" s="22"/>
      <c r="LDL1" s="22"/>
      <c r="LDM1" s="22"/>
      <c r="LDN1" s="22"/>
      <c r="LDO1" s="22"/>
      <c r="LDP1" s="22"/>
      <c r="LDQ1" s="22"/>
      <c r="LDR1" s="22"/>
      <c r="LDS1" s="22"/>
      <c r="LDT1" s="22"/>
      <c r="LDU1" s="22"/>
      <c r="LDV1" s="22"/>
      <c r="LDW1" s="22"/>
      <c r="LDX1" s="22"/>
      <c r="LDY1" s="22"/>
      <c r="LDZ1" s="22"/>
      <c r="LEA1" s="22"/>
      <c r="LEB1" s="22"/>
      <c r="LEC1" s="22"/>
      <c r="LED1" s="22"/>
      <c r="LEE1" s="22"/>
      <c r="LEF1" s="22"/>
      <c r="LEG1" s="22"/>
      <c r="LEH1" s="22"/>
      <c r="LEI1" s="22"/>
      <c r="LEJ1" s="22"/>
      <c r="LEK1" s="22"/>
      <c r="LEL1" s="22"/>
      <c r="LEM1" s="22"/>
      <c r="LEN1" s="22"/>
      <c r="LEO1" s="22"/>
      <c r="LEP1" s="22"/>
      <c r="LEQ1" s="22"/>
      <c r="LER1" s="22"/>
      <c r="LES1" s="22"/>
      <c r="LET1" s="22"/>
      <c r="LEU1" s="22"/>
      <c r="LEV1" s="22"/>
      <c r="LEW1" s="22"/>
      <c r="LEX1" s="22"/>
      <c r="LEY1" s="22"/>
      <c r="LEZ1" s="22"/>
      <c r="LFA1" s="22"/>
      <c r="LFB1" s="22"/>
      <c r="LFC1" s="22"/>
      <c r="LFD1" s="22"/>
      <c r="LFE1" s="22"/>
      <c r="LFF1" s="22"/>
      <c r="LFG1" s="22"/>
      <c r="LFH1" s="22"/>
      <c r="LFI1" s="22"/>
      <c r="LFJ1" s="22"/>
      <c r="LFK1" s="22"/>
      <c r="LFL1" s="22"/>
      <c r="LFM1" s="22"/>
      <c r="LFN1" s="22"/>
      <c r="LFO1" s="22"/>
      <c r="LFP1" s="22"/>
      <c r="LFQ1" s="22"/>
      <c r="LFR1" s="22"/>
      <c r="LFS1" s="22"/>
      <c r="LFT1" s="22"/>
      <c r="LFU1" s="22"/>
      <c r="LFV1" s="22"/>
      <c r="LFW1" s="22"/>
      <c r="LFX1" s="22"/>
      <c r="LFY1" s="22"/>
      <c r="LFZ1" s="22"/>
      <c r="LGA1" s="22"/>
      <c r="LGB1" s="22"/>
      <c r="LGC1" s="22"/>
      <c r="LGD1" s="22"/>
      <c r="LGE1" s="22"/>
      <c r="LGF1" s="22"/>
      <c r="LGG1" s="22"/>
      <c r="LGH1" s="22"/>
      <c r="LGI1" s="22"/>
      <c r="LGJ1" s="22"/>
      <c r="LGK1" s="22"/>
      <c r="LGL1" s="22"/>
      <c r="LGM1" s="22"/>
      <c r="LGN1" s="22"/>
      <c r="LGO1" s="22"/>
      <c r="LGP1" s="22"/>
      <c r="LGQ1" s="22"/>
      <c r="LGR1" s="22"/>
      <c r="LGS1" s="22"/>
      <c r="LGT1" s="22"/>
      <c r="LGU1" s="22"/>
      <c r="LGV1" s="22"/>
      <c r="LGW1" s="22"/>
      <c r="LGX1" s="22"/>
      <c r="LGY1" s="22"/>
      <c r="LGZ1" s="22"/>
      <c r="LHA1" s="22"/>
      <c r="LHB1" s="22"/>
      <c r="LHC1" s="22"/>
      <c r="LHD1" s="22"/>
      <c r="LHE1" s="22"/>
      <c r="LHF1" s="22"/>
      <c r="LHG1" s="22"/>
      <c r="LHH1" s="22"/>
      <c r="LHI1" s="22"/>
      <c r="LHJ1" s="22"/>
      <c r="LHK1" s="22"/>
      <c r="LHL1" s="22"/>
      <c r="LHM1" s="22"/>
      <c r="LHN1" s="22"/>
      <c r="LHO1" s="22"/>
      <c r="LHP1" s="22"/>
      <c r="LHQ1" s="22"/>
      <c r="LHR1" s="22"/>
      <c r="LHS1" s="22"/>
      <c r="LHT1" s="22"/>
      <c r="LHU1" s="22"/>
      <c r="LHV1" s="22"/>
      <c r="LHW1" s="22"/>
      <c r="LHX1" s="22"/>
      <c r="LHY1" s="22"/>
      <c r="LHZ1" s="22"/>
      <c r="LIA1" s="22"/>
      <c r="LIB1" s="22"/>
      <c r="LIC1" s="22"/>
      <c r="LID1" s="22"/>
      <c r="LIE1" s="22"/>
      <c r="LIF1" s="22"/>
      <c r="LIG1" s="22"/>
      <c r="LIH1" s="22"/>
      <c r="LII1" s="22"/>
      <c r="LIJ1" s="22"/>
      <c r="LIK1" s="22"/>
      <c r="LIL1" s="22"/>
      <c r="LIM1" s="22"/>
      <c r="LIN1" s="22"/>
      <c r="LIO1" s="22"/>
      <c r="LIP1" s="22"/>
      <c r="LIQ1" s="22"/>
      <c r="LIR1" s="22"/>
      <c r="LIS1" s="22"/>
      <c r="LIT1" s="22"/>
      <c r="LIU1" s="22"/>
      <c r="LIV1" s="22"/>
      <c r="LIW1" s="22"/>
      <c r="LIX1" s="22"/>
      <c r="LIY1" s="22"/>
      <c r="LIZ1" s="22"/>
      <c r="LJA1" s="22"/>
      <c r="LJB1" s="22"/>
      <c r="LJC1" s="22"/>
      <c r="LJD1" s="22"/>
      <c r="LJE1" s="22"/>
      <c r="LJF1" s="22"/>
      <c r="LJG1" s="22"/>
      <c r="LJH1" s="22"/>
      <c r="LJI1" s="22"/>
      <c r="LJJ1" s="22"/>
      <c r="LJK1" s="22"/>
      <c r="LJL1" s="22"/>
      <c r="LJM1" s="22"/>
      <c r="LJN1" s="22"/>
      <c r="LJO1" s="22"/>
      <c r="LJP1" s="22"/>
      <c r="LJQ1" s="22"/>
      <c r="LJR1" s="22"/>
      <c r="LJS1" s="22"/>
      <c r="LJT1" s="22"/>
      <c r="LJU1" s="22"/>
      <c r="LJV1" s="22"/>
      <c r="LJW1" s="22"/>
      <c r="LJX1" s="22"/>
      <c r="LJY1" s="22"/>
      <c r="LJZ1" s="22"/>
      <c r="LKA1" s="22"/>
      <c r="LKB1" s="22"/>
      <c r="LKC1" s="22"/>
      <c r="LKD1" s="22"/>
      <c r="LKE1" s="22"/>
      <c r="LKF1" s="22"/>
      <c r="LKG1" s="22"/>
      <c r="LKH1" s="22"/>
      <c r="LKI1" s="22"/>
      <c r="LKJ1" s="22"/>
      <c r="LKK1" s="22"/>
      <c r="LKL1" s="22"/>
      <c r="LKM1" s="22"/>
      <c r="LKN1" s="22"/>
      <c r="LKO1" s="22"/>
      <c r="LKP1" s="22"/>
      <c r="LKQ1" s="22"/>
      <c r="LKR1" s="22"/>
      <c r="LKS1" s="22"/>
      <c r="LKT1" s="22"/>
      <c r="LKU1" s="22"/>
      <c r="LKV1" s="22"/>
      <c r="LKW1" s="22"/>
      <c r="LKX1" s="22"/>
      <c r="LKY1" s="22"/>
      <c r="LKZ1" s="22"/>
      <c r="LLA1" s="22"/>
      <c r="LLB1" s="22"/>
      <c r="LLC1" s="22"/>
      <c r="LLD1" s="22"/>
      <c r="LLE1" s="22"/>
      <c r="LLF1" s="22"/>
      <c r="LLG1" s="22"/>
      <c r="LLH1" s="22"/>
      <c r="LLI1" s="22"/>
      <c r="LLJ1" s="22"/>
      <c r="LLK1" s="22"/>
      <c r="LLL1" s="22"/>
      <c r="LLM1" s="22"/>
      <c r="LLN1" s="22"/>
      <c r="LLO1" s="22"/>
      <c r="LLP1" s="22"/>
      <c r="LLQ1" s="22"/>
      <c r="LLR1" s="22"/>
      <c r="LLS1" s="22"/>
      <c r="LLT1" s="22"/>
      <c r="LLU1" s="22"/>
      <c r="LLV1" s="22"/>
      <c r="LLW1" s="22"/>
      <c r="LLX1" s="22"/>
      <c r="LLY1" s="22"/>
      <c r="LLZ1" s="22"/>
      <c r="LMA1" s="22"/>
      <c r="LMB1" s="22"/>
      <c r="LMC1" s="22"/>
      <c r="LMD1" s="22"/>
      <c r="LME1" s="22"/>
      <c r="LMF1" s="22"/>
      <c r="LMG1" s="22"/>
      <c r="LMH1" s="22"/>
      <c r="LMI1" s="22"/>
      <c r="LMJ1" s="22"/>
      <c r="LMK1" s="22"/>
      <c r="LML1" s="22"/>
      <c r="LMM1" s="22"/>
      <c r="LMN1" s="22"/>
      <c r="LMO1" s="22"/>
      <c r="LMP1" s="22"/>
      <c r="LMQ1" s="22"/>
      <c r="LMR1" s="22"/>
      <c r="LMS1" s="22"/>
      <c r="LMT1" s="22"/>
      <c r="LMU1" s="22"/>
      <c r="LMV1" s="22"/>
      <c r="LMW1" s="22"/>
      <c r="LMX1" s="22"/>
      <c r="LMY1" s="22"/>
      <c r="LMZ1" s="22"/>
      <c r="LNA1" s="22"/>
      <c r="LNB1" s="22"/>
      <c r="LNC1" s="22"/>
      <c r="LND1" s="22"/>
      <c r="LNE1" s="22"/>
      <c r="LNF1" s="22"/>
      <c r="LNG1" s="22"/>
      <c r="LNH1" s="22"/>
      <c r="LNI1" s="22"/>
      <c r="LNJ1" s="22"/>
      <c r="LNK1" s="22"/>
      <c r="LNL1" s="22"/>
      <c r="LNM1" s="22"/>
      <c r="LNN1" s="22"/>
      <c r="LNO1" s="22"/>
      <c r="LNP1" s="22"/>
      <c r="LNQ1" s="22"/>
      <c r="LNR1" s="22"/>
      <c r="LNS1" s="22"/>
      <c r="LNT1" s="22"/>
      <c r="LNU1" s="22"/>
      <c r="LNV1" s="22"/>
      <c r="LNW1" s="22"/>
      <c r="LNX1" s="22"/>
      <c r="LNY1" s="22"/>
      <c r="LNZ1" s="22"/>
      <c r="LOA1" s="22"/>
      <c r="LOB1" s="22"/>
      <c r="LOC1" s="22"/>
      <c r="LOD1" s="22"/>
      <c r="LOE1" s="22"/>
      <c r="LOF1" s="22"/>
      <c r="LOG1" s="22"/>
      <c r="LOH1" s="22"/>
      <c r="LOI1" s="22"/>
      <c r="LOJ1" s="22"/>
      <c r="LOK1" s="22"/>
      <c r="LOL1" s="22"/>
      <c r="LOM1" s="22"/>
      <c r="LON1" s="22"/>
      <c r="LOO1" s="22"/>
      <c r="LOP1" s="22"/>
      <c r="LOQ1" s="22"/>
      <c r="LOR1" s="22"/>
      <c r="LOS1" s="22"/>
      <c r="LOT1" s="22"/>
      <c r="LOU1" s="22"/>
      <c r="LOV1" s="22"/>
      <c r="LOW1" s="22"/>
      <c r="LOX1" s="22"/>
      <c r="LOY1" s="22"/>
      <c r="LOZ1" s="22"/>
      <c r="LPA1" s="22"/>
      <c r="LPB1" s="22"/>
      <c r="LPC1" s="22"/>
      <c r="LPD1" s="22"/>
      <c r="LPE1" s="22"/>
      <c r="LPF1" s="22"/>
      <c r="LPG1" s="22"/>
      <c r="LPH1" s="22"/>
      <c r="LPI1" s="22"/>
      <c r="LPJ1" s="22"/>
      <c r="LPK1" s="22"/>
      <c r="LPL1" s="22"/>
      <c r="LPM1" s="22"/>
      <c r="LPN1" s="22"/>
      <c r="LPO1" s="22"/>
      <c r="LPP1" s="22"/>
      <c r="LPQ1" s="22"/>
      <c r="LPR1" s="22"/>
      <c r="LPS1" s="22"/>
      <c r="LPT1" s="22"/>
      <c r="LPU1" s="22"/>
      <c r="LPV1" s="22"/>
      <c r="LPW1" s="22"/>
      <c r="LPX1" s="22"/>
      <c r="LPY1" s="22"/>
      <c r="LPZ1" s="22"/>
      <c r="LQA1" s="22"/>
      <c r="LQB1" s="22"/>
      <c r="LQC1" s="22"/>
      <c r="LQD1" s="22"/>
      <c r="LQE1" s="22"/>
      <c r="LQF1" s="22"/>
      <c r="LQG1" s="22"/>
      <c r="LQH1" s="22"/>
      <c r="LQI1" s="22"/>
      <c r="LQJ1" s="22"/>
      <c r="LQK1" s="22"/>
      <c r="LQL1" s="22"/>
      <c r="LQM1" s="22"/>
      <c r="LQN1" s="22"/>
      <c r="LQO1" s="22"/>
      <c r="LQP1" s="22"/>
      <c r="LQQ1" s="22"/>
      <c r="LQR1" s="22"/>
      <c r="LQS1" s="22"/>
      <c r="LQT1" s="22"/>
      <c r="LQU1" s="22"/>
      <c r="LQV1" s="22"/>
      <c r="LQW1" s="22"/>
      <c r="LQX1" s="22"/>
      <c r="LQY1" s="22"/>
      <c r="LQZ1" s="22"/>
      <c r="LRA1" s="22"/>
      <c r="LRB1" s="22"/>
      <c r="LRC1" s="22"/>
      <c r="LRD1" s="22"/>
      <c r="LRE1" s="22"/>
      <c r="LRF1" s="22"/>
      <c r="LRG1" s="22"/>
      <c r="LRH1" s="22"/>
      <c r="LRI1" s="22"/>
      <c r="LRJ1" s="22"/>
      <c r="LRK1" s="22"/>
      <c r="LRL1" s="22"/>
      <c r="LRM1" s="22"/>
      <c r="LRN1" s="22"/>
      <c r="LRO1" s="22"/>
      <c r="LRP1" s="22"/>
      <c r="LRQ1" s="22"/>
      <c r="LRR1" s="22"/>
      <c r="LRS1" s="22"/>
      <c r="LRT1" s="22"/>
      <c r="LRU1" s="22"/>
      <c r="LRV1" s="22"/>
      <c r="LRW1" s="22"/>
      <c r="LRX1" s="22"/>
      <c r="LRY1" s="22"/>
      <c r="LRZ1" s="22"/>
      <c r="LSA1" s="22"/>
      <c r="LSB1" s="22"/>
      <c r="LSC1" s="22"/>
      <c r="LSD1" s="22"/>
      <c r="LSE1" s="22"/>
      <c r="LSF1" s="22"/>
      <c r="LSG1" s="22"/>
      <c r="LSH1" s="22"/>
      <c r="LSI1" s="22"/>
      <c r="LSJ1" s="22"/>
      <c r="LSK1" s="22"/>
      <c r="LSL1" s="22"/>
      <c r="LSM1" s="22"/>
      <c r="LSN1" s="22"/>
      <c r="LSO1" s="22"/>
      <c r="LSP1" s="22"/>
      <c r="LSQ1" s="22"/>
      <c r="LSR1" s="22"/>
      <c r="LSS1" s="22"/>
      <c r="LST1" s="22"/>
      <c r="LSU1" s="22"/>
      <c r="LSV1" s="22"/>
      <c r="LSW1" s="22"/>
      <c r="LSX1" s="22"/>
      <c r="LSY1" s="22"/>
      <c r="LSZ1" s="22"/>
      <c r="LTA1" s="22"/>
      <c r="LTB1" s="22"/>
      <c r="LTC1" s="22"/>
      <c r="LTD1" s="22"/>
      <c r="LTE1" s="22"/>
      <c r="LTF1" s="22"/>
      <c r="LTG1" s="22"/>
      <c r="LTH1" s="22"/>
      <c r="LTI1" s="22"/>
      <c r="LTJ1" s="22"/>
      <c r="LTK1" s="22"/>
      <c r="LTL1" s="22"/>
      <c r="LTM1" s="22"/>
      <c r="LTN1" s="22"/>
      <c r="LTO1" s="22"/>
      <c r="LTP1" s="22"/>
      <c r="LTQ1" s="22"/>
      <c r="LTR1" s="22"/>
      <c r="LTS1" s="22"/>
      <c r="LTT1" s="22"/>
      <c r="LTU1" s="22"/>
      <c r="LTV1" s="22"/>
      <c r="LTW1" s="22"/>
      <c r="LTX1" s="22"/>
      <c r="LTY1" s="22"/>
      <c r="LTZ1" s="22"/>
      <c r="LUA1" s="22"/>
      <c r="LUB1" s="22"/>
      <c r="LUC1" s="22"/>
      <c r="LUD1" s="22"/>
      <c r="LUE1" s="22"/>
      <c r="LUF1" s="22"/>
      <c r="LUG1" s="22"/>
      <c r="LUH1" s="22"/>
      <c r="LUI1" s="22"/>
      <c r="LUJ1" s="22"/>
      <c r="LUK1" s="22"/>
      <c r="LUL1" s="22"/>
      <c r="LUM1" s="22"/>
      <c r="LUN1" s="22"/>
      <c r="LUO1" s="22"/>
      <c r="LUP1" s="22"/>
      <c r="LUQ1" s="22"/>
      <c r="LUR1" s="22"/>
      <c r="LUS1" s="22"/>
      <c r="LUT1" s="22"/>
      <c r="LUU1" s="22"/>
      <c r="LUV1" s="22"/>
      <c r="LUW1" s="22"/>
      <c r="LUX1" s="22"/>
      <c r="LUY1" s="22"/>
      <c r="LUZ1" s="22"/>
      <c r="LVA1" s="22"/>
      <c r="LVB1" s="22"/>
      <c r="LVC1" s="22"/>
      <c r="LVD1" s="22"/>
      <c r="LVE1" s="22"/>
      <c r="LVF1" s="22"/>
      <c r="LVG1" s="22"/>
      <c r="LVH1" s="22"/>
      <c r="LVI1" s="22"/>
      <c r="LVJ1" s="22"/>
      <c r="LVK1" s="22"/>
      <c r="LVL1" s="22"/>
      <c r="LVM1" s="22"/>
      <c r="LVN1" s="22"/>
      <c r="LVO1" s="22"/>
      <c r="LVP1" s="22"/>
      <c r="LVQ1" s="22"/>
      <c r="LVR1" s="22"/>
      <c r="LVS1" s="22"/>
      <c r="LVT1" s="22"/>
      <c r="LVU1" s="22"/>
      <c r="LVV1" s="22"/>
      <c r="LVW1" s="22"/>
      <c r="LVX1" s="22"/>
      <c r="LVY1" s="22"/>
      <c r="LVZ1" s="22"/>
      <c r="LWA1" s="22"/>
      <c r="LWB1" s="22"/>
      <c r="LWC1" s="22"/>
      <c r="LWD1" s="22"/>
      <c r="LWE1" s="22"/>
      <c r="LWF1" s="22"/>
      <c r="LWG1" s="22"/>
      <c r="LWH1" s="22"/>
      <c r="LWI1" s="22"/>
      <c r="LWJ1" s="22"/>
      <c r="LWK1" s="22"/>
      <c r="LWL1" s="22"/>
      <c r="LWM1" s="22"/>
      <c r="LWN1" s="22"/>
      <c r="LWO1" s="22"/>
      <c r="LWP1" s="22"/>
      <c r="LWQ1" s="22"/>
      <c r="LWR1" s="22"/>
      <c r="LWS1" s="22"/>
      <c r="LWT1" s="22"/>
      <c r="LWU1" s="22"/>
      <c r="LWV1" s="22"/>
      <c r="LWW1" s="22"/>
      <c r="LWX1" s="22"/>
      <c r="LWY1" s="22"/>
      <c r="LWZ1" s="22"/>
      <c r="LXA1" s="22"/>
      <c r="LXB1" s="22"/>
      <c r="LXC1" s="22"/>
      <c r="LXD1" s="22"/>
      <c r="LXE1" s="22"/>
      <c r="LXF1" s="22"/>
      <c r="LXG1" s="22"/>
      <c r="LXH1" s="22"/>
      <c r="LXI1" s="22"/>
      <c r="LXJ1" s="22"/>
      <c r="LXK1" s="22"/>
      <c r="LXL1" s="22"/>
      <c r="LXM1" s="22"/>
      <c r="LXN1" s="22"/>
      <c r="LXO1" s="22"/>
      <c r="LXP1" s="22"/>
      <c r="LXQ1" s="22"/>
      <c r="LXR1" s="22"/>
      <c r="LXS1" s="22"/>
      <c r="LXT1" s="22"/>
      <c r="LXU1" s="22"/>
      <c r="LXV1" s="22"/>
      <c r="LXW1" s="22"/>
      <c r="LXX1" s="22"/>
      <c r="LXY1" s="22"/>
      <c r="LXZ1" s="22"/>
      <c r="LYA1" s="22"/>
      <c r="LYB1" s="22"/>
      <c r="LYC1" s="22"/>
      <c r="LYD1" s="22"/>
      <c r="LYE1" s="22"/>
      <c r="LYF1" s="22"/>
      <c r="LYG1" s="22"/>
      <c r="LYH1" s="22"/>
      <c r="LYI1" s="22"/>
      <c r="LYJ1" s="22"/>
      <c r="LYK1" s="22"/>
      <c r="LYL1" s="22"/>
      <c r="LYM1" s="22"/>
      <c r="LYN1" s="22"/>
      <c r="LYO1" s="22"/>
      <c r="LYP1" s="22"/>
      <c r="LYQ1" s="22"/>
      <c r="LYR1" s="22"/>
      <c r="LYS1" s="22"/>
      <c r="LYT1" s="22"/>
      <c r="LYU1" s="22"/>
      <c r="LYV1" s="22"/>
      <c r="LYW1" s="22"/>
      <c r="LYX1" s="22"/>
      <c r="LYY1" s="22"/>
      <c r="LYZ1" s="22"/>
      <c r="LZA1" s="22"/>
      <c r="LZB1" s="22"/>
      <c r="LZC1" s="22"/>
      <c r="LZD1" s="22"/>
      <c r="LZE1" s="22"/>
      <c r="LZF1" s="22"/>
      <c r="LZG1" s="22"/>
      <c r="LZH1" s="22"/>
      <c r="LZI1" s="22"/>
      <c r="LZJ1" s="22"/>
      <c r="LZK1" s="22"/>
      <c r="LZL1" s="22"/>
      <c r="LZM1" s="22"/>
      <c r="LZN1" s="22"/>
      <c r="LZO1" s="22"/>
      <c r="LZP1" s="22"/>
      <c r="LZQ1" s="22"/>
      <c r="LZR1" s="22"/>
      <c r="LZS1" s="22"/>
      <c r="LZT1" s="22"/>
      <c r="LZU1" s="22"/>
      <c r="LZV1" s="22"/>
      <c r="LZW1" s="22"/>
      <c r="LZX1" s="22"/>
      <c r="LZY1" s="22"/>
      <c r="LZZ1" s="22"/>
      <c r="MAA1" s="22"/>
      <c r="MAB1" s="22"/>
      <c r="MAC1" s="22"/>
      <c r="MAD1" s="22"/>
      <c r="MAE1" s="22"/>
      <c r="MAF1" s="22"/>
      <c r="MAG1" s="22"/>
      <c r="MAH1" s="22"/>
      <c r="MAI1" s="22"/>
      <c r="MAJ1" s="22"/>
      <c r="MAK1" s="22"/>
      <c r="MAL1" s="22"/>
      <c r="MAM1" s="22"/>
      <c r="MAN1" s="22"/>
      <c r="MAO1" s="22"/>
      <c r="MAP1" s="22"/>
      <c r="MAQ1" s="22"/>
      <c r="MAR1" s="22"/>
      <c r="MAS1" s="22"/>
      <c r="MAT1" s="22"/>
      <c r="MAU1" s="22"/>
      <c r="MAV1" s="22"/>
      <c r="MAW1" s="22"/>
      <c r="MAX1" s="22"/>
      <c r="MAY1" s="22"/>
      <c r="MAZ1" s="22"/>
      <c r="MBA1" s="22"/>
      <c r="MBB1" s="22"/>
      <c r="MBC1" s="22"/>
      <c r="MBD1" s="22"/>
      <c r="MBE1" s="22"/>
      <c r="MBF1" s="22"/>
      <c r="MBG1" s="22"/>
      <c r="MBH1" s="22"/>
      <c r="MBI1" s="22"/>
      <c r="MBJ1" s="22"/>
      <c r="MBK1" s="22"/>
      <c r="MBL1" s="22"/>
      <c r="MBM1" s="22"/>
      <c r="MBN1" s="22"/>
      <c r="MBO1" s="22"/>
      <c r="MBP1" s="22"/>
      <c r="MBQ1" s="22"/>
      <c r="MBR1" s="22"/>
      <c r="MBS1" s="22"/>
      <c r="MBT1" s="22"/>
      <c r="MBU1" s="22"/>
      <c r="MBV1" s="22"/>
      <c r="MBW1" s="22"/>
      <c r="MBX1" s="22"/>
      <c r="MBY1" s="22"/>
      <c r="MBZ1" s="22"/>
      <c r="MCA1" s="22"/>
      <c r="MCB1" s="22"/>
      <c r="MCC1" s="22"/>
      <c r="MCD1" s="22"/>
      <c r="MCE1" s="22"/>
      <c r="MCF1" s="22"/>
      <c r="MCG1" s="22"/>
      <c r="MCH1" s="22"/>
      <c r="MCI1" s="22"/>
      <c r="MCJ1" s="22"/>
      <c r="MCK1" s="22"/>
      <c r="MCL1" s="22"/>
      <c r="MCM1" s="22"/>
      <c r="MCN1" s="22"/>
      <c r="MCO1" s="22"/>
      <c r="MCP1" s="22"/>
      <c r="MCQ1" s="22"/>
      <c r="MCR1" s="22"/>
      <c r="MCS1" s="22"/>
      <c r="MCT1" s="22"/>
      <c r="MCU1" s="22"/>
      <c r="MCV1" s="22"/>
      <c r="MCW1" s="22"/>
      <c r="MCX1" s="22"/>
      <c r="MCY1" s="22"/>
      <c r="MCZ1" s="22"/>
      <c r="MDA1" s="22"/>
      <c r="MDB1" s="22"/>
      <c r="MDC1" s="22"/>
      <c r="MDD1" s="22"/>
      <c r="MDE1" s="22"/>
      <c r="MDF1" s="22"/>
      <c r="MDG1" s="22"/>
      <c r="MDH1" s="22"/>
      <c r="MDI1" s="22"/>
      <c r="MDJ1" s="22"/>
      <c r="MDK1" s="22"/>
      <c r="MDL1" s="22"/>
      <c r="MDM1" s="22"/>
      <c r="MDN1" s="22"/>
      <c r="MDO1" s="22"/>
      <c r="MDP1" s="22"/>
      <c r="MDQ1" s="22"/>
      <c r="MDR1" s="22"/>
      <c r="MDS1" s="22"/>
      <c r="MDT1" s="22"/>
      <c r="MDU1" s="22"/>
      <c r="MDV1" s="22"/>
      <c r="MDW1" s="22"/>
      <c r="MDX1" s="22"/>
      <c r="MDY1" s="22"/>
      <c r="MDZ1" s="22"/>
      <c r="MEA1" s="22"/>
      <c r="MEB1" s="22"/>
      <c r="MEC1" s="22"/>
      <c r="MED1" s="22"/>
      <c r="MEE1" s="22"/>
      <c r="MEF1" s="22"/>
      <c r="MEG1" s="22"/>
      <c r="MEH1" s="22"/>
      <c r="MEI1" s="22"/>
      <c r="MEJ1" s="22"/>
      <c r="MEK1" s="22"/>
      <c r="MEL1" s="22"/>
      <c r="MEM1" s="22"/>
      <c r="MEN1" s="22"/>
      <c r="MEO1" s="22"/>
      <c r="MEP1" s="22"/>
      <c r="MEQ1" s="22"/>
      <c r="MER1" s="22"/>
      <c r="MES1" s="22"/>
      <c r="MET1" s="22"/>
      <c r="MEU1" s="22"/>
      <c r="MEV1" s="22"/>
      <c r="MEW1" s="22"/>
      <c r="MEX1" s="22"/>
      <c r="MEY1" s="22"/>
      <c r="MEZ1" s="22"/>
      <c r="MFA1" s="22"/>
      <c r="MFB1" s="22"/>
      <c r="MFC1" s="22"/>
      <c r="MFD1" s="22"/>
      <c r="MFE1" s="22"/>
      <c r="MFF1" s="22"/>
      <c r="MFG1" s="22"/>
      <c r="MFH1" s="22"/>
      <c r="MFI1" s="22"/>
      <c r="MFJ1" s="22"/>
      <c r="MFK1" s="22"/>
      <c r="MFL1" s="22"/>
      <c r="MFM1" s="22"/>
      <c r="MFN1" s="22"/>
      <c r="MFO1" s="22"/>
      <c r="MFP1" s="22"/>
      <c r="MFQ1" s="22"/>
      <c r="MFR1" s="22"/>
      <c r="MFS1" s="22"/>
      <c r="MFT1" s="22"/>
      <c r="MFU1" s="22"/>
      <c r="MFV1" s="22"/>
      <c r="MFW1" s="22"/>
      <c r="MFX1" s="22"/>
      <c r="MFY1" s="22"/>
      <c r="MFZ1" s="22"/>
      <c r="MGA1" s="22"/>
      <c r="MGB1" s="22"/>
      <c r="MGC1" s="22"/>
      <c r="MGD1" s="22"/>
      <c r="MGE1" s="22"/>
      <c r="MGF1" s="22"/>
      <c r="MGG1" s="22"/>
      <c r="MGH1" s="22"/>
      <c r="MGI1" s="22"/>
      <c r="MGJ1" s="22"/>
      <c r="MGK1" s="22"/>
      <c r="MGL1" s="22"/>
      <c r="MGM1" s="22"/>
      <c r="MGN1" s="22"/>
      <c r="MGO1" s="22"/>
      <c r="MGP1" s="22"/>
      <c r="MGQ1" s="22"/>
      <c r="MGR1" s="22"/>
      <c r="MGS1" s="22"/>
      <c r="MGT1" s="22"/>
      <c r="MGU1" s="22"/>
      <c r="MGV1" s="22"/>
      <c r="MGW1" s="22"/>
      <c r="MGX1" s="22"/>
      <c r="MGY1" s="22"/>
      <c r="MGZ1" s="22"/>
      <c r="MHA1" s="22"/>
      <c r="MHB1" s="22"/>
      <c r="MHC1" s="22"/>
      <c r="MHD1" s="22"/>
      <c r="MHE1" s="22"/>
      <c r="MHF1" s="22"/>
      <c r="MHG1" s="22"/>
      <c r="MHH1" s="22"/>
      <c r="MHI1" s="22"/>
      <c r="MHJ1" s="22"/>
      <c r="MHK1" s="22"/>
      <c r="MHL1" s="22"/>
      <c r="MHM1" s="22"/>
      <c r="MHN1" s="22"/>
      <c r="MHO1" s="22"/>
      <c r="MHP1" s="22"/>
      <c r="MHQ1" s="22"/>
      <c r="MHR1" s="22"/>
      <c r="MHS1" s="22"/>
      <c r="MHT1" s="22"/>
      <c r="MHU1" s="22"/>
      <c r="MHV1" s="22"/>
      <c r="MHW1" s="22"/>
      <c r="MHX1" s="22"/>
      <c r="MHY1" s="22"/>
      <c r="MHZ1" s="22"/>
      <c r="MIA1" s="22"/>
      <c r="MIB1" s="22"/>
      <c r="MIC1" s="22"/>
      <c r="MID1" s="22"/>
      <c r="MIE1" s="22"/>
      <c r="MIF1" s="22"/>
      <c r="MIG1" s="22"/>
      <c r="MIH1" s="22"/>
      <c r="MII1" s="22"/>
      <c r="MIJ1" s="22"/>
      <c r="MIK1" s="22"/>
      <c r="MIL1" s="22"/>
      <c r="MIM1" s="22"/>
      <c r="MIN1" s="22"/>
      <c r="MIO1" s="22"/>
      <c r="MIP1" s="22"/>
      <c r="MIQ1" s="22"/>
      <c r="MIR1" s="22"/>
      <c r="MIS1" s="22"/>
      <c r="MIT1" s="22"/>
      <c r="MIU1" s="22"/>
      <c r="MIV1" s="22"/>
      <c r="MIW1" s="22"/>
      <c r="MIX1" s="22"/>
      <c r="MIY1" s="22"/>
      <c r="MIZ1" s="22"/>
      <c r="MJA1" s="22"/>
      <c r="MJB1" s="22"/>
      <c r="MJC1" s="22"/>
      <c r="MJD1" s="22"/>
      <c r="MJE1" s="22"/>
      <c r="MJF1" s="22"/>
      <c r="MJG1" s="22"/>
      <c r="MJH1" s="22"/>
      <c r="MJI1" s="22"/>
      <c r="MJJ1" s="22"/>
      <c r="MJK1" s="22"/>
      <c r="MJL1" s="22"/>
      <c r="MJM1" s="22"/>
      <c r="MJN1" s="22"/>
      <c r="MJO1" s="22"/>
      <c r="MJP1" s="22"/>
      <c r="MJQ1" s="22"/>
      <c r="MJR1" s="22"/>
      <c r="MJS1" s="22"/>
      <c r="MJT1" s="22"/>
      <c r="MJU1" s="22"/>
      <c r="MJV1" s="22"/>
      <c r="MJW1" s="22"/>
      <c r="MJX1" s="22"/>
      <c r="MJY1" s="22"/>
      <c r="MJZ1" s="22"/>
      <c r="MKA1" s="22"/>
      <c r="MKB1" s="22"/>
      <c r="MKC1" s="22"/>
      <c r="MKD1" s="22"/>
      <c r="MKE1" s="22"/>
      <c r="MKF1" s="22"/>
      <c r="MKG1" s="22"/>
      <c r="MKH1" s="22"/>
      <c r="MKI1" s="22"/>
      <c r="MKJ1" s="22"/>
      <c r="MKK1" s="22"/>
      <c r="MKL1" s="22"/>
      <c r="MKM1" s="22"/>
      <c r="MKN1" s="22"/>
      <c r="MKO1" s="22"/>
      <c r="MKP1" s="22"/>
      <c r="MKQ1" s="22"/>
      <c r="MKR1" s="22"/>
      <c r="MKS1" s="22"/>
      <c r="MKT1" s="22"/>
      <c r="MKU1" s="22"/>
      <c r="MKV1" s="22"/>
      <c r="MKW1" s="22"/>
      <c r="MKX1" s="22"/>
      <c r="MKY1" s="22"/>
      <c r="MKZ1" s="22"/>
      <c r="MLA1" s="22"/>
      <c r="MLB1" s="22"/>
      <c r="MLC1" s="22"/>
      <c r="MLD1" s="22"/>
      <c r="MLE1" s="22"/>
      <c r="MLF1" s="22"/>
      <c r="MLG1" s="22"/>
      <c r="MLH1" s="22"/>
      <c r="MLI1" s="22"/>
      <c r="MLJ1" s="22"/>
      <c r="MLK1" s="22"/>
      <c r="MLL1" s="22"/>
      <c r="MLM1" s="22"/>
      <c r="MLN1" s="22"/>
      <c r="MLO1" s="22"/>
      <c r="MLP1" s="22"/>
      <c r="MLQ1" s="22"/>
      <c r="MLR1" s="22"/>
      <c r="MLS1" s="22"/>
      <c r="MLT1" s="22"/>
      <c r="MLU1" s="22"/>
      <c r="MLV1" s="22"/>
      <c r="MLW1" s="22"/>
      <c r="MLX1" s="22"/>
      <c r="MLY1" s="22"/>
      <c r="MLZ1" s="22"/>
      <c r="MMA1" s="22"/>
      <c r="MMB1" s="22"/>
      <c r="MMC1" s="22"/>
      <c r="MMD1" s="22"/>
      <c r="MME1" s="22"/>
      <c r="MMF1" s="22"/>
      <c r="MMG1" s="22"/>
      <c r="MMH1" s="22"/>
      <c r="MMI1" s="22"/>
      <c r="MMJ1" s="22"/>
      <c r="MMK1" s="22"/>
      <c r="MML1" s="22"/>
      <c r="MMM1" s="22"/>
      <c r="MMN1" s="22"/>
      <c r="MMO1" s="22"/>
      <c r="MMP1" s="22"/>
      <c r="MMQ1" s="22"/>
      <c r="MMR1" s="22"/>
      <c r="MMS1" s="22"/>
      <c r="MMT1" s="22"/>
      <c r="MMU1" s="22"/>
      <c r="MMV1" s="22"/>
      <c r="MMW1" s="22"/>
      <c r="MMX1" s="22"/>
      <c r="MMY1" s="22"/>
      <c r="MMZ1" s="22"/>
      <c r="MNA1" s="22"/>
      <c r="MNB1" s="22"/>
      <c r="MNC1" s="22"/>
      <c r="MND1" s="22"/>
      <c r="MNE1" s="22"/>
      <c r="MNF1" s="22"/>
      <c r="MNG1" s="22"/>
      <c r="MNH1" s="22"/>
      <c r="MNI1" s="22"/>
      <c r="MNJ1" s="22"/>
      <c r="MNK1" s="22"/>
      <c r="MNL1" s="22"/>
      <c r="MNM1" s="22"/>
      <c r="MNN1" s="22"/>
      <c r="MNO1" s="22"/>
      <c r="MNP1" s="22"/>
      <c r="MNQ1" s="22"/>
      <c r="MNR1" s="22"/>
      <c r="MNS1" s="22"/>
      <c r="MNT1" s="22"/>
      <c r="MNU1" s="22"/>
      <c r="MNV1" s="22"/>
      <c r="MNW1" s="22"/>
      <c r="MNX1" s="22"/>
      <c r="MNY1" s="22"/>
      <c r="MNZ1" s="22"/>
      <c r="MOA1" s="22"/>
      <c r="MOB1" s="22"/>
      <c r="MOC1" s="22"/>
      <c r="MOD1" s="22"/>
      <c r="MOE1" s="22"/>
      <c r="MOF1" s="22"/>
      <c r="MOG1" s="22"/>
      <c r="MOH1" s="22"/>
      <c r="MOI1" s="22"/>
      <c r="MOJ1" s="22"/>
      <c r="MOK1" s="22"/>
      <c r="MOL1" s="22"/>
      <c r="MOM1" s="22"/>
      <c r="MON1" s="22"/>
      <c r="MOO1" s="22"/>
      <c r="MOP1" s="22"/>
      <c r="MOQ1" s="22"/>
      <c r="MOR1" s="22"/>
      <c r="MOS1" s="22"/>
      <c r="MOT1" s="22"/>
      <c r="MOU1" s="22"/>
      <c r="MOV1" s="22"/>
      <c r="MOW1" s="22"/>
      <c r="MOX1" s="22"/>
      <c r="MOY1" s="22"/>
      <c r="MOZ1" s="22"/>
      <c r="MPA1" s="22"/>
      <c r="MPB1" s="22"/>
      <c r="MPC1" s="22"/>
      <c r="MPD1" s="22"/>
      <c r="MPE1" s="22"/>
      <c r="MPF1" s="22"/>
      <c r="MPG1" s="22"/>
      <c r="MPH1" s="22"/>
      <c r="MPI1" s="22"/>
      <c r="MPJ1" s="22"/>
      <c r="MPK1" s="22"/>
      <c r="MPL1" s="22"/>
      <c r="MPM1" s="22"/>
      <c r="MPN1" s="22"/>
      <c r="MPO1" s="22"/>
      <c r="MPP1" s="22"/>
      <c r="MPQ1" s="22"/>
      <c r="MPR1" s="22"/>
      <c r="MPS1" s="22"/>
      <c r="MPT1" s="22"/>
      <c r="MPU1" s="22"/>
      <c r="MPV1" s="22"/>
      <c r="MPW1" s="22"/>
      <c r="MPX1" s="22"/>
      <c r="MPY1" s="22"/>
      <c r="MPZ1" s="22"/>
      <c r="MQA1" s="22"/>
      <c r="MQB1" s="22"/>
      <c r="MQC1" s="22"/>
      <c r="MQD1" s="22"/>
      <c r="MQE1" s="22"/>
      <c r="MQF1" s="22"/>
      <c r="MQG1" s="22"/>
      <c r="MQH1" s="22"/>
      <c r="MQI1" s="22"/>
      <c r="MQJ1" s="22"/>
      <c r="MQK1" s="22"/>
      <c r="MQL1" s="22"/>
      <c r="MQM1" s="22"/>
      <c r="MQN1" s="22"/>
      <c r="MQO1" s="22"/>
      <c r="MQP1" s="22"/>
      <c r="MQQ1" s="22"/>
      <c r="MQR1" s="22"/>
      <c r="MQS1" s="22"/>
      <c r="MQT1" s="22"/>
      <c r="MQU1" s="22"/>
      <c r="MQV1" s="22"/>
      <c r="MQW1" s="22"/>
      <c r="MQX1" s="22"/>
      <c r="MQY1" s="22"/>
      <c r="MQZ1" s="22"/>
      <c r="MRA1" s="22"/>
      <c r="MRB1" s="22"/>
      <c r="MRC1" s="22"/>
      <c r="MRD1" s="22"/>
      <c r="MRE1" s="22"/>
      <c r="MRF1" s="22"/>
      <c r="MRG1" s="22"/>
      <c r="MRH1" s="22"/>
      <c r="MRI1" s="22"/>
      <c r="MRJ1" s="22"/>
      <c r="MRK1" s="22"/>
      <c r="MRL1" s="22"/>
      <c r="MRM1" s="22"/>
      <c r="MRN1" s="22"/>
      <c r="MRO1" s="22"/>
      <c r="MRP1" s="22"/>
      <c r="MRQ1" s="22"/>
      <c r="MRR1" s="22"/>
      <c r="MRS1" s="22"/>
      <c r="MRT1" s="22"/>
      <c r="MRU1" s="22"/>
      <c r="MRV1" s="22"/>
      <c r="MRW1" s="22"/>
      <c r="MRX1" s="22"/>
      <c r="MRY1" s="22"/>
      <c r="MRZ1" s="22"/>
      <c r="MSA1" s="22"/>
      <c r="MSB1" s="22"/>
      <c r="MSC1" s="22"/>
      <c r="MSD1" s="22"/>
      <c r="MSE1" s="22"/>
      <c r="MSF1" s="22"/>
      <c r="MSG1" s="22"/>
      <c r="MSH1" s="22"/>
      <c r="MSI1" s="22"/>
      <c r="MSJ1" s="22"/>
      <c r="MSK1" s="22"/>
      <c r="MSL1" s="22"/>
      <c r="MSM1" s="22"/>
      <c r="MSN1" s="22"/>
      <c r="MSO1" s="22"/>
      <c r="MSP1" s="22"/>
      <c r="MSQ1" s="22"/>
      <c r="MSR1" s="22"/>
      <c r="MSS1" s="22"/>
      <c r="MST1" s="22"/>
      <c r="MSU1" s="22"/>
      <c r="MSV1" s="22"/>
      <c r="MSW1" s="22"/>
      <c r="MSX1" s="22"/>
      <c r="MSY1" s="22"/>
      <c r="MSZ1" s="22"/>
      <c r="MTA1" s="22"/>
      <c r="MTB1" s="22"/>
      <c r="MTC1" s="22"/>
      <c r="MTD1" s="22"/>
      <c r="MTE1" s="22"/>
      <c r="MTF1" s="22"/>
      <c r="MTG1" s="22"/>
      <c r="MTH1" s="22"/>
      <c r="MTI1" s="22"/>
      <c r="MTJ1" s="22"/>
      <c r="MTK1" s="22"/>
      <c r="MTL1" s="22"/>
      <c r="MTM1" s="22"/>
      <c r="MTN1" s="22"/>
      <c r="MTO1" s="22"/>
      <c r="MTP1" s="22"/>
      <c r="MTQ1" s="22"/>
      <c r="MTR1" s="22"/>
      <c r="MTS1" s="22"/>
      <c r="MTT1" s="22"/>
      <c r="MTU1" s="22"/>
      <c r="MTV1" s="22"/>
      <c r="MTW1" s="22"/>
      <c r="MTX1" s="22"/>
      <c r="MTY1" s="22"/>
      <c r="MTZ1" s="22"/>
      <c r="MUA1" s="22"/>
      <c r="MUB1" s="22"/>
      <c r="MUC1" s="22"/>
      <c r="MUD1" s="22"/>
      <c r="MUE1" s="22"/>
      <c r="MUF1" s="22"/>
      <c r="MUG1" s="22"/>
      <c r="MUH1" s="22"/>
      <c r="MUI1" s="22"/>
      <c r="MUJ1" s="22"/>
      <c r="MUK1" s="22"/>
      <c r="MUL1" s="22"/>
      <c r="MUM1" s="22"/>
      <c r="MUN1" s="22"/>
      <c r="MUO1" s="22"/>
      <c r="MUP1" s="22"/>
      <c r="MUQ1" s="22"/>
      <c r="MUR1" s="22"/>
      <c r="MUS1" s="22"/>
      <c r="MUT1" s="22"/>
      <c r="MUU1" s="22"/>
      <c r="MUV1" s="22"/>
      <c r="MUW1" s="22"/>
      <c r="MUX1" s="22"/>
      <c r="MUY1" s="22"/>
      <c r="MUZ1" s="22"/>
      <c r="MVA1" s="22"/>
      <c r="MVB1" s="22"/>
      <c r="MVC1" s="22"/>
      <c r="MVD1" s="22"/>
      <c r="MVE1" s="22"/>
      <c r="MVF1" s="22"/>
      <c r="MVG1" s="22"/>
      <c r="MVH1" s="22"/>
      <c r="MVI1" s="22"/>
      <c r="MVJ1" s="22"/>
      <c r="MVK1" s="22"/>
      <c r="MVL1" s="22"/>
      <c r="MVM1" s="22"/>
      <c r="MVN1" s="22"/>
      <c r="MVO1" s="22"/>
      <c r="MVP1" s="22"/>
      <c r="MVQ1" s="22"/>
      <c r="MVR1" s="22"/>
      <c r="MVS1" s="22"/>
      <c r="MVT1" s="22"/>
      <c r="MVU1" s="22"/>
      <c r="MVV1" s="22"/>
      <c r="MVW1" s="22"/>
      <c r="MVX1" s="22"/>
      <c r="MVY1" s="22"/>
      <c r="MVZ1" s="22"/>
      <c r="MWA1" s="22"/>
      <c r="MWB1" s="22"/>
      <c r="MWC1" s="22"/>
      <c r="MWD1" s="22"/>
      <c r="MWE1" s="22"/>
      <c r="MWF1" s="22"/>
      <c r="MWG1" s="22"/>
      <c r="MWH1" s="22"/>
      <c r="MWI1" s="22"/>
      <c r="MWJ1" s="22"/>
      <c r="MWK1" s="22"/>
      <c r="MWL1" s="22"/>
      <c r="MWM1" s="22"/>
      <c r="MWN1" s="22"/>
      <c r="MWO1" s="22"/>
      <c r="MWP1" s="22"/>
      <c r="MWQ1" s="22"/>
      <c r="MWR1" s="22"/>
      <c r="MWS1" s="22"/>
      <c r="MWT1" s="22"/>
      <c r="MWU1" s="22"/>
      <c r="MWV1" s="22"/>
      <c r="MWW1" s="22"/>
      <c r="MWX1" s="22"/>
      <c r="MWY1" s="22"/>
      <c r="MWZ1" s="22"/>
      <c r="MXA1" s="22"/>
      <c r="MXB1" s="22"/>
      <c r="MXC1" s="22"/>
      <c r="MXD1" s="22"/>
      <c r="MXE1" s="22"/>
      <c r="MXF1" s="22"/>
      <c r="MXG1" s="22"/>
      <c r="MXH1" s="22"/>
      <c r="MXI1" s="22"/>
      <c r="MXJ1" s="22"/>
      <c r="MXK1" s="22"/>
      <c r="MXL1" s="22"/>
      <c r="MXM1" s="22"/>
      <c r="MXN1" s="22"/>
      <c r="MXO1" s="22"/>
      <c r="MXP1" s="22"/>
      <c r="MXQ1" s="22"/>
      <c r="MXR1" s="22"/>
      <c r="MXS1" s="22"/>
      <c r="MXT1" s="22"/>
      <c r="MXU1" s="22"/>
      <c r="MXV1" s="22"/>
      <c r="MXW1" s="22"/>
      <c r="MXX1" s="22"/>
      <c r="MXY1" s="22"/>
      <c r="MXZ1" s="22"/>
      <c r="MYA1" s="22"/>
      <c r="MYB1" s="22"/>
      <c r="MYC1" s="22"/>
      <c r="MYD1" s="22"/>
      <c r="MYE1" s="22"/>
      <c r="MYF1" s="22"/>
      <c r="MYG1" s="22"/>
      <c r="MYH1" s="22"/>
      <c r="MYI1" s="22"/>
      <c r="MYJ1" s="22"/>
      <c r="MYK1" s="22"/>
      <c r="MYL1" s="22"/>
      <c r="MYM1" s="22"/>
      <c r="MYN1" s="22"/>
      <c r="MYO1" s="22"/>
      <c r="MYP1" s="22"/>
      <c r="MYQ1" s="22"/>
      <c r="MYR1" s="22"/>
      <c r="MYS1" s="22"/>
      <c r="MYT1" s="22"/>
      <c r="MYU1" s="22"/>
      <c r="MYV1" s="22"/>
      <c r="MYW1" s="22"/>
      <c r="MYX1" s="22"/>
      <c r="MYY1" s="22"/>
      <c r="MYZ1" s="22"/>
      <c r="MZA1" s="22"/>
      <c r="MZB1" s="22"/>
      <c r="MZC1" s="22"/>
      <c r="MZD1" s="22"/>
      <c r="MZE1" s="22"/>
      <c r="MZF1" s="22"/>
      <c r="MZG1" s="22"/>
      <c r="MZH1" s="22"/>
      <c r="MZI1" s="22"/>
      <c r="MZJ1" s="22"/>
      <c r="MZK1" s="22"/>
      <c r="MZL1" s="22"/>
      <c r="MZM1" s="22"/>
      <c r="MZN1" s="22"/>
      <c r="MZO1" s="22"/>
      <c r="MZP1" s="22"/>
      <c r="MZQ1" s="22"/>
      <c r="MZR1" s="22"/>
      <c r="MZS1" s="22"/>
      <c r="MZT1" s="22"/>
      <c r="MZU1" s="22"/>
      <c r="MZV1" s="22"/>
      <c r="MZW1" s="22"/>
      <c r="MZX1" s="22"/>
      <c r="MZY1" s="22"/>
      <c r="MZZ1" s="22"/>
      <c r="NAA1" s="22"/>
      <c r="NAB1" s="22"/>
      <c r="NAC1" s="22"/>
      <c r="NAD1" s="22"/>
      <c r="NAE1" s="22"/>
      <c r="NAF1" s="22"/>
      <c r="NAG1" s="22"/>
      <c r="NAH1" s="22"/>
      <c r="NAI1" s="22"/>
      <c r="NAJ1" s="22"/>
      <c r="NAK1" s="22"/>
      <c r="NAL1" s="22"/>
      <c r="NAM1" s="22"/>
      <c r="NAN1" s="22"/>
      <c r="NAO1" s="22"/>
      <c r="NAP1" s="22"/>
      <c r="NAQ1" s="22"/>
      <c r="NAR1" s="22"/>
      <c r="NAS1" s="22"/>
      <c r="NAT1" s="22"/>
      <c r="NAU1" s="22"/>
      <c r="NAV1" s="22"/>
      <c r="NAW1" s="22"/>
      <c r="NAX1" s="22"/>
      <c r="NAY1" s="22"/>
      <c r="NAZ1" s="22"/>
      <c r="NBA1" s="22"/>
      <c r="NBB1" s="22"/>
      <c r="NBC1" s="22"/>
      <c r="NBD1" s="22"/>
      <c r="NBE1" s="22"/>
      <c r="NBF1" s="22"/>
      <c r="NBG1" s="22"/>
      <c r="NBH1" s="22"/>
      <c r="NBI1" s="22"/>
      <c r="NBJ1" s="22"/>
      <c r="NBK1" s="22"/>
      <c r="NBL1" s="22"/>
      <c r="NBM1" s="22"/>
      <c r="NBN1" s="22"/>
      <c r="NBO1" s="22"/>
      <c r="NBP1" s="22"/>
      <c r="NBQ1" s="22"/>
      <c r="NBR1" s="22"/>
      <c r="NBS1" s="22"/>
      <c r="NBT1" s="22"/>
      <c r="NBU1" s="22"/>
      <c r="NBV1" s="22"/>
      <c r="NBW1" s="22"/>
      <c r="NBX1" s="22"/>
      <c r="NBY1" s="22"/>
      <c r="NBZ1" s="22"/>
      <c r="NCA1" s="22"/>
      <c r="NCB1" s="22"/>
      <c r="NCC1" s="22"/>
      <c r="NCD1" s="22"/>
      <c r="NCE1" s="22"/>
      <c r="NCF1" s="22"/>
      <c r="NCG1" s="22"/>
      <c r="NCH1" s="22"/>
      <c r="NCI1" s="22"/>
      <c r="NCJ1" s="22"/>
      <c r="NCK1" s="22"/>
      <c r="NCL1" s="22"/>
      <c r="NCM1" s="22"/>
      <c r="NCN1" s="22"/>
      <c r="NCO1" s="22"/>
      <c r="NCP1" s="22"/>
      <c r="NCQ1" s="22"/>
      <c r="NCR1" s="22"/>
      <c r="NCS1" s="22"/>
      <c r="NCT1" s="22"/>
      <c r="NCU1" s="22"/>
      <c r="NCV1" s="22"/>
      <c r="NCW1" s="22"/>
      <c r="NCX1" s="22"/>
      <c r="NCY1" s="22"/>
      <c r="NCZ1" s="22"/>
      <c r="NDA1" s="22"/>
      <c r="NDB1" s="22"/>
      <c r="NDC1" s="22"/>
      <c r="NDD1" s="22"/>
      <c r="NDE1" s="22"/>
      <c r="NDF1" s="22"/>
      <c r="NDG1" s="22"/>
      <c r="NDH1" s="22"/>
      <c r="NDI1" s="22"/>
      <c r="NDJ1" s="22"/>
      <c r="NDK1" s="22"/>
      <c r="NDL1" s="22"/>
      <c r="NDM1" s="22"/>
      <c r="NDN1" s="22"/>
      <c r="NDO1" s="22"/>
      <c r="NDP1" s="22"/>
      <c r="NDQ1" s="22"/>
      <c r="NDR1" s="22"/>
      <c r="NDS1" s="22"/>
      <c r="NDT1" s="22"/>
      <c r="NDU1" s="22"/>
      <c r="NDV1" s="22"/>
      <c r="NDW1" s="22"/>
      <c r="NDX1" s="22"/>
      <c r="NDY1" s="22"/>
      <c r="NDZ1" s="22"/>
      <c r="NEA1" s="22"/>
      <c r="NEB1" s="22"/>
      <c r="NEC1" s="22"/>
      <c r="NED1" s="22"/>
      <c r="NEE1" s="22"/>
      <c r="NEF1" s="22"/>
      <c r="NEG1" s="22"/>
      <c r="NEH1" s="22"/>
      <c r="NEI1" s="22"/>
      <c r="NEJ1" s="22"/>
      <c r="NEK1" s="22"/>
      <c r="NEL1" s="22"/>
      <c r="NEM1" s="22"/>
      <c r="NEN1" s="22"/>
      <c r="NEO1" s="22"/>
      <c r="NEP1" s="22"/>
      <c r="NEQ1" s="22"/>
      <c r="NER1" s="22"/>
      <c r="NES1" s="22"/>
      <c r="NET1" s="22"/>
      <c r="NEU1" s="22"/>
      <c r="NEV1" s="22"/>
      <c r="NEW1" s="22"/>
      <c r="NEX1" s="22"/>
      <c r="NEY1" s="22"/>
      <c r="NEZ1" s="22"/>
      <c r="NFA1" s="22"/>
      <c r="NFB1" s="22"/>
      <c r="NFC1" s="22"/>
      <c r="NFD1" s="22"/>
      <c r="NFE1" s="22"/>
      <c r="NFF1" s="22"/>
      <c r="NFG1" s="22"/>
      <c r="NFH1" s="22"/>
      <c r="NFI1" s="22"/>
      <c r="NFJ1" s="22"/>
      <c r="NFK1" s="22"/>
      <c r="NFL1" s="22"/>
      <c r="NFM1" s="22"/>
      <c r="NFN1" s="22"/>
      <c r="NFO1" s="22"/>
      <c r="NFP1" s="22"/>
      <c r="NFQ1" s="22"/>
      <c r="NFR1" s="22"/>
      <c r="NFS1" s="22"/>
      <c r="NFT1" s="22"/>
      <c r="NFU1" s="22"/>
      <c r="NFV1" s="22"/>
      <c r="NFW1" s="22"/>
      <c r="NFX1" s="22"/>
      <c r="NFY1" s="22"/>
      <c r="NFZ1" s="22"/>
      <c r="NGA1" s="22"/>
      <c r="NGB1" s="22"/>
      <c r="NGC1" s="22"/>
      <c r="NGD1" s="22"/>
      <c r="NGE1" s="22"/>
      <c r="NGF1" s="22"/>
      <c r="NGG1" s="22"/>
      <c r="NGH1" s="22"/>
      <c r="NGI1" s="22"/>
      <c r="NGJ1" s="22"/>
      <c r="NGK1" s="22"/>
      <c r="NGL1" s="22"/>
      <c r="NGM1" s="22"/>
      <c r="NGN1" s="22"/>
      <c r="NGO1" s="22"/>
      <c r="NGP1" s="22"/>
      <c r="NGQ1" s="22"/>
      <c r="NGR1" s="22"/>
      <c r="NGS1" s="22"/>
      <c r="NGT1" s="22"/>
      <c r="NGU1" s="22"/>
      <c r="NGV1" s="22"/>
      <c r="NGW1" s="22"/>
      <c r="NGX1" s="22"/>
      <c r="NGY1" s="22"/>
      <c r="NGZ1" s="22"/>
      <c r="NHA1" s="22"/>
      <c r="NHB1" s="22"/>
      <c r="NHC1" s="22"/>
      <c r="NHD1" s="22"/>
      <c r="NHE1" s="22"/>
      <c r="NHF1" s="22"/>
      <c r="NHG1" s="22"/>
      <c r="NHH1" s="22"/>
      <c r="NHI1" s="22"/>
      <c r="NHJ1" s="22"/>
      <c r="NHK1" s="22"/>
      <c r="NHL1" s="22"/>
      <c r="NHM1" s="22"/>
      <c r="NHN1" s="22"/>
      <c r="NHO1" s="22"/>
      <c r="NHP1" s="22"/>
      <c r="NHQ1" s="22"/>
      <c r="NHR1" s="22"/>
      <c r="NHS1" s="22"/>
      <c r="NHT1" s="22"/>
      <c r="NHU1" s="22"/>
      <c r="NHV1" s="22"/>
      <c r="NHW1" s="22"/>
      <c r="NHX1" s="22"/>
      <c r="NHY1" s="22"/>
      <c r="NHZ1" s="22"/>
      <c r="NIA1" s="22"/>
      <c r="NIB1" s="22"/>
      <c r="NIC1" s="22"/>
      <c r="NID1" s="22"/>
      <c r="NIE1" s="22"/>
      <c r="NIF1" s="22"/>
      <c r="NIG1" s="22"/>
      <c r="NIH1" s="22"/>
      <c r="NII1" s="22"/>
      <c r="NIJ1" s="22"/>
      <c r="NIK1" s="22"/>
      <c r="NIL1" s="22"/>
      <c r="NIM1" s="22"/>
      <c r="NIN1" s="22"/>
      <c r="NIO1" s="22"/>
      <c r="NIP1" s="22"/>
      <c r="NIQ1" s="22"/>
      <c r="NIR1" s="22"/>
      <c r="NIS1" s="22"/>
      <c r="NIT1" s="22"/>
      <c r="NIU1" s="22"/>
      <c r="NIV1" s="22"/>
      <c r="NIW1" s="22"/>
      <c r="NIX1" s="22"/>
      <c r="NIY1" s="22"/>
      <c r="NIZ1" s="22"/>
      <c r="NJA1" s="22"/>
      <c r="NJB1" s="22"/>
      <c r="NJC1" s="22"/>
      <c r="NJD1" s="22"/>
      <c r="NJE1" s="22"/>
      <c r="NJF1" s="22"/>
      <c r="NJG1" s="22"/>
      <c r="NJH1" s="22"/>
      <c r="NJI1" s="22"/>
      <c r="NJJ1" s="22"/>
      <c r="NJK1" s="22"/>
      <c r="NJL1" s="22"/>
      <c r="NJM1" s="22"/>
      <c r="NJN1" s="22"/>
      <c r="NJO1" s="22"/>
      <c r="NJP1" s="22"/>
      <c r="NJQ1" s="22"/>
      <c r="NJR1" s="22"/>
      <c r="NJS1" s="22"/>
      <c r="NJT1" s="22"/>
      <c r="NJU1" s="22"/>
      <c r="NJV1" s="22"/>
      <c r="NJW1" s="22"/>
      <c r="NJX1" s="22"/>
      <c r="NJY1" s="22"/>
      <c r="NJZ1" s="22"/>
      <c r="NKA1" s="22"/>
      <c r="NKB1" s="22"/>
      <c r="NKC1" s="22"/>
      <c r="NKD1" s="22"/>
      <c r="NKE1" s="22"/>
      <c r="NKF1" s="22"/>
      <c r="NKG1" s="22"/>
      <c r="NKH1" s="22"/>
      <c r="NKI1" s="22"/>
      <c r="NKJ1" s="22"/>
      <c r="NKK1" s="22"/>
      <c r="NKL1" s="22"/>
      <c r="NKM1" s="22"/>
      <c r="NKN1" s="22"/>
      <c r="NKO1" s="22"/>
      <c r="NKP1" s="22"/>
      <c r="NKQ1" s="22"/>
      <c r="NKR1" s="22"/>
      <c r="NKS1" s="22"/>
      <c r="NKT1" s="22"/>
      <c r="NKU1" s="22"/>
      <c r="NKV1" s="22"/>
      <c r="NKW1" s="22"/>
      <c r="NKX1" s="22"/>
      <c r="NKY1" s="22"/>
      <c r="NKZ1" s="22"/>
      <c r="NLA1" s="22"/>
      <c r="NLB1" s="22"/>
      <c r="NLC1" s="22"/>
      <c r="NLD1" s="22"/>
      <c r="NLE1" s="22"/>
      <c r="NLF1" s="22"/>
      <c r="NLG1" s="22"/>
      <c r="NLH1" s="22"/>
      <c r="NLI1" s="22"/>
      <c r="NLJ1" s="22"/>
      <c r="NLK1" s="22"/>
      <c r="NLL1" s="22"/>
      <c r="NLM1" s="22"/>
      <c r="NLN1" s="22"/>
      <c r="NLO1" s="22"/>
      <c r="NLP1" s="22"/>
      <c r="NLQ1" s="22"/>
      <c r="NLR1" s="22"/>
      <c r="NLS1" s="22"/>
      <c r="NLT1" s="22"/>
      <c r="NLU1" s="22"/>
      <c r="NLV1" s="22"/>
      <c r="NLW1" s="22"/>
      <c r="NLX1" s="22"/>
      <c r="NLY1" s="22"/>
      <c r="NLZ1" s="22"/>
      <c r="NMA1" s="22"/>
      <c r="NMB1" s="22"/>
      <c r="NMC1" s="22"/>
      <c r="NMD1" s="22"/>
      <c r="NME1" s="22"/>
      <c r="NMF1" s="22"/>
      <c r="NMG1" s="22"/>
      <c r="NMH1" s="22"/>
      <c r="NMI1" s="22"/>
      <c r="NMJ1" s="22"/>
      <c r="NMK1" s="22"/>
      <c r="NML1" s="22"/>
      <c r="NMM1" s="22"/>
      <c r="NMN1" s="22"/>
      <c r="NMO1" s="22"/>
      <c r="NMP1" s="22"/>
      <c r="NMQ1" s="22"/>
      <c r="NMR1" s="22"/>
      <c r="NMS1" s="22"/>
      <c r="NMT1" s="22"/>
      <c r="NMU1" s="22"/>
      <c r="NMV1" s="22"/>
      <c r="NMW1" s="22"/>
      <c r="NMX1" s="22"/>
      <c r="NMY1" s="22"/>
      <c r="NMZ1" s="22"/>
      <c r="NNA1" s="22"/>
      <c r="NNB1" s="22"/>
      <c r="NNC1" s="22"/>
      <c r="NND1" s="22"/>
      <c r="NNE1" s="22"/>
      <c r="NNF1" s="22"/>
      <c r="NNG1" s="22"/>
      <c r="NNH1" s="22"/>
      <c r="NNI1" s="22"/>
      <c r="NNJ1" s="22"/>
      <c r="NNK1" s="22"/>
      <c r="NNL1" s="22"/>
      <c r="NNM1" s="22"/>
      <c r="NNN1" s="22"/>
      <c r="NNO1" s="22"/>
      <c r="NNP1" s="22"/>
      <c r="NNQ1" s="22"/>
      <c r="NNR1" s="22"/>
      <c r="NNS1" s="22"/>
      <c r="NNT1" s="22"/>
      <c r="NNU1" s="22"/>
      <c r="NNV1" s="22"/>
      <c r="NNW1" s="22"/>
      <c r="NNX1" s="22"/>
      <c r="NNY1" s="22"/>
      <c r="NNZ1" s="22"/>
      <c r="NOA1" s="22"/>
      <c r="NOB1" s="22"/>
      <c r="NOC1" s="22"/>
      <c r="NOD1" s="22"/>
      <c r="NOE1" s="22"/>
      <c r="NOF1" s="22"/>
      <c r="NOG1" s="22"/>
      <c r="NOH1" s="22"/>
      <c r="NOI1" s="22"/>
      <c r="NOJ1" s="22"/>
      <c r="NOK1" s="22"/>
      <c r="NOL1" s="22"/>
      <c r="NOM1" s="22"/>
      <c r="NON1" s="22"/>
      <c r="NOO1" s="22"/>
      <c r="NOP1" s="22"/>
      <c r="NOQ1" s="22"/>
      <c r="NOR1" s="22"/>
      <c r="NOS1" s="22"/>
      <c r="NOT1" s="22"/>
      <c r="NOU1" s="22"/>
      <c r="NOV1" s="22"/>
      <c r="NOW1" s="22"/>
      <c r="NOX1" s="22"/>
      <c r="NOY1" s="22"/>
      <c r="NOZ1" s="22"/>
      <c r="NPA1" s="22"/>
      <c r="NPB1" s="22"/>
      <c r="NPC1" s="22"/>
      <c r="NPD1" s="22"/>
      <c r="NPE1" s="22"/>
      <c r="NPF1" s="22"/>
      <c r="NPG1" s="22"/>
      <c r="NPH1" s="22"/>
      <c r="NPI1" s="22"/>
      <c r="NPJ1" s="22"/>
      <c r="NPK1" s="22"/>
      <c r="NPL1" s="22"/>
      <c r="NPM1" s="22"/>
      <c r="NPN1" s="22"/>
      <c r="NPO1" s="22"/>
      <c r="NPP1" s="22"/>
      <c r="NPQ1" s="22"/>
      <c r="NPR1" s="22"/>
      <c r="NPS1" s="22"/>
      <c r="NPT1" s="22"/>
      <c r="NPU1" s="22"/>
      <c r="NPV1" s="22"/>
      <c r="NPW1" s="22"/>
      <c r="NPX1" s="22"/>
      <c r="NPY1" s="22"/>
      <c r="NPZ1" s="22"/>
      <c r="NQA1" s="22"/>
      <c r="NQB1" s="22"/>
      <c r="NQC1" s="22"/>
      <c r="NQD1" s="22"/>
      <c r="NQE1" s="22"/>
      <c r="NQF1" s="22"/>
      <c r="NQG1" s="22"/>
      <c r="NQH1" s="22"/>
      <c r="NQI1" s="22"/>
      <c r="NQJ1" s="22"/>
      <c r="NQK1" s="22"/>
      <c r="NQL1" s="22"/>
      <c r="NQM1" s="22"/>
      <c r="NQN1" s="22"/>
      <c r="NQO1" s="22"/>
      <c r="NQP1" s="22"/>
      <c r="NQQ1" s="22"/>
      <c r="NQR1" s="22"/>
      <c r="NQS1" s="22"/>
      <c r="NQT1" s="22"/>
      <c r="NQU1" s="22"/>
      <c r="NQV1" s="22"/>
      <c r="NQW1" s="22"/>
      <c r="NQX1" s="22"/>
      <c r="NQY1" s="22"/>
      <c r="NQZ1" s="22"/>
      <c r="NRA1" s="22"/>
      <c r="NRB1" s="22"/>
      <c r="NRC1" s="22"/>
      <c r="NRD1" s="22"/>
      <c r="NRE1" s="22"/>
      <c r="NRF1" s="22"/>
      <c r="NRG1" s="22"/>
      <c r="NRH1" s="22"/>
      <c r="NRI1" s="22"/>
      <c r="NRJ1" s="22"/>
      <c r="NRK1" s="22"/>
      <c r="NRL1" s="22"/>
      <c r="NRM1" s="22"/>
      <c r="NRN1" s="22"/>
      <c r="NRO1" s="22"/>
      <c r="NRP1" s="22"/>
      <c r="NRQ1" s="22"/>
      <c r="NRR1" s="22"/>
      <c r="NRS1" s="22"/>
      <c r="NRT1" s="22"/>
      <c r="NRU1" s="22"/>
      <c r="NRV1" s="22"/>
      <c r="NRW1" s="22"/>
      <c r="NRX1" s="22"/>
      <c r="NRY1" s="22"/>
      <c r="NRZ1" s="22"/>
      <c r="NSA1" s="22"/>
      <c r="NSB1" s="22"/>
      <c r="NSC1" s="22"/>
      <c r="NSD1" s="22"/>
      <c r="NSE1" s="22"/>
      <c r="NSF1" s="22"/>
      <c r="NSG1" s="22"/>
      <c r="NSH1" s="22"/>
      <c r="NSI1" s="22"/>
      <c r="NSJ1" s="22"/>
      <c r="NSK1" s="22"/>
      <c r="NSL1" s="22"/>
      <c r="NSM1" s="22"/>
      <c r="NSN1" s="22"/>
      <c r="NSO1" s="22"/>
      <c r="NSP1" s="22"/>
      <c r="NSQ1" s="22"/>
      <c r="NSR1" s="22"/>
      <c r="NSS1" s="22"/>
      <c r="NST1" s="22"/>
      <c r="NSU1" s="22"/>
      <c r="NSV1" s="22"/>
      <c r="NSW1" s="22"/>
      <c r="NSX1" s="22"/>
      <c r="NSY1" s="22"/>
      <c r="NSZ1" s="22"/>
      <c r="NTA1" s="22"/>
      <c r="NTB1" s="22"/>
      <c r="NTC1" s="22"/>
      <c r="NTD1" s="22"/>
      <c r="NTE1" s="22"/>
      <c r="NTF1" s="22"/>
      <c r="NTG1" s="22"/>
      <c r="NTH1" s="22"/>
      <c r="NTI1" s="22"/>
      <c r="NTJ1" s="22"/>
      <c r="NTK1" s="22"/>
      <c r="NTL1" s="22"/>
      <c r="NTM1" s="22"/>
      <c r="NTN1" s="22"/>
      <c r="NTO1" s="22"/>
      <c r="NTP1" s="22"/>
      <c r="NTQ1" s="22"/>
      <c r="NTR1" s="22"/>
      <c r="NTS1" s="22"/>
      <c r="NTT1" s="22"/>
      <c r="NTU1" s="22"/>
      <c r="NTV1" s="22"/>
      <c r="NTW1" s="22"/>
      <c r="NTX1" s="22"/>
      <c r="NTY1" s="22"/>
      <c r="NTZ1" s="22"/>
      <c r="NUA1" s="22"/>
      <c r="NUB1" s="22"/>
      <c r="NUC1" s="22"/>
      <c r="NUD1" s="22"/>
      <c r="NUE1" s="22"/>
      <c r="NUF1" s="22"/>
      <c r="NUG1" s="22"/>
      <c r="NUH1" s="22"/>
      <c r="NUI1" s="22"/>
      <c r="NUJ1" s="22"/>
      <c r="NUK1" s="22"/>
      <c r="NUL1" s="22"/>
      <c r="NUM1" s="22"/>
      <c r="NUN1" s="22"/>
      <c r="NUO1" s="22"/>
      <c r="NUP1" s="22"/>
      <c r="NUQ1" s="22"/>
      <c r="NUR1" s="22"/>
      <c r="NUS1" s="22"/>
      <c r="NUT1" s="22"/>
      <c r="NUU1" s="22"/>
      <c r="NUV1" s="22"/>
      <c r="NUW1" s="22"/>
      <c r="NUX1" s="22"/>
      <c r="NUY1" s="22"/>
      <c r="NUZ1" s="22"/>
      <c r="NVA1" s="22"/>
      <c r="NVB1" s="22"/>
      <c r="NVC1" s="22"/>
      <c r="NVD1" s="22"/>
      <c r="NVE1" s="22"/>
      <c r="NVF1" s="22"/>
      <c r="NVG1" s="22"/>
      <c r="NVH1" s="22"/>
      <c r="NVI1" s="22"/>
      <c r="NVJ1" s="22"/>
      <c r="NVK1" s="22"/>
      <c r="NVL1" s="22"/>
      <c r="NVM1" s="22"/>
      <c r="NVN1" s="22"/>
      <c r="NVO1" s="22"/>
      <c r="NVP1" s="22"/>
      <c r="NVQ1" s="22"/>
      <c r="NVR1" s="22"/>
      <c r="NVS1" s="22"/>
      <c r="NVT1" s="22"/>
      <c r="NVU1" s="22"/>
      <c r="NVV1" s="22"/>
      <c r="NVW1" s="22"/>
      <c r="NVX1" s="22"/>
      <c r="NVY1" s="22"/>
      <c r="NVZ1" s="22"/>
      <c r="NWA1" s="22"/>
      <c r="NWB1" s="22"/>
      <c r="NWC1" s="22"/>
      <c r="NWD1" s="22"/>
      <c r="NWE1" s="22"/>
      <c r="NWF1" s="22"/>
      <c r="NWG1" s="22"/>
      <c r="NWH1" s="22"/>
      <c r="NWI1" s="22"/>
      <c r="NWJ1" s="22"/>
      <c r="NWK1" s="22"/>
      <c r="NWL1" s="22"/>
      <c r="NWM1" s="22"/>
      <c r="NWN1" s="22"/>
      <c r="NWO1" s="22"/>
      <c r="NWP1" s="22"/>
      <c r="NWQ1" s="22"/>
      <c r="NWR1" s="22"/>
      <c r="NWS1" s="22"/>
      <c r="NWT1" s="22"/>
      <c r="NWU1" s="22"/>
      <c r="NWV1" s="22"/>
      <c r="NWW1" s="22"/>
      <c r="NWX1" s="22"/>
      <c r="NWY1" s="22"/>
      <c r="NWZ1" s="22"/>
      <c r="NXA1" s="22"/>
      <c r="NXB1" s="22"/>
      <c r="NXC1" s="22"/>
      <c r="NXD1" s="22"/>
      <c r="NXE1" s="22"/>
      <c r="NXF1" s="22"/>
      <c r="NXG1" s="22"/>
      <c r="NXH1" s="22"/>
      <c r="NXI1" s="22"/>
      <c r="NXJ1" s="22"/>
      <c r="NXK1" s="22"/>
      <c r="NXL1" s="22"/>
      <c r="NXM1" s="22"/>
      <c r="NXN1" s="22"/>
      <c r="NXO1" s="22"/>
      <c r="NXP1" s="22"/>
      <c r="NXQ1" s="22"/>
      <c r="NXR1" s="22"/>
      <c r="NXS1" s="22"/>
      <c r="NXT1" s="22"/>
      <c r="NXU1" s="22"/>
      <c r="NXV1" s="22"/>
      <c r="NXW1" s="22"/>
      <c r="NXX1" s="22"/>
      <c r="NXY1" s="22"/>
      <c r="NXZ1" s="22"/>
      <c r="NYA1" s="22"/>
      <c r="NYB1" s="22"/>
      <c r="NYC1" s="22"/>
      <c r="NYD1" s="22"/>
      <c r="NYE1" s="22"/>
      <c r="NYF1" s="22"/>
      <c r="NYG1" s="22"/>
      <c r="NYH1" s="22"/>
      <c r="NYI1" s="22"/>
      <c r="NYJ1" s="22"/>
      <c r="NYK1" s="22"/>
      <c r="NYL1" s="22"/>
      <c r="NYM1" s="22"/>
      <c r="NYN1" s="22"/>
      <c r="NYO1" s="22"/>
      <c r="NYP1" s="22"/>
      <c r="NYQ1" s="22"/>
      <c r="NYR1" s="22"/>
      <c r="NYS1" s="22"/>
      <c r="NYT1" s="22"/>
      <c r="NYU1" s="22"/>
      <c r="NYV1" s="22"/>
      <c r="NYW1" s="22"/>
      <c r="NYX1" s="22"/>
      <c r="NYY1" s="22"/>
      <c r="NYZ1" s="22"/>
      <c r="NZA1" s="22"/>
      <c r="NZB1" s="22"/>
      <c r="NZC1" s="22"/>
      <c r="NZD1" s="22"/>
      <c r="NZE1" s="22"/>
      <c r="NZF1" s="22"/>
      <c r="NZG1" s="22"/>
      <c r="NZH1" s="22"/>
      <c r="NZI1" s="22"/>
      <c r="NZJ1" s="22"/>
      <c r="NZK1" s="22"/>
      <c r="NZL1" s="22"/>
      <c r="NZM1" s="22"/>
      <c r="NZN1" s="22"/>
      <c r="NZO1" s="22"/>
      <c r="NZP1" s="22"/>
      <c r="NZQ1" s="22"/>
      <c r="NZR1" s="22"/>
      <c r="NZS1" s="22"/>
      <c r="NZT1" s="22"/>
      <c r="NZU1" s="22"/>
      <c r="NZV1" s="22"/>
      <c r="NZW1" s="22"/>
      <c r="NZX1" s="22"/>
      <c r="NZY1" s="22"/>
      <c r="NZZ1" s="22"/>
      <c r="OAA1" s="22"/>
      <c r="OAB1" s="22"/>
      <c r="OAC1" s="22"/>
      <c r="OAD1" s="22"/>
      <c r="OAE1" s="22"/>
      <c r="OAF1" s="22"/>
      <c r="OAG1" s="22"/>
      <c r="OAH1" s="22"/>
      <c r="OAI1" s="22"/>
      <c r="OAJ1" s="22"/>
      <c r="OAK1" s="22"/>
      <c r="OAL1" s="22"/>
      <c r="OAM1" s="22"/>
      <c r="OAN1" s="22"/>
      <c r="OAO1" s="22"/>
      <c r="OAP1" s="22"/>
      <c r="OAQ1" s="22"/>
      <c r="OAR1" s="22"/>
      <c r="OAS1" s="22"/>
      <c r="OAT1" s="22"/>
      <c r="OAU1" s="22"/>
      <c r="OAV1" s="22"/>
      <c r="OAW1" s="22"/>
      <c r="OAX1" s="22"/>
      <c r="OAY1" s="22"/>
      <c r="OAZ1" s="22"/>
      <c r="OBA1" s="22"/>
      <c r="OBB1" s="22"/>
      <c r="OBC1" s="22"/>
      <c r="OBD1" s="22"/>
      <c r="OBE1" s="22"/>
      <c r="OBF1" s="22"/>
      <c r="OBG1" s="22"/>
      <c r="OBH1" s="22"/>
      <c r="OBI1" s="22"/>
      <c r="OBJ1" s="22"/>
      <c r="OBK1" s="22"/>
      <c r="OBL1" s="22"/>
      <c r="OBM1" s="22"/>
      <c r="OBN1" s="22"/>
      <c r="OBO1" s="22"/>
      <c r="OBP1" s="22"/>
      <c r="OBQ1" s="22"/>
      <c r="OBR1" s="22"/>
      <c r="OBS1" s="22"/>
      <c r="OBT1" s="22"/>
      <c r="OBU1" s="22"/>
      <c r="OBV1" s="22"/>
      <c r="OBW1" s="22"/>
      <c r="OBX1" s="22"/>
      <c r="OBY1" s="22"/>
      <c r="OBZ1" s="22"/>
      <c r="OCA1" s="22"/>
      <c r="OCB1" s="22"/>
      <c r="OCC1" s="22"/>
      <c r="OCD1" s="22"/>
      <c r="OCE1" s="22"/>
      <c r="OCF1" s="22"/>
      <c r="OCG1" s="22"/>
      <c r="OCH1" s="22"/>
      <c r="OCI1" s="22"/>
      <c r="OCJ1" s="22"/>
      <c r="OCK1" s="22"/>
      <c r="OCL1" s="22"/>
      <c r="OCM1" s="22"/>
      <c r="OCN1" s="22"/>
      <c r="OCO1" s="22"/>
      <c r="OCP1" s="22"/>
      <c r="OCQ1" s="22"/>
      <c r="OCR1" s="22"/>
      <c r="OCS1" s="22"/>
      <c r="OCT1" s="22"/>
      <c r="OCU1" s="22"/>
      <c r="OCV1" s="22"/>
      <c r="OCW1" s="22"/>
      <c r="OCX1" s="22"/>
      <c r="OCY1" s="22"/>
      <c r="OCZ1" s="22"/>
      <c r="ODA1" s="22"/>
      <c r="ODB1" s="22"/>
      <c r="ODC1" s="22"/>
      <c r="ODD1" s="22"/>
      <c r="ODE1" s="22"/>
      <c r="ODF1" s="22"/>
      <c r="ODG1" s="22"/>
      <c r="ODH1" s="22"/>
      <c r="ODI1" s="22"/>
      <c r="ODJ1" s="22"/>
      <c r="ODK1" s="22"/>
      <c r="ODL1" s="22"/>
      <c r="ODM1" s="22"/>
      <c r="ODN1" s="22"/>
      <c r="ODO1" s="22"/>
      <c r="ODP1" s="22"/>
      <c r="ODQ1" s="22"/>
      <c r="ODR1" s="22"/>
      <c r="ODS1" s="22"/>
      <c r="ODT1" s="22"/>
      <c r="ODU1" s="22"/>
      <c r="ODV1" s="22"/>
      <c r="ODW1" s="22"/>
      <c r="ODX1" s="22"/>
      <c r="ODY1" s="22"/>
      <c r="ODZ1" s="22"/>
      <c r="OEA1" s="22"/>
      <c r="OEB1" s="22"/>
      <c r="OEC1" s="22"/>
      <c r="OED1" s="22"/>
      <c r="OEE1" s="22"/>
      <c r="OEF1" s="22"/>
      <c r="OEG1" s="22"/>
      <c r="OEH1" s="22"/>
      <c r="OEI1" s="22"/>
      <c r="OEJ1" s="22"/>
      <c r="OEK1" s="22"/>
      <c r="OEL1" s="22"/>
      <c r="OEM1" s="22"/>
      <c r="OEN1" s="22"/>
      <c r="OEO1" s="22"/>
      <c r="OEP1" s="22"/>
      <c r="OEQ1" s="22"/>
      <c r="OER1" s="22"/>
      <c r="OES1" s="22"/>
      <c r="OET1" s="22"/>
      <c r="OEU1" s="22"/>
      <c r="OEV1" s="22"/>
      <c r="OEW1" s="22"/>
      <c r="OEX1" s="22"/>
      <c r="OEY1" s="22"/>
      <c r="OEZ1" s="22"/>
      <c r="OFA1" s="22"/>
      <c r="OFB1" s="22"/>
      <c r="OFC1" s="22"/>
      <c r="OFD1" s="22"/>
      <c r="OFE1" s="22"/>
      <c r="OFF1" s="22"/>
      <c r="OFG1" s="22"/>
      <c r="OFH1" s="22"/>
      <c r="OFI1" s="22"/>
      <c r="OFJ1" s="22"/>
      <c r="OFK1" s="22"/>
      <c r="OFL1" s="22"/>
      <c r="OFM1" s="22"/>
      <c r="OFN1" s="22"/>
      <c r="OFO1" s="22"/>
      <c r="OFP1" s="22"/>
      <c r="OFQ1" s="22"/>
      <c r="OFR1" s="22"/>
      <c r="OFS1" s="22"/>
      <c r="OFT1" s="22"/>
      <c r="OFU1" s="22"/>
      <c r="OFV1" s="22"/>
      <c r="OFW1" s="22"/>
      <c r="OFX1" s="22"/>
      <c r="OFY1" s="22"/>
      <c r="OFZ1" s="22"/>
      <c r="OGA1" s="22"/>
      <c r="OGB1" s="22"/>
      <c r="OGC1" s="22"/>
      <c r="OGD1" s="22"/>
      <c r="OGE1" s="22"/>
      <c r="OGF1" s="22"/>
      <c r="OGG1" s="22"/>
      <c r="OGH1" s="22"/>
      <c r="OGI1" s="22"/>
      <c r="OGJ1" s="22"/>
      <c r="OGK1" s="22"/>
      <c r="OGL1" s="22"/>
      <c r="OGM1" s="22"/>
      <c r="OGN1" s="22"/>
      <c r="OGO1" s="22"/>
      <c r="OGP1" s="22"/>
      <c r="OGQ1" s="22"/>
      <c r="OGR1" s="22"/>
      <c r="OGS1" s="22"/>
      <c r="OGT1" s="22"/>
      <c r="OGU1" s="22"/>
      <c r="OGV1" s="22"/>
      <c r="OGW1" s="22"/>
      <c r="OGX1" s="22"/>
      <c r="OGY1" s="22"/>
      <c r="OGZ1" s="22"/>
      <c r="OHA1" s="22"/>
      <c r="OHB1" s="22"/>
      <c r="OHC1" s="22"/>
      <c r="OHD1" s="22"/>
      <c r="OHE1" s="22"/>
      <c r="OHF1" s="22"/>
      <c r="OHG1" s="22"/>
      <c r="OHH1" s="22"/>
      <c r="OHI1" s="22"/>
      <c r="OHJ1" s="22"/>
      <c r="OHK1" s="22"/>
      <c r="OHL1" s="22"/>
      <c r="OHM1" s="22"/>
      <c r="OHN1" s="22"/>
      <c r="OHO1" s="22"/>
      <c r="OHP1" s="22"/>
      <c r="OHQ1" s="22"/>
      <c r="OHR1" s="22"/>
      <c r="OHS1" s="22"/>
      <c r="OHT1" s="22"/>
      <c r="OHU1" s="22"/>
      <c r="OHV1" s="22"/>
      <c r="OHW1" s="22"/>
      <c r="OHX1" s="22"/>
      <c r="OHY1" s="22"/>
      <c r="OHZ1" s="22"/>
      <c r="OIA1" s="22"/>
      <c r="OIB1" s="22"/>
      <c r="OIC1" s="22"/>
      <c r="OID1" s="22"/>
      <c r="OIE1" s="22"/>
      <c r="OIF1" s="22"/>
      <c r="OIG1" s="22"/>
      <c r="OIH1" s="22"/>
      <c r="OII1" s="22"/>
      <c r="OIJ1" s="22"/>
      <c r="OIK1" s="22"/>
      <c r="OIL1" s="22"/>
      <c r="OIM1" s="22"/>
      <c r="OIN1" s="22"/>
      <c r="OIO1" s="22"/>
      <c r="OIP1" s="22"/>
      <c r="OIQ1" s="22"/>
      <c r="OIR1" s="22"/>
      <c r="OIS1" s="22"/>
      <c r="OIT1" s="22"/>
      <c r="OIU1" s="22"/>
      <c r="OIV1" s="22"/>
      <c r="OIW1" s="22"/>
      <c r="OIX1" s="22"/>
      <c r="OIY1" s="22"/>
      <c r="OIZ1" s="22"/>
      <c r="OJA1" s="22"/>
      <c r="OJB1" s="22"/>
      <c r="OJC1" s="22"/>
      <c r="OJD1" s="22"/>
      <c r="OJE1" s="22"/>
      <c r="OJF1" s="22"/>
      <c r="OJG1" s="22"/>
      <c r="OJH1" s="22"/>
      <c r="OJI1" s="22"/>
      <c r="OJJ1" s="22"/>
      <c r="OJK1" s="22"/>
      <c r="OJL1" s="22"/>
      <c r="OJM1" s="22"/>
      <c r="OJN1" s="22"/>
      <c r="OJO1" s="22"/>
      <c r="OJP1" s="22"/>
      <c r="OJQ1" s="22"/>
      <c r="OJR1" s="22"/>
      <c r="OJS1" s="22"/>
      <c r="OJT1" s="22"/>
      <c r="OJU1" s="22"/>
      <c r="OJV1" s="22"/>
      <c r="OJW1" s="22"/>
      <c r="OJX1" s="22"/>
      <c r="OJY1" s="22"/>
      <c r="OJZ1" s="22"/>
      <c r="OKA1" s="22"/>
      <c r="OKB1" s="22"/>
      <c r="OKC1" s="22"/>
      <c r="OKD1" s="22"/>
      <c r="OKE1" s="22"/>
      <c r="OKF1" s="22"/>
      <c r="OKG1" s="22"/>
      <c r="OKH1" s="22"/>
      <c r="OKI1" s="22"/>
      <c r="OKJ1" s="22"/>
      <c r="OKK1" s="22"/>
      <c r="OKL1" s="22"/>
      <c r="OKM1" s="22"/>
      <c r="OKN1" s="22"/>
      <c r="OKO1" s="22"/>
      <c r="OKP1" s="22"/>
      <c r="OKQ1" s="22"/>
      <c r="OKR1" s="22"/>
      <c r="OKS1" s="22"/>
      <c r="OKT1" s="22"/>
      <c r="OKU1" s="22"/>
      <c r="OKV1" s="22"/>
      <c r="OKW1" s="22"/>
      <c r="OKX1" s="22"/>
      <c r="OKY1" s="22"/>
      <c r="OKZ1" s="22"/>
      <c r="OLA1" s="22"/>
      <c r="OLB1" s="22"/>
      <c r="OLC1" s="22"/>
      <c r="OLD1" s="22"/>
      <c r="OLE1" s="22"/>
      <c r="OLF1" s="22"/>
      <c r="OLG1" s="22"/>
      <c r="OLH1" s="22"/>
      <c r="OLI1" s="22"/>
      <c r="OLJ1" s="22"/>
      <c r="OLK1" s="22"/>
      <c r="OLL1" s="22"/>
      <c r="OLM1" s="22"/>
      <c r="OLN1" s="22"/>
      <c r="OLO1" s="22"/>
      <c r="OLP1" s="22"/>
      <c r="OLQ1" s="22"/>
      <c r="OLR1" s="22"/>
      <c r="OLS1" s="22"/>
      <c r="OLT1" s="22"/>
      <c r="OLU1" s="22"/>
      <c r="OLV1" s="22"/>
      <c r="OLW1" s="22"/>
      <c r="OLX1" s="22"/>
      <c r="OLY1" s="22"/>
      <c r="OLZ1" s="22"/>
      <c r="OMA1" s="22"/>
      <c r="OMB1" s="22"/>
      <c r="OMC1" s="22"/>
      <c r="OMD1" s="22"/>
      <c r="OME1" s="22"/>
      <c r="OMF1" s="22"/>
      <c r="OMG1" s="22"/>
      <c r="OMH1" s="22"/>
      <c r="OMI1" s="22"/>
      <c r="OMJ1" s="22"/>
      <c r="OMK1" s="22"/>
      <c r="OML1" s="22"/>
      <c r="OMM1" s="22"/>
      <c r="OMN1" s="22"/>
      <c r="OMO1" s="22"/>
      <c r="OMP1" s="22"/>
      <c r="OMQ1" s="22"/>
      <c r="OMR1" s="22"/>
      <c r="OMS1" s="22"/>
      <c r="OMT1" s="22"/>
      <c r="OMU1" s="22"/>
      <c r="OMV1" s="22"/>
      <c r="OMW1" s="22"/>
      <c r="OMX1" s="22"/>
      <c r="OMY1" s="22"/>
      <c r="OMZ1" s="22"/>
      <c r="ONA1" s="22"/>
      <c r="ONB1" s="22"/>
      <c r="ONC1" s="22"/>
      <c r="OND1" s="22"/>
      <c r="ONE1" s="22"/>
      <c r="ONF1" s="22"/>
      <c r="ONG1" s="22"/>
      <c r="ONH1" s="22"/>
      <c r="ONI1" s="22"/>
      <c r="ONJ1" s="22"/>
      <c r="ONK1" s="22"/>
      <c r="ONL1" s="22"/>
      <c r="ONM1" s="22"/>
      <c r="ONN1" s="22"/>
      <c r="ONO1" s="22"/>
      <c r="ONP1" s="22"/>
      <c r="ONQ1" s="22"/>
      <c r="ONR1" s="22"/>
      <c r="ONS1" s="22"/>
      <c r="ONT1" s="22"/>
      <c r="ONU1" s="22"/>
      <c r="ONV1" s="22"/>
      <c r="ONW1" s="22"/>
      <c r="ONX1" s="22"/>
      <c r="ONY1" s="22"/>
      <c r="ONZ1" s="22"/>
      <c r="OOA1" s="22"/>
      <c r="OOB1" s="22"/>
      <c r="OOC1" s="22"/>
      <c r="OOD1" s="22"/>
      <c r="OOE1" s="22"/>
      <c r="OOF1" s="22"/>
      <c r="OOG1" s="22"/>
      <c r="OOH1" s="22"/>
      <c r="OOI1" s="22"/>
      <c r="OOJ1" s="22"/>
      <c r="OOK1" s="22"/>
      <c r="OOL1" s="22"/>
      <c r="OOM1" s="22"/>
      <c r="OON1" s="22"/>
      <c r="OOO1" s="22"/>
      <c r="OOP1" s="22"/>
      <c r="OOQ1" s="22"/>
      <c r="OOR1" s="22"/>
      <c r="OOS1" s="22"/>
      <c r="OOT1" s="22"/>
      <c r="OOU1" s="22"/>
      <c r="OOV1" s="22"/>
      <c r="OOW1" s="22"/>
      <c r="OOX1" s="22"/>
      <c r="OOY1" s="22"/>
      <c r="OOZ1" s="22"/>
      <c r="OPA1" s="22"/>
      <c r="OPB1" s="22"/>
      <c r="OPC1" s="22"/>
      <c r="OPD1" s="22"/>
      <c r="OPE1" s="22"/>
      <c r="OPF1" s="22"/>
      <c r="OPG1" s="22"/>
      <c r="OPH1" s="22"/>
      <c r="OPI1" s="22"/>
      <c r="OPJ1" s="22"/>
      <c r="OPK1" s="22"/>
      <c r="OPL1" s="22"/>
      <c r="OPM1" s="22"/>
      <c r="OPN1" s="22"/>
      <c r="OPO1" s="22"/>
      <c r="OPP1" s="22"/>
      <c r="OPQ1" s="22"/>
      <c r="OPR1" s="22"/>
      <c r="OPS1" s="22"/>
      <c r="OPT1" s="22"/>
      <c r="OPU1" s="22"/>
      <c r="OPV1" s="22"/>
      <c r="OPW1" s="22"/>
      <c r="OPX1" s="22"/>
      <c r="OPY1" s="22"/>
      <c r="OPZ1" s="22"/>
      <c r="OQA1" s="22"/>
      <c r="OQB1" s="22"/>
      <c r="OQC1" s="22"/>
      <c r="OQD1" s="22"/>
      <c r="OQE1" s="22"/>
      <c r="OQF1" s="22"/>
      <c r="OQG1" s="22"/>
      <c r="OQH1" s="22"/>
      <c r="OQI1" s="22"/>
      <c r="OQJ1" s="22"/>
      <c r="OQK1" s="22"/>
      <c r="OQL1" s="22"/>
      <c r="OQM1" s="22"/>
      <c r="OQN1" s="22"/>
      <c r="OQO1" s="22"/>
      <c r="OQP1" s="22"/>
      <c r="OQQ1" s="22"/>
      <c r="OQR1" s="22"/>
      <c r="OQS1" s="22"/>
      <c r="OQT1" s="22"/>
      <c r="OQU1" s="22"/>
      <c r="OQV1" s="22"/>
      <c r="OQW1" s="22"/>
      <c r="OQX1" s="22"/>
      <c r="OQY1" s="22"/>
      <c r="OQZ1" s="22"/>
      <c r="ORA1" s="22"/>
      <c r="ORB1" s="22"/>
      <c r="ORC1" s="22"/>
      <c r="ORD1" s="22"/>
      <c r="ORE1" s="22"/>
      <c r="ORF1" s="22"/>
      <c r="ORG1" s="22"/>
      <c r="ORH1" s="22"/>
      <c r="ORI1" s="22"/>
      <c r="ORJ1" s="22"/>
      <c r="ORK1" s="22"/>
      <c r="ORL1" s="22"/>
      <c r="ORM1" s="22"/>
      <c r="ORN1" s="22"/>
      <c r="ORO1" s="22"/>
      <c r="ORP1" s="22"/>
      <c r="ORQ1" s="22"/>
      <c r="ORR1" s="22"/>
      <c r="ORS1" s="22"/>
      <c r="ORT1" s="22"/>
      <c r="ORU1" s="22"/>
      <c r="ORV1" s="22"/>
      <c r="ORW1" s="22"/>
      <c r="ORX1" s="22"/>
      <c r="ORY1" s="22"/>
      <c r="ORZ1" s="22"/>
      <c r="OSA1" s="22"/>
      <c r="OSB1" s="22"/>
      <c r="OSC1" s="22"/>
      <c r="OSD1" s="22"/>
      <c r="OSE1" s="22"/>
      <c r="OSF1" s="22"/>
      <c r="OSG1" s="22"/>
      <c r="OSH1" s="22"/>
      <c r="OSI1" s="22"/>
      <c r="OSJ1" s="22"/>
      <c r="OSK1" s="22"/>
      <c r="OSL1" s="22"/>
      <c r="OSM1" s="22"/>
      <c r="OSN1" s="22"/>
      <c r="OSO1" s="22"/>
      <c r="OSP1" s="22"/>
      <c r="OSQ1" s="22"/>
      <c r="OSR1" s="22"/>
      <c r="OSS1" s="22"/>
      <c r="OST1" s="22"/>
      <c r="OSU1" s="22"/>
      <c r="OSV1" s="22"/>
      <c r="OSW1" s="22"/>
      <c r="OSX1" s="22"/>
      <c r="OSY1" s="22"/>
      <c r="OSZ1" s="22"/>
      <c r="OTA1" s="22"/>
      <c r="OTB1" s="22"/>
      <c r="OTC1" s="22"/>
      <c r="OTD1" s="22"/>
      <c r="OTE1" s="22"/>
      <c r="OTF1" s="22"/>
      <c r="OTG1" s="22"/>
      <c r="OTH1" s="22"/>
      <c r="OTI1" s="22"/>
      <c r="OTJ1" s="22"/>
      <c r="OTK1" s="22"/>
      <c r="OTL1" s="22"/>
      <c r="OTM1" s="22"/>
      <c r="OTN1" s="22"/>
      <c r="OTO1" s="22"/>
      <c r="OTP1" s="22"/>
      <c r="OTQ1" s="22"/>
      <c r="OTR1" s="22"/>
      <c r="OTS1" s="22"/>
      <c r="OTT1" s="22"/>
      <c r="OTU1" s="22"/>
      <c r="OTV1" s="22"/>
      <c r="OTW1" s="22"/>
      <c r="OTX1" s="22"/>
      <c r="OTY1" s="22"/>
      <c r="OTZ1" s="22"/>
      <c r="OUA1" s="22"/>
      <c r="OUB1" s="22"/>
      <c r="OUC1" s="22"/>
      <c r="OUD1" s="22"/>
      <c r="OUE1" s="22"/>
      <c r="OUF1" s="22"/>
      <c r="OUG1" s="22"/>
      <c r="OUH1" s="22"/>
      <c r="OUI1" s="22"/>
      <c r="OUJ1" s="22"/>
      <c r="OUK1" s="22"/>
      <c r="OUL1" s="22"/>
      <c r="OUM1" s="22"/>
      <c r="OUN1" s="22"/>
      <c r="OUO1" s="22"/>
      <c r="OUP1" s="22"/>
      <c r="OUQ1" s="22"/>
      <c r="OUR1" s="22"/>
      <c r="OUS1" s="22"/>
      <c r="OUT1" s="22"/>
      <c r="OUU1" s="22"/>
      <c r="OUV1" s="22"/>
      <c r="OUW1" s="22"/>
      <c r="OUX1" s="22"/>
      <c r="OUY1" s="22"/>
      <c r="OUZ1" s="22"/>
      <c r="OVA1" s="22"/>
      <c r="OVB1" s="22"/>
      <c r="OVC1" s="22"/>
      <c r="OVD1" s="22"/>
      <c r="OVE1" s="22"/>
      <c r="OVF1" s="22"/>
      <c r="OVG1" s="22"/>
      <c r="OVH1" s="22"/>
      <c r="OVI1" s="22"/>
      <c r="OVJ1" s="22"/>
      <c r="OVK1" s="22"/>
      <c r="OVL1" s="22"/>
      <c r="OVM1" s="22"/>
      <c r="OVN1" s="22"/>
      <c r="OVO1" s="22"/>
      <c r="OVP1" s="22"/>
      <c r="OVQ1" s="22"/>
      <c r="OVR1" s="22"/>
      <c r="OVS1" s="22"/>
      <c r="OVT1" s="22"/>
      <c r="OVU1" s="22"/>
      <c r="OVV1" s="22"/>
      <c r="OVW1" s="22"/>
      <c r="OVX1" s="22"/>
      <c r="OVY1" s="22"/>
      <c r="OVZ1" s="22"/>
      <c r="OWA1" s="22"/>
      <c r="OWB1" s="22"/>
      <c r="OWC1" s="22"/>
      <c r="OWD1" s="22"/>
      <c r="OWE1" s="22"/>
      <c r="OWF1" s="22"/>
      <c r="OWG1" s="22"/>
      <c r="OWH1" s="22"/>
      <c r="OWI1" s="22"/>
      <c r="OWJ1" s="22"/>
      <c r="OWK1" s="22"/>
      <c r="OWL1" s="22"/>
      <c r="OWM1" s="22"/>
      <c r="OWN1" s="22"/>
      <c r="OWO1" s="22"/>
      <c r="OWP1" s="22"/>
      <c r="OWQ1" s="22"/>
      <c r="OWR1" s="22"/>
      <c r="OWS1" s="22"/>
      <c r="OWT1" s="22"/>
      <c r="OWU1" s="22"/>
      <c r="OWV1" s="22"/>
      <c r="OWW1" s="22"/>
      <c r="OWX1" s="22"/>
      <c r="OWY1" s="22"/>
      <c r="OWZ1" s="22"/>
      <c r="OXA1" s="22"/>
      <c r="OXB1" s="22"/>
      <c r="OXC1" s="22"/>
      <c r="OXD1" s="22"/>
      <c r="OXE1" s="22"/>
      <c r="OXF1" s="22"/>
      <c r="OXG1" s="22"/>
      <c r="OXH1" s="22"/>
      <c r="OXI1" s="22"/>
      <c r="OXJ1" s="22"/>
      <c r="OXK1" s="22"/>
      <c r="OXL1" s="22"/>
      <c r="OXM1" s="22"/>
      <c r="OXN1" s="22"/>
      <c r="OXO1" s="22"/>
      <c r="OXP1" s="22"/>
      <c r="OXQ1" s="22"/>
      <c r="OXR1" s="22"/>
      <c r="OXS1" s="22"/>
      <c r="OXT1" s="22"/>
      <c r="OXU1" s="22"/>
      <c r="OXV1" s="22"/>
      <c r="OXW1" s="22"/>
      <c r="OXX1" s="22"/>
      <c r="OXY1" s="22"/>
      <c r="OXZ1" s="22"/>
      <c r="OYA1" s="22"/>
      <c r="OYB1" s="22"/>
      <c r="OYC1" s="22"/>
      <c r="OYD1" s="22"/>
      <c r="OYE1" s="22"/>
      <c r="OYF1" s="22"/>
      <c r="OYG1" s="22"/>
      <c r="OYH1" s="22"/>
      <c r="OYI1" s="22"/>
      <c r="OYJ1" s="22"/>
      <c r="OYK1" s="22"/>
      <c r="OYL1" s="22"/>
      <c r="OYM1" s="22"/>
      <c r="OYN1" s="22"/>
      <c r="OYO1" s="22"/>
      <c r="OYP1" s="22"/>
      <c r="OYQ1" s="22"/>
      <c r="OYR1" s="22"/>
      <c r="OYS1" s="22"/>
      <c r="OYT1" s="22"/>
      <c r="OYU1" s="22"/>
      <c r="OYV1" s="22"/>
      <c r="OYW1" s="22"/>
      <c r="OYX1" s="22"/>
      <c r="OYY1" s="22"/>
      <c r="OYZ1" s="22"/>
      <c r="OZA1" s="22"/>
      <c r="OZB1" s="22"/>
      <c r="OZC1" s="22"/>
      <c r="OZD1" s="22"/>
      <c r="OZE1" s="22"/>
      <c r="OZF1" s="22"/>
      <c r="OZG1" s="22"/>
      <c r="OZH1" s="22"/>
      <c r="OZI1" s="22"/>
      <c r="OZJ1" s="22"/>
      <c r="OZK1" s="22"/>
      <c r="OZL1" s="22"/>
      <c r="OZM1" s="22"/>
      <c r="OZN1" s="22"/>
      <c r="OZO1" s="22"/>
      <c r="OZP1" s="22"/>
      <c r="OZQ1" s="22"/>
      <c r="OZR1" s="22"/>
      <c r="OZS1" s="22"/>
      <c r="OZT1" s="22"/>
      <c r="OZU1" s="22"/>
      <c r="OZV1" s="22"/>
      <c r="OZW1" s="22"/>
      <c r="OZX1" s="22"/>
      <c r="OZY1" s="22"/>
      <c r="OZZ1" s="22"/>
      <c r="PAA1" s="22"/>
      <c r="PAB1" s="22"/>
      <c r="PAC1" s="22"/>
      <c r="PAD1" s="22"/>
      <c r="PAE1" s="22"/>
      <c r="PAF1" s="22"/>
      <c r="PAG1" s="22"/>
      <c r="PAH1" s="22"/>
      <c r="PAI1" s="22"/>
      <c r="PAJ1" s="22"/>
      <c r="PAK1" s="22"/>
      <c r="PAL1" s="22"/>
      <c r="PAM1" s="22"/>
      <c r="PAN1" s="22"/>
      <c r="PAO1" s="22"/>
      <c r="PAP1" s="22"/>
      <c r="PAQ1" s="22"/>
      <c r="PAR1" s="22"/>
      <c r="PAS1" s="22"/>
      <c r="PAT1" s="22"/>
      <c r="PAU1" s="22"/>
      <c r="PAV1" s="22"/>
      <c r="PAW1" s="22"/>
      <c r="PAX1" s="22"/>
      <c r="PAY1" s="22"/>
      <c r="PAZ1" s="22"/>
      <c r="PBA1" s="22"/>
      <c r="PBB1" s="22"/>
      <c r="PBC1" s="22"/>
      <c r="PBD1" s="22"/>
      <c r="PBE1" s="22"/>
      <c r="PBF1" s="22"/>
      <c r="PBG1" s="22"/>
      <c r="PBH1" s="22"/>
      <c r="PBI1" s="22"/>
      <c r="PBJ1" s="22"/>
      <c r="PBK1" s="22"/>
      <c r="PBL1" s="22"/>
      <c r="PBM1" s="22"/>
      <c r="PBN1" s="22"/>
      <c r="PBO1" s="22"/>
      <c r="PBP1" s="22"/>
      <c r="PBQ1" s="22"/>
      <c r="PBR1" s="22"/>
      <c r="PBS1" s="22"/>
      <c r="PBT1" s="22"/>
      <c r="PBU1" s="22"/>
      <c r="PBV1" s="22"/>
      <c r="PBW1" s="22"/>
      <c r="PBX1" s="22"/>
      <c r="PBY1" s="22"/>
      <c r="PBZ1" s="22"/>
      <c r="PCA1" s="22"/>
      <c r="PCB1" s="22"/>
      <c r="PCC1" s="22"/>
      <c r="PCD1" s="22"/>
      <c r="PCE1" s="22"/>
      <c r="PCF1" s="22"/>
      <c r="PCG1" s="22"/>
      <c r="PCH1" s="22"/>
      <c r="PCI1" s="22"/>
      <c r="PCJ1" s="22"/>
      <c r="PCK1" s="22"/>
      <c r="PCL1" s="22"/>
      <c r="PCM1" s="22"/>
      <c r="PCN1" s="22"/>
      <c r="PCO1" s="22"/>
      <c r="PCP1" s="22"/>
      <c r="PCQ1" s="22"/>
      <c r="PCR1" s="22"/>
      <c r="PCS1" s="22"/>
      <c r="PCT1" s="22"/>
      <c r="PCU1" s="22"/>
      <c r="PCV1" s="22"/>
      <c r="PCW1" s="22"/>
      <c r="PCX1" s="22"/>
      <c r="PCY1" s="22"/>
      <c r="PCZ1" s="22"/>
      <c r="PDA1" s="22"/>
      <c r="PDB1" s="22"/>
      <c r="PDC1" s="22"/>
      <c r="PDD1" s="22"/>
      <c r="PDE1" s="22"/>
      <c r="PDF1" s="22"/>
      <c r="PDG1" s="22"/>
      <c r="PDH1" s="22"/>
      <c r="PDI1" s="22"/>
      <c r="PDJ1" s="22"/>
      <c r="PDK1" s="22"/>
      <c r="PDL1" s="22"/>
      <c r="PDM1" s="22"/>
      <c r="PDN1" s="22"/>
      <c r="PDO1" s="22"/>
      <c r="PDP1" s="22"/>
      <c r="PDQ1" s="22"/>
      <c r="PDR1" s="22"/>
      <c r="PDS1" s="22"/>
      <c r="PDT1" s="22"/>
      <c r="PDU1" s="22"/>
      <c r="PDV1" s="22"/>
      <c r="PDW1" s="22"/>
      <c r="PDX1" s="22"/>
      <c r="PDY1" s="22"/>
      <c r="PDZ1" s="22"/>
      <c r="PEA1" s="22"/>
      <c r="PEB1" s="22"/>
      <c r="PEC1" s="22"/>
      <c r="PED1" s="22"/>
      <c r="PEE1" s="22"/>
      <c r="PEF1" s="22"/>
      <c r="PEG1" s="22"/>
      <c r="PEH1" s="22"/>
      <c r="PEI1" s="22"/>
      <c r="PEJ1" s="22"/>
      <c r="PEK1" s="22"/>
      <c r="PEL1" s="22"/>
      <c r="PEM1" s="22"/>
      <c r="PEN1" s="22"/>
      <c r="PEO1" s="22"/>
      <c r="PEP1" s="22"/>
      <c r="PEQ1" s="22"/>
      <c r="PER1" s="22"/>
      <c r="PES1" s="22"/>
      <c r="PET1" s="22"/>
      <c r="PEU1" s="22"/>
      <c r="PEV1" s="22"/>
      <c r="PEW1" s="22"/>
      <c r="PEX1" s="22"/>
      <c r="PEY1" s="22"/>
      <c r="PEZ1" s="22"/>
      <c r="PFA1" s="22"/>
      <c r="PFB1" s="22"/>
      <c r="PFC1" s="22"/>
      <c r="PFD1" s="22"/>
      <c r="PFE1" s="22"/>
      <c r="PFF1" s="22"/>
      <c r="PFG1" s="22"/>
      <c r="PFH1" s="22"/>
      <c r="PFI1" s="22"/>
      <c r="PFJ1" s="22"/>
      <c r="PFK1" s="22"/>
      <c r="PFL1" s="22"/>
      <c r="PFM1" s="22"/>
      <c r="PFN1" s="22"/>
      <c r="PFO1" s="22"/>
      <c r="PFP1" s="22"/>
      <c r="PFQ1" s="22"/>
      <c r="PFR1" s="22"/>
      <c r="PFS1" s="22"/>
      <c r="PFT1" s="22"/>
      <c r="PFU1" s="22"/>
      <c r="PFV1" s="22"/>
      <c r="PFW1" s="22"/>
      <c r="PFX1" s="22"/>
      <c r="PFY1" s="22"/>
      <c r="PFZ1" s="22"/>
      <c r="PGA1" s="22"/>
      <c r="PGB1" s="22"/>
      <c r="PGC1" s="22"/>
      <c r="PGD1" s="22"/>
      <c r="PGE1" s="22"/>
      <c r="PGF1" s="22"/>
      <c r="PGG1" s="22"/>
      <c r="PGH1" s="22"/>
      <c r="PGI1" s="22"/>
      <c r="PGJ1" s="22"/>
      <c r="PGK1" s="22"/>
      <c r="PGL1" s="22"/>
      <c r="PGM1" s="22"/>
      <c r="PGN1" s="22"/>
      <c r="PGO1" s="22"/>
      <c r="PGP1" s="22"/>
      <c r="PGQ1" s="22"/>
      <c r="PGR1" s="22"/>
      <c r="PGS1" s="22"/>
      <c r="PGT1" s="22"/>
      <c r="PGU1" s="22"/>
      <c r="PGV1" s="22"/>
      <c r="PGW1" s="22"/>
      <c r="PGX1" s="22"/>
      <c r="PGY1" s="22"/>
      <c r="PGZ1" s="22"/>
      <c r="PHA1" s="22"/>
      <c r="PHB1" s="22"/>
      <c r="PHC1" s="22"/>
      <c r="PHD1" s="22"/>
      <c r="PHE1" s="22"/>
      <c r="PHF1" s="22"/>
      <c r="PHG1" s="22"/>
      <c r="PHH1" s="22"/>
      <c r="PHI1" s="22"/>
      <c r="PHJ1" s="22"/>
      <c r="PHK1" s="22"/>
      <c r="PHL1" s="22"/>
      <c r="PHM1" s="22"/>
      <c r="PHN1" s="22"/>
      <c r="PHO1" s="22"/>
      <c r="PHP1" s="22"/>
      <c r="PHQ1" s="22"/>
      <c r="PHR1" s="22"/>
      <c r="PHS1" s="22"/>
      <c r="PHT1" s="22"/>
      <c r="PHU1" s="22"/>
      <c r="PHV1" s="22"/>
      <c r="PHW1" s="22"/>
      <c r="PHX1" s="22"/>
      <c r="PHY1" s="22"/>
      <c r="PHZ1" s="22"/>
      <c r="PIA1" s="22"/>
      <c r="PIB1" s="22"/>
      <c r="PIC1" s="22"/>
      <c r="PID1" s="22"/>
      <c r="PIE1" s="22"/>
      <c r="PIF1" s="22"/>
      <c r="PIG1" s="22"/>
      <c r="PIH1" s="22"/>
      <c r="PII1" s="22"/>
      <c r="PIJ1" s="22"/>
      <c r="PIK1" s="22"/>
      <c r="PIL1" s="22"/>
      <c r="PIM1" s="22"/>
      <c r="PIN1" s="22"/>
      <c r="PIO1" s="22"/>
      <c r="PIP1" s="22"/>
      <c r="PIQ1" s="22"/>
      <c r="PIR1" s="22"/>
      <c r="PIS1" s="22"/>
      <c r="PIT1" s="22"/>
      <c r="PIU1" s="22"/>
      <c r="PIV1" s="22"/>
      <c r="PIW1" s="22"/>
      <c r="PIX1" s="22"/>
      <c r="PIY1" s="22"/>
      <c r="PIZ1" s="22"/>
      <c r="PJA1" s="22"/>
      <c r="PJB1" s="22"/>
      <c r="PJC1" s="22"/>
      <c r="PJD1" s="22"/>
      <c r="PJE1" s="22"/>
      <c r="PJF1" s="22"/>
      <c r="PJG1" s="22"/>
      <c r="PJH1" s="22"/>
      <c r="PJI1" s="22"/>
      <c r="PJJ1" s="22"/>
      <c r="PJK1" s="22"/>
      <c r="PJL1" s="22"/>
      <c r="PJM1" s="22"/>
      <c r="PJN1" s="22"/>
      <c r="PJO1" s="22"/>
      <c r="PJP1" s="22"/>
      <c r="PJQ1" s="22"/>
      <c r="PJR1" s="22"/>
      <c r="PJS1" s="22"/>
      <c r="PJT1" s="22"/>
      <c r="PJU1" s="22"/>
      <c r="PJV1" s="22"/>
      <c r="PJW1" s="22"/>
      <c r="PJX1" s="22"/>
      <c r="PJY1" s="22"/>
      <c r="PJZ1" s="22"/>
      <c r="PKA1" s="22"/>
      <c r="PKB1" s="22"/>
      <c r="PKC1" s="22"/>
      <c r="PKD1" s="22"/>
      <c r="PKE1" s="22"/>
      <c r="PKF1" s="22"/>
      <c r="PKG1" s="22"/>
      <c r="PKH1" s="22"/>
      <c r="PKI1" s="22"/>
      <c r="PKJ1" s="22"/>
      <c r="PKK1" s="22"/>
      <c r="PKL1" s="22"/>
      <c r="PKM1" s="22"/>
      <c r="PKN1" s="22"/>
      <c r="PKO1" s="22"/>
      <c r="PKP1" s="22"/>
      <c r="PKQ1" s="22"/>
      <c r="PKR1" s="22"/>
      <c r="PKS1" s="22"/>
      <c r="PKT1" s="22"/>
      <c r="PKU1" s="22"/>
      <c r="PKV1" s="22"/>
      <c r="PKW1" s="22"/>
      <c r="PKX1" s="22"/>
      <c r="PKY1" s="22"/>
      <c r="PKZ1" s="22"/>
      <c r="PLA1" s="22"/>
      <c r="PLB1" s="22"/>
      <c r="PLC1" s="22"/>
      <c r="PLD1" s="22"/>
      <c r="PLE1" s="22"/>
      <c r="PLF1" s="22"/>
      <c r="PLG1" s="22"/>
      <c r="PLH1" s="22"/>
      <c r="PLI1" s="22"/>
      <c r="PLJ1" s="22"/>
      <c r="PLK1" s="22"/>
      <c r="PLL1" s="22"/>
      <c r="PLM1" s="22"/>
      <c r="PLN1" s="22"/>
      <c r="PLO1" s="22"/>
      <c r="PLP1" s="22"/>
      <c r="PLQ1" s="22"/>
      <c r="PLR1" s="22"/>
      <c r="PLS1" s="22"/>
      <c r="PLT1" s="22"/>
      <c r="PLU1" s="22"/>
      <c r="PLV1" s="22"/>
      <c r="PLW1" s="22"/>
      <c r="PLX1" s="22"/>
      <c r="PLY1" s="22"/>
      <c r="PLZ1" s="22"/>
      <c r="PMA1" s="22"/>
      <c r="PMB1" s="22"/>
      <c r="PMC1" s="22"/>
      <c r="PMD1" s="22"/>
      <c r="PME1" s="22"/>
      <c r="PMF1" s="22"/>
      <c r="PMG1" s="22"/>
      <c r="PMH1" s="22"/>
      <c r="PMI1" s="22"/>
      <c r="PMJ1" s="22"/>
      <c r="PMK1" s="22"/>
      <c r="PML1" s="22"/>
      <c r="PMM1" s="22"/>
      <c r="PMN1" s="22"/>
      <c r="PMO1" s="22"/>
      <c r="PMP1" s="22"/>
      <c r="PMQ1" s="22"/>
      <c r="PMR1" s="22"/>
      <c r="PMS1" s="22"/>
      <c r="PMT1" s="22"/>
      <c r="PMU1" s="22"/>
      <c r="PMV1" s="22"/>
      <c r="PMW1" s="22"/>
      <c r="PMX1" s="22"/>
      <c r="PMY1" s="22"/>
      <c r="PMZ1" s="22"/>
      <c r="PNA1" s="22"/>
      <c r="PNB1" s="22"/>
      <c r="PNC1" s="22"/>
      <c r="PND1" s="22"/>
      <c r="PNE1" s="22"/>
      <c r="PNF1" s="22"/>
      <c r="PNG1" s="22"/>
      <c r="PNH1" s="22"/>
      <c r="PNI1" s="22"/>
      <c r="PNJ1" s="22"/>
      <c r="PNK1" s="22"/>
      <c r="PNL1" s="22"/>
      <c r="PNM1" s="22"/>
      <c r="PNN1" s="22"/>
      <c r="PNO1" s="22"/>
      <c r="PNP1" s="22"/>
      <c r="PNQ1" s="22"/>
      <c r="PNR1" s="22"/>
      <c r="PNS1" s="22"/>
      <c r="PNT1" s="22"/>
      <c r="PNU1" s="22"/>
      <c r="PNV1" s="22"/>
      <c r="PNW1" s="22"/>
      <c r="PNX1" s="22"/>
      <c r="PNY1" s="22"/>
      <c r="PNZ1" s="22"/>
      <c r="POA1" s="22"/>
      <c r="POB1" s="22"/>
      <c r="POC1" s="22"/>
      <c r="POD1" s="22"/>
      <c r="POE1" s="22"/>
      <c r="POF1" s="22"/>
      <c r="POG1" s="22"/>
      <c r="POH1" s="22"/>
      <c r="POI1" s="22"/>
      <c r="POJ1" s="22"/>
      <c r="POK1" s="22"/>
      <c r="POL1" s="22"/>
      <c r="POM1" s="22"/>
      <c r="PON1" s="22"/>
      <c r="POO1" s="22"/>
      <c r="POP1" s="22"/>
      <c r="POQ1" s="22"/>
      <c r="POR1" s="22"/>
      <c r="POS1" s="22"/>
      <c r="POT1" s="22"/>
      <c r="POU1" s="22"/>
      <c r="POV1" s="22"/>
      <c r="POW1" s="22"/>
      <c r="POX1" s="22"/>
      <c r="POY1" s="22"/>
      <c r="POZ1" s="22"/>
      <c r="PPA1" s="22"/>
      <c r="PPB1" s="22"/>
      <c r="PPC1" s="22"/>
      <c r="PPD1" s="22"/>
      <c r="PPE1" s="22"/>
      <c r="PPF1" s="22"/>
      <c r="PPG1" s="22"/>
      <c r="PPH1" s="22"/>
      <c r="PPI1" s="22"/>
      <c r="PPJ1" s="22"/>
      <c r="PPK1" s="22"/>
      <c r="PPL1" s="22"/>
      <c r="PPM1" s="22"/>
      <c r="PPN1" s="22"/>
      <c r="PPO1" s="22"/>
      <c r="PPP1" s="22"/>
      <c r="PPQ1" s="22"/>
      <c r="PPR1" s="22"/>
      <c r="PPS1" s="22"/>
      <c r="PPT1" s="22"/>
      <c r="PPU1" s="22"/>
      <c r="PPV1" s="22"/>
      <c r="PPW1" s="22"/>
      <c r="PPX1" s="22"/>
      <c r="PPY1" s="22"/>
      <c r="PPZ1" s="22"/>
      <c r="PQA1" s="22"/>
      <c r="PQB1" s="22"/>
      <c r="PQC1" s="22"/>
      <c r="PQD1" s="22"/>
      <c r="PQE1" s="22"/>
      <c r="PQF1" s="22"/>
      <c r="PQG1" s="22"/>
      <c r="PQH1" s="22"/>
      <c r="PQI1" s="22"/>
      <c r="PQJ1" s="22"/>
      <c r="PQK1" s="22"/>
      <c r="PQL1" s="22"/>
      <c r="PQM1" s="22"/>
      <c r="PQN1" s="22"/>
      <c r="PQO1" s="22"/>
      <c r="PQP1" s="22"/>
      <c r="PQQ1" s="22"/>
      <c r="PQR1" s="22"/>
      <c r="PQS1" s="22"/>
      <c r="PQT1" s="22"/>
      <c r="PQU1" s="22"/>
      <c r="PQV1" s="22"/>
      <c r="PQW1" s="22"/>
      <c r="PQX1" s="22"/>
      <c r="PQY1" s="22"/>
      <c r="PQZ1" s="22"/>
      <c r="PRA1" s="22"/>
      <c r="PRB1" s="22"/>
      <c r="PRC1" s="22"/>
      <c r="PRD1" s="22"/>
      <c r="PRE1" s="22"/>
      <c r="PRF1" s="22"/>
      <c r="PRG1" s="22"/>
      <c r="PRH1" s="22"/>
      <c r="PRI1" s="22"/>
      <c r="PRJ1" s="22"/>
      <c r="PRK1" s="22"/>
      <c r="PRL1" s="22"/>
      <c r="PRM1" s="22"/>
      <c r="PRN1" s="22"/>
      <c r="PRO1" s="22"/>
      <c r="PRP1" s="22"/>
      <c r="PRQ1" s="22"/>
      <c r="PRR1" s="22"/>
      <c r="PRS1" s="22"/>
      <c r="PRT1" s="22"/>
      <c r="PRU1" s="22"/>
      <c r="PRV1" s="22"/>
      <c r="PRW1" s="22"/>
      <c r="PRX1" s="22"/>
      <c r="PRY1" s="22"/>
      <c r="PRZ1" s="22"/>
      <c r="PSA1" s="22"/>
      <c r="PSB1" s="22"/>
      <c r="PSC1" s="22"/>
      <c r="PSD1" s="22"/>
      <c r="PSE1" s="22"/>
      <c r="PSF1" s="22"/>
      <c r="PSG1" s="22"/>
      <c r="PSH1" s="22"/>
      <c r="PSI1" s="22"/>
      <c r="PSJ1" s="22"/>
      <c r="PSK1" s="22"/>
      <c r="PSL1" s="22"/>
      <c r="PSM1" s="22"/>
      <c r="PSN1" s="22"/>
      <c r="PSO1" s="22"/>
      <c r="PSP1" s="22"/>
      <c r="PSQ1" s="22"/>
      <c r="PSR1" s="22"/>
      <c r="PSS1" s="22"/>
      <c r="PST1" s="22"/>
      <c r="PSU1" s="22"/>
      <c r="PSV1" s="22"/>
      <c r="PSW1" s="22"/>
      <c r="PSX1" s="22"/>
      <c r="PSY1" s="22"/>
      <c r="PSZ1" s="22"/>
      <c r="PTA1" s="22"/>
      <c r="PTB1" s="22"/>
      <c r="PTC1" s="22"/>
      <c r="PTD1" s="22"/>
      <c r="PTE1" s="22"/>
      <c r="PTF1" s="22"/>
      <c r="PTG1" s="22"/>
      <c r="PTH1" s="22"/>
      <c r="PTI1" s="22"/>
      <c r="PTJ1" s="22"/>
      <c r="PTK1" s="22"/>
      <c r="PTL1" s="22"/>
      <c r="PTM1" s="22"/>
      <c r="PTN1" s="22"/>
      <c r="PTO1" s="22"/>
      <c r="PTP1" s="22"/>
      <c r="PTQ1" s="22"/>
      <c r="PTR1" s="22"/>
      <c r="PTS1" s="22"/>
      <c r="PTT1" s="22"/>
      <c r="PTU1" s="22"/>
      <c r="PTV1" s="22"/>
      <c r="PTW1" s="22"/>
      <c r="PTX1" s="22"/>
      <c r="PTY1" s="22"/>
      <c r="PTZ1" s="22"/>
      <c r="PUA1" s="22"/>
      <c r="PUB1" s="22"/>
      <c r="PUC1" s="22"/>
      <c r="PUD1" s="22"/>
      <c r="PUE1" s="22"/>
      <c r="PUF1" s="22"/>
      <c r="PUG1" s="22"/>
      <c r="PUH1" s="22"/>
      <c r="PUI1" s="22"/>
      <c r="PUJ1" s="22"/>
      <c r="PUK1" s="22"/>
      <c r="PUL1" s="22"/>
      <c r="PUM1" s="22"/>
      <c r="PUN1" s="22"/>
      <c r="PUO1" s="22"/>
      <c r="PUP1" s="22"/>
      <c r="PUQ1" s="22"/>
      <c r="PUR1" s="22"/>
      <c r="PUS1" s="22"/>
      <c r="PUT1" s="22"/>
      <c r="PUU1" s="22"/>
      <c r="PUV1" s="22"/>
      <c r="PUW1" s="22"/>
      <c r="PUX1" s="22"/>
      <c r="PUY1" s="22"/>
      <c r="PUZ1" s="22"/>
      <c r="PVA1" s="22"/>
      <c r="PVB1" s="22"/>
      <c r="PVC1" s="22"/>
      <c r="PVD1" s="22"/>
      <c r="PVE1" s="22"/>
      <c r="PVF1" s="22"/>
      <c r="PVG1" s="22"/>
      <c r="PVH1" s="22"/>
      <c r="PVI1" s="22"/>
      <c r="PVJ1" s="22"/>
      <c r="PVK1" s="22"/>
      <c r="PVL1" s="22"/>
      <c r="PVM1" s="22"/>
      <c r="PVN1" s="22"/>
      <c r="PVO1" s="22"/>
      <c r="PVP1" s="22"/>
      <c r="PVQ1" s="22"/>
      <c r="PVR1" s="22"/>
      <c r="PVS1" s="22"/>
      <c r="PVT1" s="22"/>
      <c r="PVU1" s="22"/>
      <c r="PVV1" s="22"/>
      <c r="PVW1" s="22"/>
      <c r="PVX1" s="22"/>
      <c r="PVY1" s="22"/>
      <c r="PVZ1" s="22"/>
      <c r="PWA1" s="22"/>
      <c r="PWB1" s="22"/>
      <c r="PWC1" s="22"/>
      <c r="PWD1" s="22"/>
      <c r="PWE1" s="22"/>
      <c r="PWF1" s="22"/>
      <c r="PWG1" s="22"/>
      <c r="PWH1" s="22"/>
      <c r="PWI1" s="22"/>
      <c r="PWJ1" s="22"/>
      <c r="PWK1" s="22"/>
      <c r="PWL1" s="22"/>
      <c r="PWM1" s="22"/>
      <c r="PWN1" s="22"/>
      <c r="PWO1" s="22"/>
      <c r="PWP1" s="22"/>
      <c r="PWQ1" s="22"/>
      <c r="PWR1" s="22"/>
      <c r="PWS1" s="22"/>
      <c r="PWT1" s="22"/>
      <c r="PWU1" s="22"/>
      <c r="PWV1" s="22"/>
      <c r="PWW1" s="22"/>
      <c r="PWX1" s="22"/>
      <c r="PWY1" s="22"/>
      <c r="PWZ1" s="22"/>
      <c r="PXA1" s="22"/>
      <c r="PXB1" s="22"/>
      <c r="PXC1" s="22"/>
      <c r="PXD1" s="22"/>
      <c r="PXE1" s="22"/>
      <c r="PXF1" s="22"/>
      <c r="PXG1" s="22"/>
      <c r="PXH1" s="22"/>
      <c r="PXI1" s="22"/>
      <c r="PXJ1" s="22"/>
      <c r="PXK1" s="22"/>
      <c r="PXL1" s="22"/>
      <c r="PXM1" s="22"/>
      <c r="PXN1" s="22"/>
      <c r="PXO1" s="22"/>
      <c r="PXP1" s="22"/>
      <c r="PXQ1" s="22"/>
      <c r="PXR1" s="22"/>
      <c r="PXS1" s="22"/>
      <c r="PXT1" s="22"/>
      <c r="PXU1" s="22"/>
      <c r="PXV1" s="22"/>
      <c r="PXW1" s="22"/>
      <c r="PXX1" s="22"/>
      <c r="PXY1" s="22"/>
      <c r="PXZ1" s="22"/>
      <c r="PYA1" s="22"/>
      <c r="PYB1" s="22"/>
      <c r="PYC1" s="22"/>
      <c r="PYD1" s="22"/>
      <c r="PYE1" s="22"/>
      <c r="PYF1" s="22"/>
      <c r="PYG1" s="22"/>
      <c r="PYH1" s="22"/>
      <c r="PYI1" s="22"/>
      <c r="PYJ1" s="22"/>
      <c r="PYK1" s="22"/>
      <c r="PYL1" s="22"/>
      <c r="PYM1" s="22"/>
      <c r="PYN1" s="22"/>
      <c r="PYO1" s="22"/>
      <c r="PYP1" s="22"/>
      <c r="PYQ1" s="22"/>
      <c r="PYR1" s="22"/>
      <c r="PYS1" s="22"/>
      <c r="PYT1" s="22"/>
      <c r="PYU1" s="22"/>
      <c r="PYV1" s="22"/>
      <c r="PYW1" s="22"/>
      <c r="PYX1" s="22"/>
      <c r="PYY1" s="22"/>
      <c r="PYZ1" s="22"/>
      <c r="PZA1" s="22"/>
      <c r="PZB1" s="22"/>
      <c r="PZC1" s="22"/>
      <c r="PZD1" s="22"/>
      <c r="PZE1" s="22"/>
      <c r="PZF1" s="22"/>
      <c r="PZG1" s="22"/>
      <c r="PZH1" s="22"/>
      <c r="PZI1" s="22"/>
      <c r="PZJ1" s="22"/>
      <c r="PZK1" s="22"/>
      <c r="PZL1" s="22"/>
      <c r="PZM1" s="22"/>
      <c r="PZN1" s="22"/>
      <c r="PZO1" s="22"/>
      <c r="PZP1" s="22"/>
      <c r="PZQ1" s="22"/>
      <c r="PZR1" s="22"/>
      <c r="PZS1" s="22"/>
      <c r="PZT1" s="22"/>
      <c r="PZU1" s="22"/>
      <c r="PZV1" s="22"/>
      <c r="PZW1" s="22"/>
      <c r="PZX1" s="22"/>
      <c r="PZY1" s="22"/>
      <c r="PZZ1" s="22"/>
      <c r="QAA1" s="22"/>
      <c r="QAB1" s="22"/>
      <c r="QAC1" s="22"/>
      <c r="QAD1" s="22"/>
      <c r="QAE1" s="22"/>
      <c r="QAF1" s="22"/>
      <c r="QAG1" s="22"/>
      <c r="QAH1" s="22"/>
      <c r="QAI1" s="22"/>
      <c r="QAJ1" s="22"/>
      <c r="QAK1" s="22"/>
      <c r="QAL1" s="22"/>
      <c r="QAM1" s="22"/>
      <c r="QAN1" s="22"/>
      <c r="QAO1" s="22"/>
      <c r="QAP1" s="22"/>
      <c r="QAQ1" s="22"/>
      <c r="QAR1" s="22"/>
      <c r="QAS1" s="22"/>
      <c r="QAT1" s="22"/>
      <c r="QAU1" s="22"/>
      <c r="QAV1" s="22"/>
      <c r="QAW1" s="22"/>
      <c r="QAX1" s="22"/>
      <c r="QAY1" s="22"/>
      <c r="QAZ1" s="22"/>
      <c r="QBA1" s="22"/>
      <c r="QBB1" s="22"/>
      <c r="QBC1" s="22"/>
      <c r="QBD1" s="22"/>
      <c r="QBE1" s="22"/>
      <c r="QBF1" s="22"/>
      <c r="QBG1" s="22"/>
      <c r="QBH1" s="22"/>
      <c r="QBI1" s="22"/>
      <c r="QBJ1" s="22"/>
      <c r="QBK1" s="22"/>
      <c r="QBL1" s="22"/>
      <c r="QBM1" s="22"/>
      <c r="QBN1" s="22"/>
      <c r="QBO1" s="22"/>
      <c r="QBP1" s="22"/>
      <c r="QBQ1" s="22"/>
      <c r="QBR1" s="22"/>
      <c r="QBS1" s="22"/>
      <c r="QBT1" s="22"/>
      <c r="QBU1" s="22"/>
      <c r="QBV1" s="22"/>
      <c r="QBW1" s="22"/>
      <c r="QBX1" s="22"/>
      <c r="QBY1" s="22"/>
      <c r="QBZ1" s="22"/>
      <c r="QCA1" s="22"/>
      <c r="QCB1" s="22"/>
      <c r="QCC1" s="22"/>
      <c r="QCD1" s="22"/>
      <c r="QCE1" s="22"/>
      <c r="QCF1" s="22"/>
      <c r="QCG1" s="22"/>
      <c r="QCH1" s="22"/>
      <c r="QCI1" s="22"/>
      <c r="QCJ1" s="22"/>
      <c r="QCK1" s="22"/>
      <c r="QCL1" s="22"/>
      <c r="QCM1" s="22"/>
      <c r="QCN1" s="22"/>
      <c r="QCO1" s="22"/>
      <c r="QCP1" s="22"/>
      <c r="QCQ1" s="22"/>
      <c r="QCR1" s="22"/>
      <c r="QCS1" s="22"/>
      <c r="QCT1" s="22"/>
      <c r="QCU1" s="22"/>
      <c r="QCV1" s="22"/>
      <c r="QCW1" s="22"/>
      <c r="QCX1" s="22"/>
      <c r="QCY1" s="22"/>
      <c r="QCZ1" s="22"/>
      <c r="QDA1" s="22"/>
      <c r="QDB1" s="22"/>
      <c r="QDC1" s="22"/>
      <c r="QDD1" s="22"/>
      <c r="QDE1" s="22"/>
      <c r="QDF1" s="22"/>
      <c r="QDG1" s="22"/>
      <c r="QDH1" s="22"/>
      <c r="QDI1" s="22"/>
      <c r="QDJ1" s="22"/>
      <c r="QDK1" s="22"/>
      <c r="QDL1" s="22"/>
      <c r="QDM1" s="22"/>
      <c r="QDN1" s="22"/>
      <c r="QDO1" s="22"/>
      <c r="QDP1" s="22"/>
      <c r="QDQ1" s="22"/>
      <c r="QDR1" s="22"/>
      <c r="QDS1" s="22"/>
      <c r="QDT1" s="22"/>
      <c r="QDU1" s="22"/>
      <c r="QDV1" s="22"/>
      <c r="QDW1" s="22"/>
      <c r="QDX1" s="22"/>
      <c r="QDY1" s="22"/>
      <c r="QDZ1" s="22"/>
      <c r="QEA1" s="22"/>
      <c r="QEB1" s="22"/>
      <c r="QEC1" s="22"/>
      <c r="QED1" s="22"/>
      <c r="QEE1" s="22"/>
      <c r="QEF1" s="22"/>
      <c r="QEG1" s="22"/>
      <c r="QEH1" s="22"/>
      <c r="QEI1" s="22"/>
      <c r="QEJ1" s="22"/>
      <c r="QEK1" s="22"/>
      <c r="QEL1" s="22"/>
      <c r="QEM1" s="22"/>
      <c r="QEN1" s="22"/>
      <c r="QEO1" s="22"/>
      <c r="QEP1" s="22"/>
      <c r="QEQ1" s="22"/>
      <c r="QER1" s="22"/>
      <c r="QES1" s="22"/>
      <c r="QET1" s="22"/>
      <c r="QEU1" s="22"/>
      <c r="QEV1" s="22"/>
      <c r="QEW1" s="22"/>
      <c r="QEX1" s="22"/>
      <c r="QEY1" s="22"/>
      <c r="QEZ1" s="22"/>
      <c r="QFA1" s="22"/>
      <c r="QFB1" s="22"/>
      <c r="QFC1" s="22"/>
      <c r="QFD1" s="22"/>
      <c r="QFE1" s="22"/>
      <c r="QFF1" s="22"/>
      <c r="QFG1" s="22"/>
      <c r="QFH1" s="22"/>
      <c r="QFI1" s="22"/>
      <c r="QFJ1" s="22"/>
      <c r="QFK1" s="22"/>
      <c r="QFL1" s="22"/>
      <c r="QFM1" s="22"/>
      <c r="QFN1" s="22"/>
      <c r="QFO1" s="22"/>
      <c r="QFP1" s="22"/>
      <c r="QFQ1" s="22"/>
      <c r="QFR1" s="22"/>
      <c r="QFS1" s="22"/>
      <c r="QFT1" s="22"/>
      <c r="QFU1" s="22"/>
      <c r="QFV1" s="22"/>
      <c r="QFW1" s="22"/>
      <c r="QFX1" s="22"/>
      <c r="QFY1" s="22"/>
      <c r="QFZ1" s="22"/>
      <c r="QGA1" s="22"/>
      <c r="QGB1" s="22"/>
      <c r="QGC1" s="22"/>
      <c r="QGD1" s="22"/>
      <c r="QGE1" s="22"/>
      <c r="QGF1" s="22"/>
      <c r="QGG1" s="22"/>
      <c r="QGH1" s="22"/>
      <c r="QGI1" s="22"/>
      <c r="QGJ1" s="22"/>
      <c r="QGK1" s="22"/>
      <c r="QGL1" s="22"/>
      <c r="QGM1" s="22"/>
      <c r="QGN1" s="22"/>
      <c r="QGO1" s="22"/>
      <c r="QGP1" s="22"/>
      <c r="QGQ1" s="22"/>
      <c r="QGR1" s="22"/>
      <c r="QGS1" s="22"/>
      <c r="QGT1" s="22"/>
      <c r="QGU1" s="22"/>
      <c r="QGV1" s="22"/>
      <c r="QGW1" s="22"/>
      <c r="QGX1" s="22"/>
      <c r="QGY1" s="22"/>
      <c r="QGZ1" s="22"/>
      <c r="QHA1" s="22"/>
      <c r="QHB1" s="22"/>
      <c r="QHC1" s="22"/>
      <c r="QHD1" s="22"/>
      <c r="QHE1" s="22"/>
      <c r="QHF1" s="22"/>
      <c r="QHG1" s="22"/>
      <c r="QHH1" s="22"/>
      <c r="QHI1" s="22"/>
      <c r="QHJ1" s="22"/>
      <c r="QHK1" s="22"/>
      <c r="QHL1" s="22"/>
      <c r="QHM1" s="22"/>
      <c r="QHN1" s="22"/>
      <c r="QHO1" s="22"/>
      <c r="QHP1" s="22"/>
      <c r="QHQ1" s="22"/>
      <c r="QHR1" s="22"/>
      <c r="QHS1" s="22"/>
      <c r="QHT1" s="22"/>
      <c r="QHU1" s="22"/>
      <c r="QHV1" s="22"/>
      <c r="QHW1" s="22"/>
      <c r="QHX1" s="22"/>
      <c r="QHY1" s="22"/>
      <c r="QHZ1" s="22"/>
      <c r="QIA1" s="22"/>
      <c r="QIB1" s="22"/>
      <c r="QIC1" s="22"/>
      <c r="QID1" s="22"/>
      <c r="QIE1" s="22"/>
      <c r="QIF1" s="22"/>
      <c r="QIG1" s="22"/>
      <c r="QIH1" s="22"/>
      <c r="QII1" s="22"/>
      <c r="QIJ1" s="22"/>
      <c r="QIK1" s="22"/>
      <c r="QIL1" s="22"/>
      <c r="QIM1" s="22"/>
      <c r="QIN1" s="22"/>
      <c r="QIO1" s="22"/>
      <c r="QIP1" s="22"/>
      <c r="QIQ1" s="22"/>
      <c r="QIR1" s="22"/>
      <c r="QIS1" s="22"/>
      <c r="QIT1" s="22"/>
      <c r="QIU1" s="22"/>
      <c r="QIV1" s="22"/>
      <c r="QIW1" s="22"/>
      <c r="QIX1" s="22"/>
      <c r="QIY1" s="22"/>
      <c r="QIZ1" s="22"/>
      <c r="QJA1" s="22"/>
      <c r="QJB1" s="22"/>
      <c r="QJC1" s="22"/>
      <c r="QJD1" s="22"/>
      <c r="QJE1" s="22"/>
      <c r="QJF1" s="22"/>
      <c r="QJG1" s="22"/>
      <c r="QJH1" s="22"/>
      <c r="QJI1" s="22"/>
      <c r="QJJ1" s="22"/>
      <c r="QJK1" s="22"/>
      <c r="QJL1" s="22"/>
      <c r="QJM1" s="22"/>
      <c r="QJN1" s="22"/>
      <c r="QJO1" s="22"/>
      <c r="QJP1" s="22"/>
      <c r="QJQ1" s="22"/>
      <c r="QJR1" s="22"/>
      <c r="QJS1" s="22"/>
      <c r="QJT1" s="22"/>
      <c r="QJU1" s="22"/>
      <c r="QJV1" s="22"/>
      <c r="QJW1" s="22"/>
      <c r="QJX1" s="22"/>
      <c r="QJY1" s="22"/>
      <c r="QJZ1" s="22"/>
      <c r="QKA1" s="22"/>
      <c r="QKB1" s="22"/>
      <c r="QKC1" s="22"/>
      <c r="QKD1" s="22"/>
      <c r="QKE1" s="22"/>
      <c r="QKF1" s="22"/>
      <c r="QKG1" s="22"/>
      <c r="QKH1" s="22"/>
      <c r="QKI1" s="22"/>
      <c r="QKJ1" s="22"/>
      <c r="QKK1" s="22"/>
      <c r="QKL1" s="22"/>
      <c r="QKM1" s="22"/>
      <c r="QKN1" s="22"/>
      <c r="QKO1" s="22"/>
      <c r="QKP1" s="22"/>
      <c r="QKQ1" s="22"/>
      <c r="QKR1" s="22"/>
      <c r="QKS1" s="22"/>
      <c r="QKT1" s="22"/>
      <c r="QKU1" s="22"/>
      <c r="QKV1" s="22"/>
      <c r="QKW1" s="22"/>
      <c r="QKX1" s="22"/>
      <c r="QKY1" s="22"/>
      <c r="QKZ1" s="22"/>
      <c r="QLA1" s="22"/>
      <c r="QLB1" s="22"/>
      <c r="QLC1" s="22"/>
      <c r="QLD1" s="22"/>
      <c r="QLE1" s="22"/>
      <c r="QLF1" s="22"/>
      <c r="QLG1" s="22"/>
      <c r="QLH1" s="22"/>
      <c r="QLI1" s="22"/>
      <c r="QLJ1" s="22"/>
      <c r="QLK1" s="22"/>
      <c r="QLL1" s="22"/>
      <c r="QLM1" s="22"/>
      <c r="QLN1" s="22"/>
      <c r="QLO1" s="22"/>
      <c r="QLP1" s="22"/>
      <c r="QLQ1" s="22"/>
      <c r="QLR1" s="22"/>
      <c r="QLS1" s="22"/>
      <c r="QLT1" s="22"/>
      <c r="QLU1" s="22"/>
      <c r="QLV1" s="22"/>
      <c r="QLW1" s="22"/>
      <c r="QLX1" s="22"/>
      <c r="QLY1" s="22"/>
      <c r="QLZ1" s="22"/>
      <c r="QMA1" s="22"/>
      <c r="QMB1" s="22"/>
      <c r="QMC1" s="22"/>
      <c r="QMD1" s="22"/>
      <c r="QME1" s="22"/>
      <c r="QMF1" s="22"/>
      <c r="QMG1" s="22"/>
      <c r="QMH1" s="22"/>
      <c r="QMI1" s="22"/>
      <c r="QMJ1" s="22"/>
      <c r="QMK1" s="22"/>
      <c r="QML1" s="22"/>
      <c r="QMM1" s="22"/>
      <c r="QMN1" s="22"/>
      <c r="QMO1" s="22"/>
      <c r="QMP1" s="22"/>
      <c r="QMQ1" s="22"/>
      <c r="QMR1" s="22"/>
      <c r="QMS1" s="22"/>
      <c r="QMT1" s="22"/>
      <c r="QMU1" s="22"/>
      <c r="QMV1" s="22"/>
      <c r="QMW1" s="22"/>
      <c r="QMX1" s="22"/>
      <c r="QMY1" s="22"/>
      <c r="QMZ1" s="22"/>
      <c r="QNA1" s="22"/>
      <c r="QNB1" s="22"/>
      <c r="QNC1" s="22"/>
      <c r="QND1" s="22"/>
      <c r="QNE1" s="22"/>
      <c r="QNF1" s="22"/>
      <c r="QNG1" s="22"/>
      <c r="QNH1" s="22"/>
      <c r="QNI1" s="22"/>
      <c r="QNJ1" s="22"/>
      <c r="QNK1" s="22"/>
      <c r="QNL1" s="22"/>
      <c r="QNM1" s="22"/>
      <c r="QNN1" s="22"/>
      <c r="QNO1" s="22"/>
      <c r="QNP1" s="22"/>
      <c r="QNQ1" s="22"/>
      <c r="QNR1" s="22"/>
      <c r="QNS1" s="22"/>
      <c r="QNT1" s="22"/>
      <c r="QNU1" s="22"/>
      <c r="QNV1" s="22"/>
      <c r="QNW1" s="22"/>
      <c r="QNX1" s="22"/>
      <c r="QNY1" s="22"/>
      <c r="QNZ1" s="22"/>
      <c r="QOA1" s="22"/>
      <c r="QOB1" s="22"/>
      <c r="QOC1" s="22"/>
      <c r="QOD1" s="22"/>
      <c r="QOE1" s="22"/>
      <c r="QOF1" s="22"/>
      <c r="QOG1" s="22"/>
      <c r="QOH1" s="22"/>
      <c r="QOI1" s="22"/>
      <c r="QOJ1" s="22"/>
      <c r="QOK1" s="22"/>
      <c r="QOL1" s="22"/>
      <c r="QOM1" s="22"/>
      <c r="QON1" s="22"/>
      <c r="QOO1" s="22"/>
      <c r="QOP1" s="22"/>
      <c r="QOQ1" s="22"/>
      <c r="QOR1" s="22"/>
      <c r="QOS1" s="22"/>
      <c r="QOT1" s="22"/>
      <c r="QOU1" s="22"/>
      <c r="QOV1" s="22"/>
      <c r="QOW1" s="22"/>
      <c r="QOX1" s="22"/>
      <c r="QOY1" s="22"/>
      <c r="QOZ1" s="22"/>
      <c r="QPA1" s="22"/>
      <c r="QPB1" s="22"/>
      <c r="QPC1" s="22"/>
      <c r="QPD1" s="22"/>
      <c r="QPE1" s="22"/>
      <c r="QPF1" s="22"/>
      <c r="QPG1" s="22"/>
      <c r="QPH1" s="22"/>
      <c r="QPI1" s="22"/>
      <c r="QPJ1" s="22"/>
      <c r="QPK1" s="22"/>
      <c r="QPL1" s="22"/>
      <c r="QPM1" s="22"/>
      <c r="QPN1" s="22"/>
      <c r="QPO1" s="22"/>
      <c r="QPP1" s="22"/>
      <c r="QPQ1" s="22"/>
      <c r="QPR1" s="22"/>
      <c r="QPS1" s="22"/>
      <c r="QPT1" s="22"/>
      <c r="QPU1" s="22"/>
      <c r="QPV1" s="22"/>
      <c r="QPW1" s="22"/>
      <c r="QPX1" s="22"/>
      <c r="QPY1" s="22"/>
      <c r="QPZ1" s="22"/>
      <c r="QQA1" s="22"/>
      <c r="QQB1" s="22"/>
      <c r="QQC1" s="22"/>
      <c r="QQD1" s="22"/>
      <c r="QQE1" s="22"/>
      <c r="QQF1" s="22"/>
      <c r="QQG1" s="22"/>
      <c r="QQH1" s="22"/>
      <c r="QQI1" s="22"/>
      <c r="QQJ1" s="22"/>
      <c r="QQK1" s="22"/>
      <c r="QQL1" s="22"/>
      <c r="QQM1" s="22"/>
      <c r="QQN1" s="22"/>
      <c r="QQO1" s="22"/>
      <c r="QQP1" s="22"/>
      <c r="QQQ1" s="22"/>
      <c r="QQR1" s="22"/>
      <c r="QQS1" s="22"/>
      <c r="QQT1" s="22"/>
      <c r="QQU1" s="22"/>
      <c r="QQV1" s="22"/>
      <c r="QQW1" s="22"/>
      <c r="QQX1" s="22"/>
      <c r="QQY1" s="22"/>
      <c r="QQZ1" s="22"/>
      <c r="QRA1" s="22"/>
      <c r="QRB1" s="22"/>
      <c r="QRC1" s="22"/>
      <c r="QRD1" s="22"/>
      <c r="QRE1" s="22"/>
      <c r="QRF1" s="22"/>
      <c r="QRG1" s="22"/>
      <c r="QRH1" s="22"/>
      <c r="QRI1" s="22"/>
      <c r="QRJ1" s="22"/>
      <c r="QRK1" s="22"/>
      <c r="QRL1" s="22"/>
      <c r="QRM1" s="22"/>
      <c r="QRN1" s="22"/>
      <c r="QRO1" s="22"/>
      <c r="QRP1" s="22"/>
      <c r="QRQ1" s="22"/>
      <c r="QRR1" s="22"/>
      <c r="QRS1" s="22"/>
      <c r="QRT1" s="22"/>
      <c r="QRU1" s="22"/>
      <c r="QRV1" s="22"/>
      <c r="QRW1" s="22"/>
      <c r="QRX1" s="22"/>
      <c r="QRY1" s="22"/>
      <c r="QRZ1" s="22"/>
      <c r="QSA1" s="22"/>
      <c r="QSB1" s="22"/>
      <c r="QSC1" s="22"/>
      <c r="QSD1" s="22"/>
      <c r="QSE1" s="22"/>
      <c r="QSF1" s="22"/>
      <c r="QSG1" s="22"/>
      <c r="QSH1" s="22"/>
      <c r="QSI1" s="22"/>
      <c r="QSJ1" s="22"/>
      <c r="QSK1" s="22"/>
      <c r="QSL1" s="22"/>
      <c r="QSM1" s="22"/>
      <c r="QSN1" s="22"/>
      <c r="QSO1" s="22"/>
      <c r="QSP1" s="22"/>
      <c r="QSQ1" s="22"/>
      <c r="QSR1" s="22"/>
      <c r="QSS1" s="22"/>
      <c r="QST1" s="22"/>
      <c r="QSU1" s="22"/>
      <c r="QSV1" s="22"/>
      <c r="QSW1" s="22"/>
      <c r="QSX1" s="22"/>
      <c r="QSY1" s="22"/>
      <c r="QSZ1" s="22"/>
      <c r="QTA1" s="22"/>
      <c r="QTB1" s="22"/>
      <c r="QTC1" s="22"/>
      <c r="QTD1" s="22"/>
      <c r="QTE1" s="22"/>
      <c r="QTF1" s="22"/>
      <c r="QTG1" s="22"/>
      <c r="QTH1" s="22"/>
      <c r="QTI1" s="22"/>
      <c r="QTJ1" s="22"/>
      <c r="QTK1" s="22"/>
      <c r="QTL1" s="22"/>
      <c r="QTM1" s="22"/>
      <c r="QTN1" s="22"/>
      <c r="QTO1" s="22"/>
      <c r="QTP1" s="22"/>
      <c r="QTQ1" s="22"/>
      <c r="QTR1" s="22"/>
      <c r="QTS1" s="22"/>
      <c r="QTT1" s="22"/>
      <c r="QTU1" s="22"/>
      <c r="QTV1" s="22"/>
      <c r="QTW1" s="22"/>
      <c r="QTX1" s="22"/>
      <c r="QTY1" s="22"/>
      <c r="QTZ1" s="22"/>
      <c r="QUA1" s="22"/>
      <c r="QUB1" s="22"/>
      <c r="QUC1" s="22"/>
      <c r="QUD1" s="22"/>
      <c r="QUE1" s="22"/>
      <c r="QUF1" s="22"/>
      <c r="QUG1" s="22"/>
      <c r="QUH1" s="22"/>
      <c r="QUI1" s="22"/>
      <c r="QUJ1" s="22"/>
      <c r="QUK1" s="22"/>
      <c r="QUL1" s="22"/>
      <c r="QUM1" s="22"/>
      <c r="QUN1" s="22"/>
      <c r="QUO1" s="22"/>
      <c r="QUP1" s="22"/>
      <c r="QUQ1" s="22"/>
      <c r="QUR1" s="22"/>
      <c r="QUS1" s="22"/>
      <c r="QUT1" s="22"/>
      <c r="QUU1" s="22"/>
      <c r="QUV1" s="22"/>
      <c r="QUW1" s="22"/>
      <c r="QUX1" s="22"/>
      <c r="QUY1" s="22"/>
      <c r="QUZ1" s="22"/>
      <c r="QVA1" s="22"/>
      <c r="QVB1" s="22"/>
      <c r="QVC1" s="22"/>
      <c r="QVD1" s="22"/>
      <c r="QVE1" s="22"/>
      <c r="QVF1" s="22"/>
      <c r="QVG1" s="22"/>
      <c r="QVH1" s="22"/>
      <c r="QVI1" s="22"/>
      <c r="QVJ1" s="22"/>
      <c r="QVK1" s="22"/>
      <c r="QVL1" s="22"/>
      <c r="QVM1" s="22"/>
      <c r="QVN1" s="22"/>
      <c r="QVO1" s="22"/>
      <c r="QVP1" s="22"/>
      <c r="QVQ1" s="22"/>
      <c r="QVR1" s="22"/>
      <c r="QVS1" s="22"/>
      <c r="QVT1" s="22"/>
      <c r="QVU1" s="22"/>
      <c r="QVV1" s="22"/>
      <c r="QVW1" s="22"/>
      <c r="QVX1" s="22"/>
      <c r="QVY1" s="22"/>
      <c r="QVZ1" s="22"/>
      <c r="QWA1" s="22"/>
      <c r="QWB1" s="22"/>
      <c r="QWC1" s="22"/>
      <c r="QWD1" s="22"/>
      <c r="QWE1" s="22"/>
      <c r="QWF1" s="22"/>
      <c r="QWG1" s="22"/>
      <c r="QWH1" s="22"/>
      <c r="QWI1" s="22"/>
      <c r="QWJ1" s="22"/>
      <c r="QWK1" s="22"/>
      <c r="QWL1" s="22"/>
      <c r="QWM1" s="22"/>
      <c r="QWN1" s="22"/>
      <c r="QWO1" s="22"/>
      <c r="QWP1" s="22"/>
      <c r="QWQ1" s="22"/>
      <c r="QWR1" s="22"/>
      <c r="QWS1" s="22"/>
      <c r="QWT1" s="22"/>
      <c r="QWU1" s="22"/>
      <c r="QWV1" s="22"/>
      <c r="QWW1" s="22"/>
      <c r="QWX1" s="22"/>
      <c r="QWY1" s="22"/>
      <c r="QWZ1" s="22"/>
      <c r="QXA1" s="22"/>
      <c r="QXB1" s="22"/>
      <c r="QXC1" s="22"/>
      <c r="QXD1" s="22"/>
      <c r="QXE1" s="22"/>
      <c r="QXF1" s="22"/>
      <c r="QXG1" s="22"/>
      <c r="QXH1" s="22"/>
      <c r="QXI1" s="22"/>
      <c r="QXJ1" s="22"/>
      <c r="QXK1" s="22"/>
      <c r="QXL1" s="22"/>
      <c r="QXM1" s="22"/>
      <c r="QXN1" s="22"/>
      <c r="QXO1" s="22"/>
      <c r="QXP1" s="22"/>
      <c r="QXQ1" s="22"/>
      <c r="QXR1" s="22"/>
      <c r="QXS1" s="22"/>
      <c r="QXT1" s="22"/>
      <c r="QXU1" s="22"/>
      <c r="QXV1" s="22"/>
      <c r="QXW1" s="22"/>
      <c r="QXX1" s="22"/>
      <c r="QXY1" s="22"/>
      <c r="QXZ1" s="22"/>
      <c r="QYA1" s="22"/>
      <c r="QYB1" s="22"/>
      <c r="QYC1" s="22"/>
      <c r="QYD1" s="22"/>
      <c r="QYE1" s="22"/>
      <c r="QYF1" s="22"/>
      <c r="QYG1" s="22"/>
      <c r="QYH1" s="22"/>
      <c r="QYI1" s="22"/>
      <c r="QYJ1" s="22"/>
      <c r="QYK1" s="22"/>
      <c r="QYL1" s="22"/>
      <c r="QYM1" s="22"/>
      <c r="QYN1" s="22"/>
      <c r="QYO1" s="22"/>
      <c r="QYP1" s="22"/>
      <c r="QYQ1" s="22"/>
      <c r="QYR1" s="22"/>
      <c r="QYS1" s="22"/>
      <c r="QYT1" s="22"/>
      <c r="QYU1" s="22"/>
      <c r="QYV1" s="22"/>
      <c r="QYW1" s="22"/>
      <c r="QYX1" s="22"/>
      <c r="QYY1" s="22"/>
      <c r="QYZ1" s="22"/>
      <c r="QZA1" s="22"/>
      <c r="QZB1" s="22"/>
      <c r="QZC1" s="22"/>
      <c r="QZD1" s="22"/>
      <c r="QZE1" s="22"/>
      <c r="QZF1" s="22"/>
      <c r="QZG1" s="22"/>
      <c r="QZH1" s="22"/>
      <c r="QZI1" s="22"/>
      <c r="QZJ1" s="22"/>
      <c r="QZK1" s="22"/>
      <c r="QZL1" s="22"/>
      <c r="QZM1" s="22"/>
      <c r="QZN1" s="22"/>
      <c r="QZO1" s="22"/>
      <c r="QZP1" s="22"/>
      <c r="QZQ1" s="22"/>
      <c r="QZR1" s="22"/>
      <c r="QZS1" s="22"/>
      <c r="QZT1" s="22"/>
      <c r="QZU1" s="22"/>
      <c r="QZV1" s="22"/>
      <c r="QZW1" s="22"/>
      <c r="QZX1" s="22"/>
      <c r="QZY1" s="22"/>
      <c r="QZZ1" s="22"/>
      <c r="RAA1" s="22"/>
      <c r="RAB1" s="22"/>
      <c r="RAC1" s="22"/>
      <c r="RAD1" s="22"/>
      <c r="RAE1" s="22"/>
      <c r="RAF1" s="22"/>
      <c r="RAG1" s="22"/>
      <c r="RAH1" s="22"/>
      <c r="RAI1" s="22"/>
      <c r="RAJ1" s="22"/>
      <c r="RAK1" s="22"/>
      <c r="RAL1" s="22"/>
      <c r="RAM1" s="22"/>
      <c r="RAN1" s="22"/>
      <c r="RAO1" s="22"/>
      <c r="RAP1" s="22"/>
      <c r="RAQ1" s="22"/>
      <c r="RAR1" s="22"/>
      <c r="RAS1" s="22"/>
      <c r="RAT1" s="22"/>
      <c r="RAU1" s="22"/>
      <c r="RAV1" s="22"/>
      <c r="RAW1" s="22"/>
      <c r="RAX1" s="22"/>
      <c r="RAY1" s="22"/>
      <c r="RAZ1" s="22"/>
      <c r="RBA1" s="22"/>
      <c r="RBB1" s="22"/>
      <c r="RBC1" s="22"/>
      <c r="RBD1" s="22"/>
      <c r="RBE1" s="22"/>
      <c r="RBF1" s="22"/>
      <c r="RBG1" s="22"/>
      <c r="RBH1" s="22"/>
      <c r="RBI1" s="22"/>
      <c r="RBJ1" s="22"/>
      <c r="RBK1" s="22"/>
      <c r="RBL1" s="22"/>
      <c r="RBM1" s="22"/>
      <c r="RBN1" s="22"/>
      <c r="RBO1" s="22"/>
      <c r="RBP1" s="22"/>
      <c r="RBQ1" s="22"/>
      <c r="RBR1" s="22"/>
      <c r="RBS1" s="22"/>
      <c r="RBT1" s="22"/>
      <c r="RBU1" s="22"/>
      <c r="RBV1" s="22"/>
      <c r="RBW1" s="22"/>
      <c r="RBX1" s="22"/>
      <c r="RBY1" s="22"/>
      <c r="RBZ1" s="22"/>
      <c r="RCA1" s="22"/>
      <c r="RCB1" s="22"/>
      <c r="RCC1" s="22"/>
      <c r="RCD1" s="22"/>
      <c r="RCE1" s="22"/>
      <c r="RCF1" s="22"/>
      <c r="RCG1" s="22"/>
      <c r="RCH1" s="22"/>
      <c r="RCI1" s="22"/>
      <c r="RCJ1" s="22"/>
      <c r="RCK1" s="22"/>
      <c r="RCL1" s="22"/>
      <c r="RCM1" s="22"/>
      <c r="RCN1" s="22"/>
      <c r="RCO1" s="22"/>
      <c r="RCP1" s="22"/>
      <c r="RCQ1" s="22"/>
      <c r="RCR1" s="22"/>
      <c r="RCS1" s="22"/>
      <c r="RCT1" s="22"/>
      <c r="RCU1" s="22"/>
      <c r="RCV1" s="22"/>
      <c r="RCW1" s="22"/>
      <c r="RCX1" s="22"/>
      <c r="RCY1" s="22"/>
      <c r="RCZ1" s="22"/>
      <c r="RDA1" s="22"/>
      <c r="RDB1" s="22"/>
      <c r="RDC1" s="22"/>
      <c r="RDD1" s="22"/>
      <c r="RDE1" s="22"/>
      <c r="RDF1" s="22"/>
      <c r="RDG1" s="22"/>
      <c r="RDH1" s="22"/>
      <c r="RDI1" s="22"/>
      <c r="RDJ1" s="22"/>
      <c r="RDK1" s="22"/>
      <c r="RDL1" s="22"/>
      <c r="RDM1" s="22"/>
      <c r="RDN1" s="22"/>
      <c r="RDO1" s="22"/>
      <c r="RDP1" s="22"/>
      <c r="RDQ1" s="22"/>
      <c r="RDR1" s="22"/>
      <c r="RDS1" s="22"/>
      <c r="RDT1" s="22"/>
      <c r="RDU1" s="22"/>
      <c r="RDV1" s="22"/>
      <c r="RDW1" s="22"/>
      <c r="RDX1" s="22"/>
      <c r="RDY1" s="22"/>
      <c r="RDZ1" s="22"/>
      <c r="REA1" s="22"/>
      <c r="REB1" s="22"/>
      <c r="REC1" s="22"/>
      <c r="RED1" s="22"/>
      <c r="REE1" s="22"/>
      <c r="REF1" s="22"/>
      <c r="REG1" s="22"/>
      <c r="REH1" s="22"/>
      <c r="REI1" s="22"/>
      <c r="REJ1" s="22"/>
      <c r="REK1" s="22"/>
      <c r="REL1" s="22"/>
      <c r="REM1" s="22"/>
      <c r="REN1" s="22"/>
      <c r="REO1" s="22"/>
      <c r="REP1" s="22"/>
      <c r="REQ1" s="22"/>
      <c r="RER1" s="22"/>
      <c r="RES1" s="22"/>
      <c r="RET1" s="22"/>
      <c r="REU1" s="22"/>
      <c r="REV1" s="22"/>
      <c r="REW1" s="22"/>
      <c r="REX1" s="22"/>
      <c r="REY1" s="22"/>
      <c r="REZ1" s="22"/>
      <c r="RFA1" s="22"/>
      <c r="RFB1" s="22"/>
      <c r="RFC1" s="22"/>
      <c r="RFD1" s="22"/>
      <c r="RFE1" s="22"/>
      <c r="RFF1" s="22"/>
      <c r="RFG1" s="22"/>
      <c r="RFH1" s="22"/>
      <c r="RFI1" s="22"/>
      <c r="RFJ1" s="22"/>
      <c r="RFK1" s="22"/>
      <c r="RFL1" s="22"/>
      <c r="RFM1" s="22"/>
      <c r="RFN1" s="22"/>
      <c r="RFO1" s="22"/>
      <c r="RFP1" s="22"/>
      <c r="RFQ1" s="22"/>
      <c r="RFR1" s="22"/>
      <c r="RFS1" s="22"/>
      <c r="RFT1" s="22"/>
      <c r="RFU1" s="22"/>
      <c r="RFV1" s="22"/>
      <c r="RFW1" s="22"/>
      <c r="RFX1" s="22"/>
      <c r="RFY1" s="22"/>
      <c r="RFZ1" s="22"/>
      <c r="RGA1" s="22"/>
      <c r="RGB1" s="22"/>
      <c r="RGC1" s="22"/>
      <c r="RGD1" s="22"/>
      <c r="RGE1" s="22"/>
      <c r="RGF1" s="22"/>
      <c r="RGG1" s="22"/>
      <c r="RGH1" s="22"/>
      <c r="RGI1" s="22"/>
      <c r="RGJ1" s="22"/>
      <c r="RGK1" s="22"/>
      <c r="RGL1" s="22"/>
      <c r="RGM1" s="22"/>
      <c r="RGN1" s="22"/>
      <c r="RGO1" s="22"/>
      <c r="RGP1" s="22"/>
      <c r="RGQ1" s="22"/>
      <c r="RGR1" s="22"/>
      <c r="RGS1" s="22"/>
      <c r="RGT1" s="22"/>
      <c r="RGU1" s="22"/>
      <c r="RGV1" s="22"/>
      <c r="RGW1" s="22"/>
      <c r="RGX1" s="22"/>
      <c r="RGY1" s="22"/>
      <c r="RGZ1" s="22"/>
      <c r="RHA1" s="22"/>
      <c r="RHB1" s="22"/>
      <c r="RHC1" s="22"/>
      <c r="RHD1" s="22"/>
      <c r="RHE1" s="22"/>
      <c r="RHF1" s="22"/>
      <c r="RHG1" s="22"/>
      <c r="RHH1" s="22"/>
      <c r="RHI1" s="22"/>
      <c r="RHJ1" s="22"/>
      <c r="RHK1" s="22"/>
      <c r="RHL1" s="22"/>
      <c r="RHM1" s="22"/>
      <c r="RHN1" s="22"/>
      <c r="RHO1" s="22"/>
      <c r="RHP1" s="22"/>
      <c r="RHQ1" s="22"/>
      <c r="RHR1" s="22"/>
      <c r="RHS1" s="22"/>
      <c r="RHT1" s="22"/>
      <c r="RHU1" s="22"/>
      <c r="RHV1" s="22"/>
      <c r="RHW1" s="22"/>
      <c r="RHX1" s="22"/>
      <c r="RHY1" s="22"/>
      <c r="RHZ1" s="22"/>
      <c r="RIA1" s="22"/>
      <c r="RIB1" s="22"/>
      <c r="RIC1" s="22"/>
      <c r="RID1" s="22"/>
      <c r="RIE1" s="22"/>
      <c r="RIF1" s="22"/>
      <c r="RIG1" s="22"/>
      <c r="RIH1" s="22"/>
      <c r="RII1" s="22"/>
      <c r="RIJ1" s="22"/>
      <c r="RIK1" s="22"/>
      <c r="RIL1" s="22"/>
      <c r="RIM1" s="22"/>
      <c r="RIN1" s="22"/>
      <c r="RIO1" s="22"/>
      <c r="RIP1" s="22"/>
      <c r="RIQ1" s="22"/>
      <c r="RIR1" s="22"/>
      <c r="RIS1" s="22"/>
      <c r="RIT1" s="22"/>
      <c r="RIU1" s="22"/>
      <c r="RIV1" s="22"/>
      <c r="RIW1" s="22"/>
      <c r="RIX1" s="22"/>
      <c r="RIY1" s="22"/>
      <c r="RIZ1" s="22"/>
      <c r="RJA1" s="22"/>
      <c r="RJB1" s="22"/>
      <c r="RJC1" s="22"/>
      <c r="RJD1" s="22"/>
      <c r="RJE1" s="22"/>
      <c r="RJF1" s="22"/>
      <c r="RJG1" s="22"/>
      <c r="RJH1" s="22"/>
      <c r="RJI1" s="22"/>
      <c r="RJJ1" s="22"/>
      <c r="RJK1" s="22"/>
      <c r="RJL1" s="22"/>
      <c r="RJM1" s="22"/>
      <c r="RJN1" s="22"/>
      <c r="RJO1" s="22"/>
      <c r="RJP1" s="22"/>
      <c r="RJQ1" s="22"/>
      <c r="RJR1" s="22"/>
      <c r="RJS1" s="22"/>
      <c r="RJT1" s="22"/>
      <c r="RJU1" s="22"/>
      <c r="RJV1" s="22"/>
      <c r="RJW1" s="22"/>
      <c r="RJX1" s="22"/>
      <c r="RJY1" s="22"/>
      <c r="RJZ1" s="22"/>
      <c r="RKA1" s="22"/>
      <c r="RKB1" s="22"/>
      <c r="RKC1" s="22"/>
      <c r="RKD1" s="22"/>
      <c r="RKE1" s="22"/>
      <c r="RKF1" s="22"/>
      <c r="RKG1" s="22"/>
      <c r="RKH1" s="22"/>
      <c r="RKI1" s="22"/>
      <c r="RKJ1" s="22"/>
      <c r="RKK1" s="22"/>
      <c r="RKL1" s="22"/>
      <c r="RKM1" s="22"/>
      <c r="RKN1" s="22"/>
      <c r="RKO1" s="22"/>
      <c r="RKP1" s="22"/>
      <c r="RKQ1" s="22"/>
      <c r="RKR1" s="22"/>
      <c r="RKS1" s="22"/>
      <c r="RKT1" s="22"/>
      <c r="RKU1" s="22"/>
      <c r="RKV1" s="22"/>
      <c r="RKW1" s="22"/>
      <c r="RKX1" s="22"/>
      <c r="RKY1" s="22"/>
      <c r="RKZ1" s="22"/>
      <c r="RLA1" s="22"/>
      <c r="RLB1" s="22"/>
      <c r="RLC1" s="22"/>
      <c r="RLD1" s="22"/>
      <c r="RLE1" s="22"/>
      <c r="RLF1" s="22"/>
      <c r="RLG1" s="22"/>
      <c r="RLH1" s="22"/>
      <c r="RLI1" s="22"/>
      <c r="RLJ1" s="22"/>
      <c r="RLK1" s="22"/>
      <c r="RLL1" s="22"/>
      <c r="RLM1" s="22"/>
      <c r="RLN1" s="22"/>
      <c r="RLO1" s="22"/>
      <c r="RLP1" s="22"/>
      <c r="RLQ1" s="22"/>
      <c r="RLR1" s="22"/>
      <c r="RLS1" s="22"/>
      <c r="RLT1" s="22"/>
      <c r="RLU1" s="22"/>
      <c r="RLV1" s="22"/>
      <c r="RLW1" s="22"/>
      <c r="RLX1" s="22"/>
      <c r="RLY1" s="22"/>
      <c r="RLZ1" s="22"/>
      <c r="RMA1" s="22"/>
      <c r="RMB1" s="22"/>
      <c r="RMC1" s="22"/>
      <c r="RMD1" s="22"/>
      <c r="RME1" s="22"/>
      <c r="RMF1" s="22"/>
      <c r="RMG1" s="22"/>
      <c r="RMH1" s="22"/>
      <c r="RMI1" s="22"/>
      <c r="RMJ1" s="22"/>
      <c r="RMK1" s="22"/>
      <c r="RML1" s="22"/>
      <c r="RMM1" s="22"/>
      <c r="RMN1" s="22"/>
      <c r="RMO1" s="22"/>
      <c r="RMP1" s="22"/>
      <c r="RMQ1" s="22"/>
      <c r="RMR1" s="22"/>
      <c r="RMS1" s="22"/>
      <c r="RMT1" s="22"/>
      <c r="RMU1" s="22"/>
      <c r="RMV1" s="22"/>
      <c r="RMW1" s="22"/>
      <c r="RMX1" s="22"/>
      <c r="RMY1" s="22"/>
      <c r="RMZ1" s="22"/>
      <c r="RNA1" s="22"/>
      <c r="RNB1" s="22"/>
      <c r="RNC1" s="22"/>
      <c r="RND1" s="22"/>
      <c r="RNE1" s="22"/>
      <c r="RNF1" s="22"/>
      <c r="RNG1" s="22"/>
      <c r="RNH1" s="22"/>
      <c r="RNI1" s="22"/>
      <c r="RNJ1" s="22"/>
      <c r="RNK1" s="22"/>
      <c r="RNL1" s="22"/>
      <c r="RNM1" s="22"/>
      <c r="RNN1" s="22"/>
      <c r="RNO1" s="22"/>
      <c r="RNP1" s="22"/>
      <c r="RNQ1" s="22"/>
      <c r="RNR1" s="22"/>
      <c r="RNS1" s="22"/>
      <c r="RNT1" s="22"/>
      <c r="RNU1" s="22"/>
      <c r="RNV1" s="22"/>
      <c r="RNW1" s="22"/>
      <c r="RNX1" s="22"/>
      <c r="RNY1" s="22"/>
      <c r="RNZ1" s="22"/>
      <c r="ROA1" s="22"/>
      <c r="ROB1" s="22"/>
      <c r="ROC1" s="22"/>
      <c r="ROD1" s="22"/>
      <c r="ROE1" s="22"/>
      <c r="ROF1" s="22"/>
      <c r="ROG1" s="22"/>
      <c r="ROH1" s="22"/>
      <c r="ROI1" s="22"/>
      <c r="ROJ1" s="22"/>
      <c r="ROK1" s="22"/>
      <c r="ROL1" s="22"/>
      <c r="ROM1" s="22"/>
      <c r="RON1" s="22"/>
      <c r="ROO1" s="22"/>
      <c r="ROP1" s="22"/>
      <c r="ROQ1" s="22"/>
      <c r="ROR1" s="22"/>
      <c r="ROS1" s="22"/>
      <c r="ROT1" s="22"/>
      <c r="ROU1" s="22"/>
      <c r="ROV1" s="22"/>
      <c r="ROW1" s="22"/>
      <c r="ROX1" s="22"/>
      <c r="ROY1" s="22"/>
      <c r="ROZ1" s="22"/>
      <c r="RPA1" s="22"/>
      <c r="RPB1" s="22"/>
      <c r="RPC1" s="22"/>
      <c r="RPD1" s="22"/>
      <c r="RPE1" s="22"/>
      <c r="RPF1" s="22"/>
      <c r="RPG1" s="22"/>
      <c r="RPH1" s="22"/>
      <c r="RPI1" s="22"/>
      <c r="RPJ1" s="22"/>
      <c r="RPK1" s="22"/>
      <c r="RPL1" s="22"/>
      <c r="RPM1" s="22"/>
      <c r="RPN1" s="22"/>
      <c r="RPO1" s="22"/>
      <c r="RPP1" s="22"/>
      <c r="RPQ1" s="22"/>
      <c r="RPR1" s="22"/>
      <c r="RPS1" s="22"/>
      <c r="RPT1" s="22"/>
      <c r="RPU1" s="22"/>
      <c r="RPV1" s="22"/>
      <c r="RPW1" s="22"/>
      <c r="RPX1" s="22"/>
      <c r="RPY1" s="22"/>
      <c r="RPZ1" s="22"/>
      <c r="RQA1" s="22"/>
      <c r="RQB1" s="22"/>
      <c r="RQC1" s="22"/>
      <c r="RQD1" s="22"/>
      <c r="RQE1" s="22"/>
      <c r="RQF1" s="22"/>
      <c r="RQG1" s="22"/>
      <c r="RQH1" s="22"/>
      <c r="RQI1" s="22"/>
      <c r="RQJ1" s="22"/>
      <c r="RQK1" s="22"/>
      <c r="RQL1" s="22"/>
      <c r="RQM1" s="22"/>
      <c r="RQN1" s="22"/>
      <c r="RQO1" s="22"/>
      <c r="RQP1" s="22"/>
      <c r="RQQ1" s="22"/>
      <c r="RQR1" s="22"/>
      <c r="RQS1" s="22"/>
      <c r="RQT1" s="22"/>
      <c r="RQU1" s="22"/>
      <c r="RQV1" s="22"/>
      <c r="RQW1" s="22"/>
      <c r="RQX1" s="22"/>
      <c r="RQY1" s="22"/>
      <c r="RQZ1" s="22"/>
      <c r="RRA1" s="22"/>
      <c r="RRB1" s="22"/>
      <c r="RRC1" s="22"/>
      <c r="RRD1" s="22"/>
      <c r="RRE1" s="22"/>
      <c r="RRF1" s="22"/>
      <c r="RRG1" s="22"/>
      <c r="RRH1" s="22"/>
      <c r="RRI1" s="22"/>
      <c r="RRJ1" s="22"/>
      <c r="RRK1" s="22"/>
      <c r="RRL1" s="22"/>
      <c r="RRM1" s="22"/>
      <c r="RRN1" s="22"/>
      <c r="RRO1" s="22"/>
      <c r="RRP1" s="22"/>
      <c r="RRQ1" s="22"/>
      <c r="RRR1" s="22"/>
      <c r="RRS1" s="22"/>
      <c r="RRT1" s="22"/>
      <c r="RRU1" s="22"/>
      <c r="RRV1" s="22"/>
      <c r="RRW1" s="22"/>
      <c r="RRX1" s="22"/>
      <c r="RRY1" s="22"/>
      <c r="RRZ1" s="22"/>
      <c r="RSA1" s="22"/>
      <c r="RSB1" s="22"/>
      <c r="RSC1" s="22"/>
      <c r="RSD1" s="22"/>
      <c r="RSE1" s="22"/>
      <c r="RSF1" s="22"/>
      <c r="RSG1" s="22"/>
      <c r="RSH1" s="22"/>
      <c r="RSI1" s="22"/>
      <c r="RSJ1" s="22"/>
      <c r="RSK1" s="22"/>
      <c r="RSL1" s="22"/>
      <c r="RSM1" s="22"/>
      <c r="RSN1" s="22"/>
      <c r="RSO1" s="22"/>
      <c r="RSP1" s="22"/>
      <c r="RSQ1" s="22"/>
      <c r="RSR1" s="22"/>
      <c r="RSS1" s="22"/>
      <c r="RST1" s="22"/>
      <c r="RSU1" s="22"/>
      <c r="RSV1" s="22"/>
      <c r="RSW1" s="22"/>
      <c r="RSX1" s="22"/>
      <c r="RSY1" s="22"/>
      <c r="RSZ1" s="22"/>
      <c r="RTA1" s="22"/>
      <c r="RTB1" s="22"/>
      <c r="RTC1" s="22"/>
      <c r="RTD1" s="22"/>
      <c r="RTE1" s="22"/>
      <c r="RTF1" s="22"/>
      <c r="RTG1" s="22"/>
      <c r="RTH1" s="22"/>
      <c r="RTI1" s="22"/>
      <c r="RTJ1" s="22"/>
      <c r="RTK1" s="22"/>
      <c r="RTL1" s="22"/>
      <c r="RTM1" s="22"/>
      <c r="RTN1" s="22"/>
      <c r="RTO1" s="22"/>
      <c r="RTP1" s="22"/>
      <c r="RTQ1" s="22"/>
      <c r="RTR1" s="22"/>
      <c r="RTS1" s="22"/>
      <c r="RTT1" s="22"/>
      <c r="RTU1" s="22"/>
      <c r="RTV1" s="22"/>
      <c r="RTW1" s="22"/>
      <c r="RTX1" s="22"/>
      <c r="RTY1" s="22"/>
      <c r="RTZ1" s="22"/>
      <c r="RUA1" s="22"/>
      <c r="RUB1" s="22"/>
      <c r="RUC1" s="22"/>
      <c r="RUD1" s="22"/>
      <c r="RUE1" s="22"/>
      <c r="RUF1" s="22"/>
      <c r="RUG1" s="22"/>
      <c r="RUH1" s="22"/>
      <c r="RUI1" s="22"/>
      <c r="RUJ1" s="22"/>
      <c r="RUK1" s="22"/>
      <c r="RUL1" s="22"/>
      <c r="RUM1" s="22"/>
      <c r="RUN1" s="22"/>
      <c r="RUO1" s="22"/>
      <c r="RUP1" s="22"/>
      <c r="RUQ1" s="22"/>
      <c r="RUR1" s="22"/>
      <c r="RUS1" s="22"/>
      <c r="RUT1" s="22"/>
      <c r="RUU1" s="22"/>
      <c r="RUV1" s="22"/>
      <c r="RUW1" s="22"/>
      <c r="RUX1" s="22"/>
      <c r="RUY1" s="22"/>
      <c r="RUZ1" s="22"/>
      <c r="RVA1" s="22"/>
      <c r="RVB1" s="22"/>
      <c r="RVC1" s="22"/>
      <c r="RVD1" s="22"/>
      <c r="RVE1" s="22"/>
      <c r="RVF1" s="22"/>
      <c r="RVG1" s="22"/>
      <c r="RVH1" s="22"/>
      <c r="RVI1" s="22"/>
      <c r="RVJ1" s="22"/>
      <c r="RVK1" s="22"/>
      <c r="RVL1" s="22"/>
      <c r="RVM1" s="22"/>
      <c r="RVN1" s="22"/>
      <c r="RVO1" s="22"/>
      <c r="RVP1" s="22"/>
      <c r="RVQ1" s="22"/>
      <c r="RVR1" s="22"/>
      <c r="RVS1" s="22"/>
      <c r="RVT1" s="22"/>
      <c r="RVU1" s="22"/>
      <c r="RVV1" s="22"/>
      <c r="RVW1" s="22"/>
      <c r="RVX1" s="22"/>
      <c r="RVY1" s="22"/>
      <c r="RVZ1" s="22"/>
      <c r="RWA1" s="22"/>
      <c r="RWB1" s="22"/>
      <c r="RWC1" s="22"/>
      <c r="RWD1" s="22"/>
      <c r="RWE1" s="22"/>
      <c r="RWF1" s="22"/>
      <c r="RWG1" s="22"/>
      <c r="RWH1" s="22"/>
      <c r="RWI1" s="22"/>
      <c r="RWJ1" s="22"/>
      <c r="RWK1" s="22"/>
      <c r="RWL1" s="22"/>
      <c r="RWM1" s="22"/>
      <c r="RWN1" s="22"/>
      <c r="RWO1" s="22"/>
      <c r="RWP1" s="22"/>
      <c r="RWQ1" s="22"/>
      <c r="RWR1" s="22"/>
      <c r="RWS1" s="22"/>
      <c r="RWT1" s="22"/>
      <c r="RWU1" s="22"/>
      <c r="RWV1" s="22"/>
      <c r="RWW1" s="22"/>
      <c r="RWX1" s="22"/>
      <c r="RWY1" s="22"/>
      <c r="RWZ1" s="22"/>
      <c r="RXA1" s="22"/>
      <c r="RXB1" s="22"/>
      <c r="RXC1" s="22"/>
      <c r="RXD1" s="22"/>
      <c r="RXE1" s="22"/>
      <c r="RXF1" s="22"/>
      <c r="RXG1" s="22"/>
      <c r="RXH1" s="22"/>
      <c r="RXI1" s="22"/>
      <c r="RXJ1" s="22"/>
      <c r="RXK1" s="22"/>
      <c r="RXL1" s="22"/>
      <c r="RXM1" s="22"/>
      <c r="RXN1" s="22"/>
      <c r="RXO1" s="22"/>
      <c r="RXP1" s="22"/>
      <c r="RXQ1" s="22"/>
      <c r="RXR1" s="22"/>
      <c r="RXS1" s="22"/>
      <c r="RXT1" s="22"/>
      <c r="RXU1" s="22"/>
      <c r="RXV1" s="22"/>
      <c r="RXW1" s="22"/>
      <c r="RXX1" s="22"/>
      <c r="RXY1" s="22"/>
      <c r="RXZ1" s="22"/>
      <c r="RYA1" s="22"/>
      <c r="RYB1" s="22"/>
      <c r="RYC1" s="22"/>
      <c r="RYD1" s="22"/>
      <c r="RYE1" s="22"/>
      <c r="RYF1" s="22"/>
      <c r="RYG1" s="22"/>
      <c r="RYH1" s="22"/>
      <c r="RYI1" s="22"/>
      <c r="RYJ1" s="22"/>
      <c r="RYK1" s="22"/>
      <c r="RYL1" s="22"/>
      <c r="RYM1" s="22"/>
      <c r="RYN1" s="22"/>
      <c r="RYO1" s="22"/>
      <c r="RYP1" s="22"/>
      <c r="RYQ1" s="22"/>
      <c r="RYR1" s="22"/>
      <c r="RYS1" s="22"/>
      <c r="RYT1" s="22"/>
      <c r="RYU1" s="22"/>
      <c r="RYV1" s="22"/>
      <c r="RYW1" s="22"/>
      <c r="RYX1" s="22"/>
      <c r="RYY1" s="22"/>
      <c r="RYZ1" s="22"/>
      <c r="RZA1" s="22"/>
      <c r="RZB1" s="22"/>
      <c r="RZC1" s="22"/>
      <c r="RZD1" s="22"/>
      <c r="RZE1" s="22"/>
      <c r="RZF1" s="22"/>
      <c r="RZG1" s="22"/>
      <c r="RZH1" s="22"/>
      <c r="RZI1" s="22"/>
      <c r="RZJ1" s="22"/>
      <c r="RZK1" s="22"/>
      <c r="RZL1" s="22"/>
      <c r="RZM1" s="22"/>
      <c r="RZN1" s="22"/>
      <c r="RZO1" s="22"/>
      <c r="RZP1" s="22"/>
      <c r="RZQ1" s="22"/>
      <c r="RZR1" s="22"/>
      <c r="RZS1" s="22"/>
      <c r="RZT1" s="22"/>
      <c r="RZU1" s="22"/>
      <c r="RZV1" s="22"/>
      <c r="RZW1" s="22"/>
      <c r="RZX1" s="22"/>
      <c r="RZY1" s="22"/>
      <c r="RZZ1" s="22"/>
      <c r="SAA1" s="22"/>
      <c r="SAB1" s="22"/>
      <c r="SAC1" s="22"/>
      <c r="SAD1" s="22"/>
      <c r="SAE1" s="22"/>
      <c r="SAF1" s="22"/>
      <c r="SAG1" s="22"/>
      <c r="SAH1" s="22"/>
      <c r="SAI1" s="22"/>
      <c r="SAJ1" s="22"/>
      <c r="SAK1" s="22"/>
      <c r="SAL1" s="22"/>
      <c r="SAM1" s="22"/>
      <c r="SAN1" s="22"/>
      <c r="SAO1" s="22"/>
      <c r="SAP1" s="22"/>
      <c r="SAQ1" s="22"/>
      <c r="SAR1" s="22"/>
      <c r="SAS1" s="22"/>
      <c r="SAT1" s="22"/>
      <c r="SAU1" s="22"/>
      <c r="SAV1" s="22"/>
      <c r="SAW1" s="22"/>
      <c r="SAX1" s="22"/>
      <c r="SAY1" s="22"/>
      <c r="SAZ1" s="22"/>
      <c r="SBA1" s="22"/>
      <c r="SBB1" s="22"/>
      <c r="SBC1" s="22"/>
      <c r="SBD1" s="22"/>
      <c r="SBE1" s="22"/>
      <c r="SBF1" s="22"/>
      <c r="SBG1" s="22"/>
      <c r="SBH1" s="22"/>
      <c r="SBI1" s="22"/>
      <c r="SBJ1" s="22"/>
      <c r="SBK1" s="22"/>
      <c r="SBL1" s="22"/>
      <c r="SBM1" s="22"/>
      <c r="SBN1" s="22"/>
      <c r="SBO1" s="22"/>
      <c r="SBP1" s="22"/>
      <c r="SBQ1" s="22"/>
      <c r="SBR1" s="22"/>
      <c r="SBS1" s="22"/>
      <c r="SBT1" s="22"/>
      <c r="SBU1" s="22"/>
      <c r="SBV1" s="22"/>
      <c r="SBW1" s="22"/>
      <c r="SBX1" s="22"/>
      <c r="SBY1" s="22"/>
      <c r="SBZ1" s="22"/>
      <c r="SCA1" s="22"/>
      <c r="SCB1" s="22"/>
      <c r="SCC1" s="22"/>
      <c r="SCD1" s="22"/>
      <c r="SCE1" s="22"/>
      <c r="SCF1" s="22"/>
      <c r="SCG1" s="22"/>
      <c r="SCH1" s="22"/>
      <c r="SCI1" s="22"/>
      <c r="SCJ1" s="22"/>
      <c r="SCK1" s="22"/>
      <c r="SCL1" s="22"/>
      <c r="SCM1" s="22"/>
      <c r="SCN1" s="22"/>
      <c r="SCO1" s="22"/>
      <c r="SCP1" s="22"/>
      <c r="SCQ1" s="22"/>
      <c r="SCR1" s="22"/>
      <c r="SCS1" s="22"/>
      <c r="SCT1" s="22"/>
      <c r="SCU1" s="22"/>
      <c r="SCV1" s="22"/>
      <c r="SCW1" s="22"/>
      <c r="SCX1" s="22"/>
      <c r="SCY1" s="22"/>
      <c r="SCZ1" s="22"/>
      <c r="SDA1" s="22"/>
      <c r="SDB1" s="22"/>
      <c r="SDC1" s="22"/>
      <c r="SDD1" s="22"/>
      <c r="SDE1" s="22"/>
      <c r="SDF1" s="22"/>
      <c r="SDG1" s="22"/>
      <c r="SDH1" s="22"/>
      <c r="SDI1" s="22"/>
      <c r="SDJ1" s="22"/>
      <c r="SDK1" s="22"/>
      <c r="SDL1" s="22"/>
      <c r="SDM1" s="22"/>
      <c r="SDN1" s="22"/>
      <c r="SDO1" s="22"/>
      <c r="SDP1" s="22"/>
      <c r="SDQ1" s="22"/>
      <c r="SDR1" s="22"/>
      <c r="SDS1" s="22"/>
      <c r="SDT1" s="22"/>
      <c r="SDU1" s="22"/>
      <c r="SDV1" s="22"/>
      <c r="SDW1" s="22"/>
      <c r="SDX1" s="22"/>
      <c r="SDY1" s="22"/>
      <c r="SDZ1" s="22"/>
      <c r="SEA1" s="22"/>
      <c r="SEB1" s="22"/>
      <c r="SEC1" s="22"/>
      <c r="SED1" s="22"/>
      <c r="SEE1" s="22"/>
      <c r="SEF1" s="22"/>
      <c r="SEG1" s="22"/>
      <c r="SEH1" s="22"/>
      <c r="SEI1" s="22"/>
      <c r="SEJ1" s="22"/>
      <c r="SEK1" s="22"/>
      <c r="SEL1" s="22"/>
      <c r="SEM1" s="22"/>
      <c r="SEN1" s="22"/>
      <c r="SEO1" s="22"/>
      <c r="SEP1" s="22"/>
      <c r="SEQ1" s="22"/>
      <c r="SER1" s="22"/>
      <c r="SES1" s="22"/>
      <c r="SET1" s="22"/>
      <c r="SEU1" s="22"/>
      <c r="SEV1" s="22"/>
      <c r="SEW1" s="22"/>
      <c r="SEX1" s="22"/>
      <c r="SEY1" s="22"/>
      <c r="SEZ1" s="22"/>
      <c r="SFA1" s="22"/>
      <c r="SFB1" s="22"/>
      <c r="SFC1" s="22"/>
      <c r="SFD1" s="22"/>
      <c r="SFE1" s="22"/>
      <c r="SFF1" s="22"/>
      <c r="SFG1" s="22"/>
      <c r="SFH1" s="22"/>
      <c r="SFI1" s="22"/>
      <c r="SFJ1" s="22"/>
      <c r="SFK1" s="22"/>
      <c r="SFL1" s="22"/>
      <c r="SFM1" s="22"/>
      <c r="SFN1" s="22"/>
      <c r="SFO1" s="22"/>
      <c r="SFP1" s="22"/>
      <c r="SFQ1" s="22"/>
      <c r="SFR1" s="22"/>
      <c r="SFS1" s="22"/>
      <c r="SFT1" s="22"/>
      <c r="SFU1" s="22"/>
      <c r="SFV1" s="22"/>
      <c r="SFW1" s="22"/>
      <c r="SFX1" s="22"/>
      <c r="SFY1" s="22"/>
      <c r="SFZ1" s="22"/>
      <c r="SGA1" s="22"/>
      <c r="SGB1" s="22"/>
      <c r="SGC1" s="22"/>
      <c r="SGD1" s="22"/>
      <c r="SGE1" s="22"/>
      <c r="SGF1" s="22"/>
      <c r="SGG1" s="22"/>
      <c r="SGH1" s="22"/>
      <c r="SGI1" s="22"/>
      <c r="SGJ1" s="22"/>
      <c r="SGK1" s="22"/>
      <c r="SGL1" s="22"/>
      <c r="SGM1" s="22"/>
      <c r="SGN1" s="22"/>
      <c r="SGO1" s="22"/>
      <c r="SGP1" s="22"/>
      <c r="SGQ1" s="22"/>
      <c r="SGR1" s="22"/>
      <c r="SGS1" s="22"/>
      <c r="SGT1" s="22"/>
      <c r="SGU1" s="22"/>
      <c r="SGV1" s="22"/>
      <c r="SGW1" s="22"/>
      <c r="SGX1" s="22"/>
      <c r="SGY1" s="22"/>
      <c r="SGZ1" s="22"/>
      <c r="SHA1" s="22"/>
      <c r="SHB1" s="22"/>
      <c r="SHC1" s="22"/>
      <c r="SHD1" s="22"/>
      <c r="SHE1" s="22"/>
      <c r="SHF1" s="22"/>
      <c r="SHG1" s="22"/>
      <c r="SHH1" s="22"/>
      <c r="SHI1" s="22"/>
      <c r="SHJ1" s="22"/>
      <c r="SHK1" s="22"/>
      <c r="SHL1" s="22"/>
      <c r="SHM1" s="22"/>
      <c r="SHN1" s="22"/>
      <c r="SHO1" s="22"/>
      <c r="SHP1" s="22"/>
      <c r="SHQ1" s="22"/>
      <c r="SHR1" s="22"/>
      <c r="SHS1" s="22"/>
      <c r="SHT1" s="22"/>
      <c r="SHU1" s="22"/>
      <c r="SHV1" s="22"/>
      <c r="SHW1" s="22"/>
      <c r="SHX1" s="22"/>
      <c r="SHY1" s="22"/>
      <c r="SHZ1" s="22"/>
      <c r="SIA1" s="22"/>
      <c r="SIB1" s="22"/>
      <c r="SIC1" s="22"/>
      <c r="SID1" s="22"/>
      <c r="SIE1" s="22"/>
      <c r="SIF1" s="22"/>
      <c r="SIG1" s="22"/>
      <c r="SIH1" s="22"/>
      <c r="SII1" s="22"/>
      <c r="SIJ1" s="22"/>
      <c r="SIK1" s="22"/>
      <c r="SIL1" s="22"/>
      <c r="SIM1" s="22"/>
      <c r="SIN1" s="22"/>
      <c r="SIO1" s="22"/>
      <c r="SIP1" s="22"/>
      <c r="SIQ1" s="22"/>
      <c r="SIR1" s="22"/>
      <c r="SIS1" s="22"/>
      <c r="SIT1" s="22"/>
      <c r="SIU1" s="22"/>
      <c r="SIV1" s="22"/>
      <c r="SIW1" s="22"/>
      <c r="SIX1" s="22"/>
      <c r="SIY1" s="22"/>
      <c r="SIZ1" s="22"/>
      <c r="SJA1" s="22"/>
      <c r="SJB1" s="22"/>
      <c r="SJC1" s="22"/>
      <c r="SJD1" s="22"/>
      <c r="SJE1" s="22"/>
      <c r="SJF1" s="22"/>
      <c r="SJG1" s="22"/>
      <c r="SJH1" s="22"/>
      <c r="SJI1" s="22"/>
      <c r="SJJ1" s="22"/>
      <c r="SJK1" s="22"/>
      <c r="SJL1" s="22"/>
      <c r="SJM1" s="22"/>
      <c r="SJN1" s="22"/>
      <c r="SJO1" s="22"/>
      <c r="SJP1" s="22"/>
      <c r="SJQ1" s="22"/>
      <c r="SJR1" s="22"/>
      <c r="SJS1" s="22"/>
      <c r="SJT1" s="22"/>
      <c r="SJU1" s="22"/>
      <c r="SJV1" s="22"/>
      <c r="SJW1" s="22"/>
      <c r="SJX1" s="22"/>
      <c r="SJY1" s="22"/>
      <c r="SJZ1" s="22"/>
      <c r="SKA1" s="22"/>
      <c r="SKB1" s="22"/>
      <c r="SKC1" s="22"/>
      <c r="SKD1" s="22"/>
      <c r="SKE1" s="22"/>
      <c r="SKF1" s="22"/>
      <c r="SKG1" s="22"/>
      <c r="SKH1" s="22"/>
      <c r="SKI1" s="22"/>
      <c r="SKJ1" s="22"/>
      <c r="SKK1" s="22"/>
      <c r="SKL1" s="22"/>
      <c r="SKM1" s="22"/>
      <c r="SKN1" s="22"/>
      <c r="SKO1" s="22"/>
      <c r="SKP1" s="22"/>
      <c r="SKQ1" s="22"/>
      <c r="SKR1" s="22"/>
      <c r="SKS1" s="22"/>
      <c r="SKT1" s="22"/>
      <c r="SKU1" s="22"/>
      <c r="SKV1" s="22"/>
      <c r="SKW1" s="22"/>
      <c r="SKX1" s="22"/>
      <c r="SKY1" s="22"/>
      <c r="SKZ1" s="22"/>
      <c r="SLA1" s="22"/>
      <c r="SLB1" s="22"/>
      <c r="SLC1" s="22"/>
      <c r="SLD1" s="22"/>
      <c r="SLE1" s="22"/>
      <c r="SLF1" s="22"/>
      <c r="SLG1" s="22"/>
      <c r="SLH1" s="22"/>
      <c r="SLI1" s="22"/>
      <c r="SLJ1" s="22"/>
      <c r="SLK1" s="22"/>
      <c r="SLL1" s="22"/>
      <c r="SLM1" s="22"/>
      <c r="SLN1" s="22"/>
      <c r="SLO1" s="22"/>
      <c r="SLP1" s="22"/>
      <c r="SLQ1" s="22"/>
      <c r="SLR1" s="22"/>
      <c r="SLS1" s="22"/>
      <c r="SLT1" s="22"/>
      <c r="SLU1" s="22"/>
      <c r="SLV1" s="22"/>
      <c r="SLW1" s="22"/>
      <c r="SLX1" s="22"/>
      <c r="SLY1" s="22"/>
      <c r="SLZ1" s="22"/>
      <c r="SMA1" s="22"/>
      <c r="SMB1" s="22"/>
      <c r="SMC1" s="22"/>
      <c r="SMD1" s="22"/>
      <c r="SME1" s="22"/>
      <c r="SMF1" s="22"/>
      <c r="SMG1" s="22"/>
      <c r="SMH1" s="22"/>
      <c r="SMI1" s="22"/>
      <c r="SMJ1" s="22"/>
      <c r="SMK1" s="22"/>
      <c r="SML1" s="22"/>
      <c r="SMM1" s="22"/>
      <c r="SMN1" s="22"/>
      <c r="SMO1" s="22"/>
      <c r="SMP1" s="22"/>
      <c r="SMQ1" s="22"/>
      <c r="SMR1" s="22"/>
      <c r="SMS1" s="22"/>
      <c r="SMT1" s="22"/>
      <c r="SMU1" s="22"/>
      <c r="SMV1" s="22"/>
      <c r="SMW1" s="22"/>
      <c r="SMX1" s="22"/>
      <c r="SMY1" s="22"/>
      <c r="SMZ1" s="22"/>
      <c r="SNA1" s="22"/>
      <c r="SNB1" s="22"/>
      <c r="SNC1" s="22"/>
      <c r="SND1" s="22"/>
      <c r="SNE1" s="22"/>
      <c r="SNF1" s="22"/>
      <c r="SNG1" s="22"/>
      <c r="SNH1" s="22"/>
      <c r="SNI1" s="22"/>
      <c r="SNJ1" s="22"/>
      <c r="SNK1" s="22"/>
      <c r="SNL1" s="22"/>
      <c r="SNM1" s="22"/>
      <c r="SNN1" s="22"/>
      <c r="SNO1" s="22"/>
      <c r="SNP1" s="22"/>
      <c r="SNQ1" s="22"/>
      <c r="SNR1" s="22"/>
      <c r="SNS1" s="22"/>
      <c r="SNT1" s="22"/>
      <c r="SNU1" s="22"/>
      <c r="SNV1" s="22"/>
      <c r="SNW1" s="22"/>
      <c r="SNX1" s="22"/>
      <c r="SNY1" s="22"/>
      <c r="SNZ1" s="22"/>
      <c r="SOA1" s="22"/>
      <c r="SOB1" s="22"/>
      <c r="SOC1" s="22"/>
      <c r="SOD1" s="22"/>
      <c r="SOE1" s="22"/>
      <c r="SOF1" s="22"/>
      <c r="SOG1" s="22"/>
      <c r="SOH1" s="22"/>
      <c r="SOI1" s="22"/>
      <c r="SOJ1" s="22"/>
      <c r="SOK1" s="22"/>
      <c r="SOL1" s="22"/>
      <c r="SOM1" s="22"/>
      <c r="SON1" s="22"/>
      <c r="SOO1" s="22"/>
      <c r="SOP1" s="22"/>
      <c r="SOQ1" s="22"/>
      <c r="SOR1" s="22"/>
      <c r="SOS1" s="22"/>
      <c r="SOT1" s="22"/>
      <c r="SOU1" s="22"/>
      <c r="SOV1" s="22"/>
      <c r="SOW1" s="22"/>
      <c r="SOX1" s="22"/>
      <c r="SOY1" s="22"/>
      <c r="SOZ1" s="22"/>
      <c r="SPA1" s="22"/>
      <c r="SPB1" s="22"/>
      <c r="SPC1" s="22"/>
      <c r="SPD1" s="22"/>
      <c r="SPE1" s="22"/>
      <c r="SPF1" s="22"/>
      <c r="SPG1" s="22"/>
      <c r="SPH1" s="22"/>
      <c r="SPI1" s="22"/>
      <c r="SPJ1" s="22"/>
      <c r="SPK1" s="22"/>
      <c r="SPL1" s="22"/>
      <c r="SPM1" s="22"/>
      <c r="SPN1" s="22"/>
      <c r="SPO1" s="22"/>
      <c r="SPP1" s="22"/>
      <c r="SPQ1" s="22"/>
      <c r="SPR1" s="22"/>
      <c r="SPS1" s="22"/>
      <c r="SPT1" s="22"/>
      <c r="SPU1" s="22"/>
      <c r="SPV1" s="22"/>
      <c r="SPW1" s="22"/>
      <c r="SPX1" s="22"/>
      <c r="SPY1" s="22"/>
      <c r="SPZ1" s="22"/>
      <c r="SQA1" s="22"/>
      <c r="SQB1" s="22"/>
      <c r="SQC1" s="22"/>
      <c r="SQD1" s="22"/>
      <c r="SQE1" s="22"/>
      <c r="SQF1" s="22"/>
      <c r="SQG1" s="22"/>
      <c r="SQH1" s="22"/>
      <c r="SQI1" s="22"/>
      <c r="SQJ1" s="22"/>
      <c r="SQK1" s="22"/>
      <c r="SQL1" s="22"/>
      <c r="SQM1" s="22"/>
      <c r="SQN1" s="22"/>
      <c r="SQO1" s="22"/>
      <c r="SQP1" s="22"/>
      <c r="SQQ1" s="22"/>
      <c r="SQR1" s="22"/>
      <c r="SQS1" s="22"/>
      <c r="SQT1" s="22"/>
      <c r="SQU1" s="22"/>
      <c r="SQV1" s="22"/>
      <c r="SQW1" s="22"/>
      <c r="SQX1" s="22"/>
      <c r="SQY1" s="22"/>
      <c r="SQZ1" s="22"/>
      <c r="SRA1" s="22"/>
      <c r="SRB1" s="22"/>
      <c r="SRC1" s="22"/>
      <c r="SRD1" s="22"/>
      <c r="SRE1" s="22"/>
      <c r="SRF1" s="22"/>
      <c r="SRG1" s="22"/>
      <c r="SRH1" s="22"/>
      <c r="SRI1" s="22"/>
      <c r="SRJ1" s="22"/>
      <c r="SRK1" s="22"/>
      <c r="SRL1" s="22"/>
      <c r="SRM1" s="22"/>
      <c r="SRN1" s="22"/>
      <c r="SRO1" s="22"/>
      <c r="SRP1" s="22"/>
      <c r="SRQ1" s="22"/>
      <c r="SRR1" s="22"/>
      <c r="SRS1" s="22"/>
      <c r="SRT1" s="22"/>
      <c r="SRU1" s="22"/>
      <c r="SRV1" s="22"/>
      <c r="SRW1" s="22"/>
      <c r="SRX1" s="22"/>
      <c r="SRY1" s="22"/>
      <c r="SRZ1" s="22"/>
      <c r="SSA1" s="22"/>
      <c r="SSB1" s="22"/>
      <c r="SSC1" s="22"/>
      <c r="SSD1" s="22"/>
      <c r="SSE1" s="22"/>
      <c r="SSF1" s="22"/>
      <c r="SSG1" s="22"/>
      <c r="SSH1" s="22"/>
      <c r="SSI1" s="22"/>
      <c r="SSJ1" s="22"/>
      <c r="SSK1" s="22"/>
      <c r="SSL1" s="22"/>
      <c r="SSM1" s="22"/>
      <c r="SSN1" s="22"/>
      <c r="SSO1" s="22"/>
      <c r="SSP1" s="22"/>
      <c r="SSQ1" s="22"/>
      <c r="SSR1" s="22"/>
      <c r="SSS1" s="22"/>
      <c r="SST1" s="22"/>
      <c r="SSU1" s="22"/>
      <c r="SSV1" s="22"/>
      <c r="SSW1" s="22"/>
      <c r="SSX1" s="22"/>
      <c r="SSY1" s="22"/>
      <c r="SSZ1" s="22"/>
      <c r="STA1" s="22"/>
      <c r="STB1" s="22"/>
      <c r="STC1" s="22"/>
      <c r="STD1" s="22"/>
      <c r="STE1" s="22"/>
      <c r="STF1" s="22"/>
      <c r="STG1" s="22"/>
      <c r="STH1" s="22"/>
      <c r="STI1" s="22"/>
      <c r="STJ1" s="22"/>
      <c r="STK1" s="22"/>
      <c r="STL1" s="22"/>
      <c r="STM1" s="22"/>
      <c r="STN1" s="22"/>
      <c r="STO1" s="22"/>
      <c r="STP1" s="22"/>
      <c r="STQ1" s="22"/>
      <c r="STR1" s="22"/>
      <c r="STS1" s="22"/>
      <c r="STT1" s="22"/>
      <c r="STU1" s="22"/>
      <c r="STV1" s="22"/>
      <c r="STW1" s="22"/>
      <c r="STX1" s="22"/>
      <c r="STY1" s="22"/>
      <c r="STZ1" s="22"/>
      <c r="SUA1" s="22"/>
      <c r="SUB1" s="22"/>
      <c r="SUC1" s="22"/>
      <c r="SUD1" s="22"/>
      <c r="SUE1" s="22"/>
      <c r="SUF1" s="22"/>
      <c r="SUG1" s="22"/>
      <c r="SUH1" s="22"/>
      <c r="SUI1" s="22"/>
      <c r="SUJ1" s="22"/>
      <c r="SUK1" s="22"/>
      <c r="SUL1" s="22"/>
      <c r="SUM1" s="22"/>
      <c r="SUN1" s="22"/>
      <c r="SUO1" s="22"/>
      <c r="SUP1" s="22"/>
      <c r="SUQ1" s="22"/>
      <c r="SUR1" s="22"/>
      <c r="SUS1" s="22"/>
      <c r="SUT1" s="22"/>
      <c r="SUU1" s="22"/>
      <c r="SUV1" s="22"/>
      <c r="SUW1" s="22"/>
      <c r="SUX1" s="22"/>
      <c r="SUY1" s="22"/>
      <c r="SUZ1" s="22"/>
      <c r="SVA1" s="22"/>
      <c r="SVB1" s="22"/>
      <c r="SVC1" s="22"/>
      <c r="SVD1" s="22"/>
      <c r="SVE1" s="22"/>
      <c r="SVF1" s="22"/>
      <c r="SVG1" s="22"/>
      <c r="SVH1" s="22"/>
      <c r="SVI1" s="22"/>
      <c r="SVJ1" s="22"/>
      <c r="SVK1" s="22"/>
      <c r="SVL1" s="22"/>
      <c r="SVM1" s="22"/>
      <c r="SVN1" s="22"/>
      <c r="SVO1" s="22"/>
      <c r="SVP1" s="22"/>
      <c r="SVQ1" s="22"/>
      <c r="SVR1" s="22"/>
      <c r="SVS1" s="22"/>
      <c r="SVT1" s="22"/>
      <c r="SVU1" s="22"/>
      <c r="SVV1" s="22"/>
      <c r="SVW1" s="22"/>
      <c r="SVX1" s="22"/>
      <c r="SVY1" s="22"/>
      <c r="SVZ1" s="22"/>
      <c r="SWA1" s="22"/>
      <c r="SWB1" s="22"/>
      <c r="SWC1" s="22"/>
      <c r="SWD1" s="22"/>
      <c r="SWE1" s="22"/>
      <c r="SWF1" s="22"/>
      <c r="SWG1" s="22"/>
      <c r="SWH1" s="22"/>
      <c r="SWI1" s="22"/>
      <c r="SWJ1" s="22"/>
      <c r="SWK1" s="22"/>
      <c r="SWL1" s="22"/>
      <c r="SWM1" s="22"/>
      <c r="SWN1" s="22"/>
      <c r="SWO1" s="22"/>
      <c r="SWP1" s="22"/>
      <c r="SWQ1" s="22"/>
      <c r="SWR1" s="22"/>
      <c r="SWS1" s="22"/>
      <c r="SWT1" s="22"/>
      <c r="SWU1" s="22"/>
      <c r="SWV1" s="22"/>
      <c r="SWW1" s="22"/>
      <c r="SWX1" s="22"/>
      <c r="SWY1" s="22"/>
      <c r="SWZ1" s="22"/>
      <c r="SXA1" s="22"/>
      <c r="SXB1" s="22"/>
      <c r="SXC1" s="22"/>
      <c r="SXD1" s="22"/>
      <c r="SXE1" s="22"/>
      <c r="SXF1" s="22"/>
      <c r="SXG1" s="22"/>
      <c r="SXH1" s="22"/>
      <c r="SXI1" s="22"/>
      <c r="SXJ1" s="22"/>
      <c r="SXK1" s="22"/>
      <c r="SXL1" s="22"/>
      <c r="SXM1" s="22"/>
      <c r="SXN1" s="22"/>
      <c r="SXO1" s="22"/>
      <c r="SXP1" s="22"/>
      <c r="SXQ1" s="22"/>
      <c r="SXR1" s="22"/>
      <c r="SXS1" s="22"/>
      <c r="SXT1" s="22"/>
      <c r="SXU1" s="22"/>
      <c r="SXV1" s="22"/>
      <c r="SXW1" s="22"/>
      <c r="SXX1" s="22"/>
      <c r="SXY1" s="22"/>
      <c r="SXZ1" s="22"/>
      <c r="SYA1" s="22"/>
      <c r="SYB1" s="22"/>
      <c r="SYC1" s="22"/>
      <c r="SYD1" s="22"/>
      <c r="SYE1" s="22"/>
      <c r="SYF1" s="22"/>
      <c r="SYG1" s="22"/>
      <c r="SYH1" s="22"/>
      <c r="SYI1" s="22"/>
      <c r="SYJ1" s="22"/>
      <c r="SYK1" s="22"/>
      <c r="SYL1" s="22"/>
      <c r="SYM1" s="22"/>
      <c r="SYN1" s="22"/>
      <c r="SYO1" s="22"/>
      <c r="SYP1" s="22"/>
      <c r="SYQ1" s="22"/>
      <c r="SYR1" s="22"/>
      <c r="SYS1" s="22"/>
      <c r="SYT1" s="22"/>
      <c r="SYU1" s="22"/>
      <c r="SYV1" s="22"/>
      <c r="SYW1" s="22"/>
      <c r="SYX1" s="22"/>
      <c r="SYY1" s="22"/>
      <c r="SYZ1" s="22"/>
      <c r="SZA1" s="22"/>
      <c r="SZB1" s="22"/>
      <c r="SZC1" s="22"/>
      <c r="SZD1" s="22"/>
      <c r="SZE1" s="22"/>
      <c r="SZF1" s="22"/>
      <c r="SZG1" s="22"/>
      <c r="SZH1" s="22"/>
      <c r="SZI1" s="22"/>
      <c r="SZJ1" s="22"/>
      <c r="SZK1" s="22"/>
      <c r="SZL1" s="22"/>
      <c r="SZM1" s="22"/>
      <c r="SZN1" s="22"/>
      <c r="SZO1" s="22"/>
      <c r="SZP1" s="22"/>
      <c r="SZQ1" s="22"/>
      <c r="SZR1" s="22"/>
      <c r="SZS1" s="22"/>
      <c r="SZT1" s="22"/>
      <c r="SZU1" s="22"/>
      <c r="SZV1" s="22"/>
      <c r="SZW1" s="22"/>
      <c r="SZX1" s="22"/>
      <c r="SZY1" s="22"/>
      <c r="SZZ1" s="22"/>
      <c r="TAA1" s="22"/>
      <c r="TAB1" s="22"/>
      <c r="TAC1" s="22"/>
      <c r="TAD1" s="22"/>
      <c r="TAE1" s="22"/>
      <c r="TAF1" s="22"/>
      <c r="TAG1" s="22"/>
      <c r="TAH1" s="22"/>
      <c r="TAI1" s="22"/>
      <c r="TAJ1" s="22"/>
      <c r="TAK1" s="22"/>
      <c r="TAL1" s="22"/>
      <c r="TAM1" s="22"/>
      <c r="TAN1" s="22"/>
      <c r="TAO1" s="22"/>
      <c r="TAP1" s="22"/>
      <c r="TAQ1" s="22"/>
      <c r="TAR1" s="22"/>
      <c r="TAS1" s="22"/>
      <c r="TAT1" s="22"/>
      <c r="TAU1" s="22"/>
      <c r="TAV1" s="22"/>
      <c r="TAW1" s="22"/>
      <c r="TAX1" s="22"/>
      <c r="TAY1" s="22"/>
      <c r="TAZ1" s="22"/>
      <c r="TBA1" s="22"/>
      <c r="TBB1" s="22"/>
      <c r="TBC1" s="22"/>
      <c r="TBD1" s="22"/>
      <c r="TBE1" s="22"/>
      <c r="TBF1" s="22"/>
      <c r="TBG1" s="22"/>
      <c r="TBH1" s="22"/>
      <c r="TBI1" s="22"/>
      <c r="TBJ1" s="22"/>
      <c r="TBK1" s="22"/>
      <c r="TBL1" s="22"/>
      <c r="TBM1" s="22"/>
      <c r="TBN1" s="22"/>
      <c r="TBO1" s="22"/>
      <c r="TBP1" s="22"/>
      <c r="TBQ1" s="22"/>
      <c r="TBR1" s="22"/>
      <c r="TBS1" s="22"/>
      <c r="TBT1" s="22"/>
      <c r="TBU1" s="22"/>
      <c r="TBV1" s="22"/>
      <c r="TBW1" s="22"/>
      <c r="TBX1" s="22"/>
      <c r="TBY1" s="22"/>
      <c r="TBZ1" s="22"/>
      <c r="TCA1" s="22"/>
      <c r="TCB1" s="22"/>
      <c r="TCC1" s="22"/>
      <c r="TCD1" s="22"/>
      <c r="TCE1" s="22"/>
      <c r="TCF1" s="22"/>
      <c r="TCG1" s="22"/>
      <c r="TCH1" s="22"/>
      <c r="TCI1" s="22"/>
      <c r="TCJ1" s="22"/>
      <c r="TCK1" s="22"/>
      <c r="TCL1" s="22"/>
      <c r="TCM1" s="22"/>
      <c r="TCN1" s="22"/>
      <c r="TCO1" s="22"/>
      <c r="TCP1" s="22"/>
      <c r="TCQ1" s="22"/>
      <c r="TCR1" s="22"/>
      <c r="TCS1" s="22"/>
      <c r="TCT1" s="22"/>
      <c r="TCU1" s="22"/>
      <c r="TCV1" s="22"/>
      <c r="TCW1" s="22"/>
      <c r="TCX1" s="22"/>
      <c r="TCY1" s="22"/>
      <c r="TCZ1" s="22"/>
      <c r="TDA1" s="22"/>
      <c r="TDB1" s="22"/>
      <c r="TDC1" s="22"/>
      <c r="TDD1" s="22"/>
      <c r="TDE1" s="22"/>
      <c r="TDF1" s="22"/>
      <c r="TDG1" s="22"/>
      <c r="TDH1" s="22"/>
      <c r="TDI1" s="22"/>
      <c r="TDJ1" s="22"/>
      <c r="TDK1" s="22"/>
      <c r="TDL1" s="22"/>
      <c r="TDM1" s="22"/>
      <c r="TDN1" s="22"/>
      <c r="TDO1" s="22"/>
      <c r="TDP1" s="22"/>
      <c r="TDQ1" s="22"/>
      <c r="TDR1" s="22"/>
      <c r="TDS1" s="22"/>
      <c r="TDT1" s="22"/>
      <c r="TDU1" s="22"/>
      <c r="TDV1" s="22"/>
      <c r="TDW1" s="22"/>
      <c r="TDX1" s="22"/>
      <c r="TDY1" s="22"/>
      <c r="TDZ1" s="22"/>
      <c r="TEA1" s="22"/>
      <c r="TEB1" s="22"/>
      <c r="TEC1" s="22"/>
      <c r="TED1" s="22"/>
      <c r="TEE1" s="22"/>
      <c r="TEF1" s="22"/>
      <c r="TEG1" s="22"/>
      <c r="TEH1" s="22"/>
      <c r="TEI1" s="22"/>
      <c r="TEJ1" s="22"/>
      <c r="TEK1" s="22"/>
      <c r="TEL1" s="22"/>
      <c r="TEM1" s="22"/>
      <c r="TEN1" s="22"/>
      <c r="TEO1" s="22"/>
      <c r="TEP1" s="22"/>
      <c r="TEQ1" s="22"/>
      <c r="TER1" s="22"/>
      <c r="TES1" s="22"/>
      <c r="TET1" s="22"/>
      <c r="TEU1" s="22"/>
      <c r="TEV1" s="22"/>
      <c r="TEW1" s="22"/>
      <c r="TEX1" s="22"/>
      <c r="TEY1" s="22"/>
      <c r="TEZ1" s="22"/>
      <c r="TFA1" s="22"/>
      <c r="TFB1" s="22"/>
      <c r="TFC1" s="22"/>
      <c r="TFD1" s="22"/>
      <c r="TFE1" s="22"/>
      <c r="TFF1" s="22"/>
      <c r="TFG1" s="22"/>
      <c r="TFH1" s="22"/>
      <c r="TFI1" s="22"/>
      <c r="TFJ1" s="22"/>
      <c r="TFK1" s="22"/>
      <c r="TFL1" s="22"/>
      <c r="TFM1" s="22"/>
      <c r="TFN1" s="22"/>
      <c r="TFO1" s="22"/>
      <c r="TFP1" s="22"/>
      <c r="TFQ1" s="22"/>
      <c r="TFR1" s="22"/>
      <c r="TFS1" s="22"/>
      <c r="TFT1" s="22"/>
      <c r="TFU1" s="22"/>
      <c r="TFV1" s="22"/>
      <c r="TFW1" s="22"/>
      <c r="TFX1" s="22"/>
      <c r="TFY1" s="22"/>
      <c r="TFZ1" s="22"/>
      <c r="TGA1" s="22"/>
      <c r="TGB1" s="22"/>
      <c r="TGC1" s="22"/>
      <c r="TGD1" s="22"/>
      <c r="TGE1" s="22"/>
      <c r="TGF1" s="22"/>
      <c r="TGG1" s="22"/>
      <c r="TGH1" s="22"/>
      <c r="TGI1" s="22"/>
      <c r="TGJ1" s="22"/>
      <c r="TGK1" s="22"/>
      <c r="TGL1" s="22"/>
      <c r="TGM1" s="22"/>
      <c r="TGN1" s="22"/>
      <c r="TGO1" s="22"/>
      <c r="TGP1" s="22"/>
      <c r="TGQ1" s="22"/>
      <c r="TGR1" s="22"/>
      <c r="TGS1" s="22"/>
      <c r="TGT1" s="22"/>
      <c r="TGU1" s="22"/>
      <c r="TGV1" s="22"/>
      <c r="TGW1" s="22"/>
      <c r="TGX1" s="22"/>
      <c r="TGY1" s="22"/>
      <c r="TGZ1" s="22"/>
      <c r="THA1" s="22"/>
      <c r="THB1" s="22"/>
      <c r="THC1" s="22"/>
      <c r="THD1" s="22"/>
      <c r="THE1" s="22"/>
      <c r="THF1" s="22"/>
      <c r="THG1" s="22"/>
      <c r="THH1" s="22"/>
      <c r="THI1" s="22"/>
      <c r="THJ1" s="22"/>
      <c r="THK1" s="22"/>
      <c r="THL1" s="22"/>
      <c r="THM1" s="22"/>
      <c r="THN1" s="22"/>
      <c r="THO1" s="22"/>
      <c r="THP1" s="22"/>
      <c r="THQ1" s="22"/>
      <c r="THR1" s="22"/>
      <c r="THS1" s="22"/>
      <c r="THT1" s="22"/>
      <c r="THU1" s="22"/>
      <c r="THV1" s="22"/>
      <c r="THW1" s="22"/>
      <c r="THX1" s="22"/>
      <c r="THY1" s="22"/>
      <c r="THZ1" s="22"/>
      <c r="TIA1" s="22"/>
      <c r="TIB1" s="22"/>
      <c r="TIC1" s="22"/>
      <c r="TID1" s="22"/>
      <c r="TIE1" s="22"/>
      <c r="TIF1" s="22"/>
      <c r="TIG1" s="22"/>
      <c r="TIH1" s="22"/>
      <c r="TII1" s="22"/>
      <c r="TIJ1" s="22"/>
      <c r="TIK1" s="22"/>
      <c r="TIL1" s="22"/>
      <c r="TIM1" s="22"/>
      <c r="TIN1" s="22"/>
      <c r="TIO1" s="22"/>
      <c r="TIP1" s="22"/>
      <c r="TIQ1" s="22"/>
      <c r="TIR1" s="22"/>
      <c r="TIS1" s="22"/>
      <c r="TIT1" s="22"/>
      <c r="TIU1" s="22"/>
      <c r="TIV1" s="22"/>
      <c r="TIW1" s="22"/>
      <c r="TIX1" s="22"/>
      <c r="TIY1" s="22"/>
      <c r="TIZ1" s="22"/>
      <c r="TJA1" s="22"/>
      <c r="TJB1" s="22"/>
      <c r="TJC1" s="22"/>
      <c r="TJD1" s="22"/>
      <c r="TJE1" s="22"/>
      <c r="TJF1" s="22"/>
      <c r="TJG1" s="22"/>
      <c r="TJH1" s="22"/>
      <c r="TJI1" s="22"/>
      <c r="TJJ1" s="22"/>
      <c r="TJK1" s="22"/>
      <c r="TJL1" s="22"/>
      <c r="TJM1" s="22"/>
      <c r="TJN1" s="22"/>
      <c r="TJO1" s="22"/>
      <c r="TJP1" s="22"/>
      <c r="TJQ1" s="22"/>
      <c r="TJR1" s="22"/>
      <c r="TJS1" s="22"/>
      <c r="TJT1" s="22"/>
      <c r="TJU1" s="22"/>
      <c r="TJV1" s="22"/>
      <c r="TJW1" s="22"/>
      <c r="TJX1" s="22"/>
      <c r="TJY1" s="22"/>
      <c r="TJZ1" s="22"/>
      <c r="TKA1" s="22"/>
      <c r="TKB1" s="22"/>
      <c r="TKC1" s="22"/>
      <c r="TKD1" s="22"/>
      <c r="TKE1" s="22"/>
      <c r="TKF1" s="22"/>
      <c r="TKG1" s="22"/>
      <c r="TKH1" s="22"/>
      <c r="TKI1" s="22"/>
      <c r="TKJ1" s="22"/>
      <c r="TKK1" s="22"/>
      <c r="TKL1" s="22"/>
      <c r="TKM1" s="22"/>
      <c r="TKN1" s="22"/>
      <c r="TKO1" s="22"/>
      <c r="TKP1" s="22"/>
      <c r="TKQ1" s="22"/>
      <c r="TKR1" s="22"/>
      <c r="TKS1" s="22"/>
      <c r="TKT1" s="22"/>
      <c r="TKU1" s="22"/>
      <c r="TKV1" s="22"/>
      <c r="TKW1" s="22"/>
      <c r="TKX1" s="22"/>
      <c r="TKY1" s="22"/>
      <c r="TKZ1" s="22"/>
      <c r="TLA1" s="22"/>
      <c r="TLB1" s="22"/>
      <c r="TLC1" s="22"/>
      <c r="TLD1" s="22"/>
      <c r="TLE1" s="22"/>
      <c r="TLF1" s="22"/>
      <c r="TLG1" s="22"/>
      <c r="TLH1" s="22"/>
      <c r="TLI1" s="22"/>
      <c r="TLJ1" s="22"/>
      <c r="TLK1" s="22"/>
      <c r="TLL1" s="22"/>
      <c r="TLM1" s="22"/>
      <c r="TLN1" s="22"/>
      <c r="TLO1" s="22"/>
      <c r="TLP1" s="22"/>
      <c r="TLQ1" s="22"/>
      <c r="TLR1" s="22"/>
      <c r="TLS1" s="22"/>
      <c r="TLT1" s="22"/>
      <c r="TLU1" s="22"/>
      <c r="TLV1" s="22"/>
      <c r="TLW1" s="22"/>
      <c r="TLX1" s="22"/>
      <c r="TLY1" s="22"/>
      <c r="TLZ1" s="22"/>
      <c r="TMA1" s="22"/>
      <c r="TMB1" s="22"/>
      <c r="TMC1" s="22"/>
      <c r="TMD1" s="22"/>
      <c r="TME1" s="22"/>
      <c r="TMF1" s="22"/>
      <c r="TMG1" s="22"/>
      <c r="TMH1" s="22"/>
      <c r="TMI1" s="22"/>
      <c r="TMJ1" s="22"/>
      <c r="TMK1" s="22"/>
      <c r="TML1" s="22"/>
      <c r="TMM1" s="22"/>
      <c r="TMN1" s="22"/>
      <c r="TMO1" s="22"/>
      <c r="TMP1" s="22"/>
      <c r="TMQ1" s="22"/>
      <c r="TMR1" s="22"/>
      <c r="TMS1" s="22"/>
      <c r="TMT1" s="22"/>
      <c r="TMU1" s="22"/>
      <c r="TMV1" s="22"/>
      <c r="TMW1" s="22"/>
      <c r="TMX1" s="22"/>
      <c r="TMY1" s="22"/>
      <c r="TMZ1" s="22"/>
      <c r="TNA1" s="22"/>
      <c r="TNB1" s="22"/>
      <c r="TNC1" s="22"/>
      <c r="TND1" s="22"/>
      <c r="TNE1" s="22"/>
      <c r="TNF1" s="22"/>
      <c r="TNG1" s="22"/>
      <c r="TNH1" s="22"/>
      <c r="TNI1" s="22"/>
      <c r="TNJ1" s="22"/>
      <c r="TNK1" s="22"/>
      <c r="TNL1" s="22"/>
      <c r="TNM1" s="22"/>
      <c r="TNN1" s="22"/>
      <c r="TNO1" s="22"/>
      <c r="TNP1" s="22"/>
      <c r="TNQ1" s="22"/>
      <c r="TNR1" s="22"/>
      <c r="TNS1" s="22"/>
      <c r="TNT1" s="22"/>
      <c r="TNU1" s="22"/>
      <c r="TNV1" s="22"/>
      <c r="TNW1" s="22"/>
      <c r="TNX1" s="22"/>
      <c r="TNY1" s="22"/>
      <c r="TNZ1" s="22"/>
      <c r="TOA1" s="22"/>
      <c r="TOB1" s="22"/>
      <c r="TOC1" s="22"/>
      <c r="TOD1" s="22"/>
      <c r="TOE1" s="22"/>
      <c r="TOF1" s="22"/>
      <c r="TOG1" s="22"/>
      <c r="TOH1" s="22"/>
      <c r="TOI1" s="22"/>
      <c r="TOJ1" s="22"/>
      <c r="TOK1" s="22"/>
      <c r="TOL1" s="22"/>
      <c r="TOM1" s="22"/>
      <c r="TON1" s="22"/>
      <c r="TOO1" s="22"/>
      <c r="TOP1" s="22"/>
      <c r="TOQ1" s="22"/>
      <c r="TOR1" s="22"/>
      <c r="TOS1" s="22"/>
      <c r="TOT1" s="22"/>
      <c r="TOU1" s="22"/>
      <c r="TOV1" s="22"/>
      <c r="TOW1" s="22"/>
      <c r="TOX1" s="22"/>
      <c r="TOY1" s="22"/>
      <c r="TOZ1" s="22"/>
      <c r="TPA1" s="22"/>
      <c r="TPB1" s="22"/>
      <c r="TPC1" s="22"/>
      <c r="TPD1" s="22"/>
      <c r="TPE1" s="22"/>
      <c r="TPF1" s="22"/>
      <c r="TPG1" s="22"/>
      <c r="TPH1" s="22"/>
      <c r="TPI1" s="22"/>
      <c r="TPJ1" s="22"/>
      <c r="TPK1" s="22"/>
      <c r="TPL1" s="22"/>
      <c r="TPM1" s="22"/>
      <c r="TPN1" s="22"/>
      <c r="TPO1" s="22"/>
      <c r="TPP1" s="22"/>
      <c r="TPQ1" s="22"/>
      <c r="TPR1" s="22"/>
      <c r="TPS1" s="22"/>
      <c r="TPT1" s="22"/>
      <c r="TPU1" s="22"/>
      <c r="TPV1" s="22"/>
      <c r="TPW1" s="22"/>
      <c r="TPX1" s="22"/>
      <c r="TPY1" s="22"/>
      <c r="TPZ1" s="22"/>
      <c r="TQA1" s="22"/>
      <c r="TQB1" s="22"/>
      <c r="TQC1" s="22"/>
      <c r="TQD1" s="22"/>
      <c r="TQE1" s="22"/>
      <c r="TQF1" s="22"/>
      <c r="TQG1" s="22"/>
      <c r="TQH1" s="22"/>
      <c r="TQI1" s="22"/>
      <c r="TQJ1" s="22"/>
      <c r="TQK1" s="22"/>
      <c r="TQL1" s="22"/>
      <c r="TQM1" s="22"/>
      <c r="TQN1" s="22"/>
      <c r="TQO1" s="22"/>
      <c r="TQP1" s="22"/>
      <c r="TQQ1" s="22"/>
      <c r="TQR1" s="22"/>
      <c r="TQS1" s="22"/>
      <c r="TQT1" s="22"/>
      <c r="TQU1" s="22"/>
      <c r="TQV1" s="22"/>
      <c r="TQW1" s="22"/>
      <c r="TQX1" s="22"/>
      <c r="TQY1" s="22"/>
      <c r="TQZ1" s="22"/>
      <c r="TRA1" s="22"/>
      <c r="TRB1" s="22"/>
      <c r="TRC1" s="22"/>
      <c r="TRD1" s="22"/>
      <c r="TRE1" s="22"/>
      <c r="TRF1" s="22"/>
      <c r="TRG1" s="22"/>
      <c r="TRH1" s="22"/>
      <c r="TRI1" s="22"/>
      <c r="TRJ1" s="22"/>
      <c r="TRK1" s="22"/>
      <c r="TRL1" s="22"/>
      <c r="TRM1" s="22"/>
      <c r="TRN1" s="22"/>
      <c r="TRO1" s="22"/>
      <c r="TRP1" s="22"/>
      <c r="TRQ1" s="22"/>
      <c r="TRR1" s="22"/>
      <c r="TRS1" s="22"/>
      <c r="TRT1" s="22"/>
      <c r="TRU1" s="22"/>
      <c r="TRV1" s="22"/>
      <c r="TRW1" s="22"/>
      <c r="TRX1" s="22"/>
      <c r="TRY1" s="22"/>
      <c r="TRZ1" s="22"/>
      <c r="TSA1" s="22"/>
      <c r="TSB1" s="22"/>
      <c r="TSC1" s="22"/>
      <c r="TSD1" s="22"/>
      <c r="TSE1" s="22"/>
      <c r="TSF1" s="22"/>
      <c r="TSG1" s="22"/>
      <c r="TSH1" s="22"/>
      <c r="TSI1" s="22"/>
      <c r="TSJ1" s="22"/>
      <c r="TSK1" s="22"/>
      <c r="TSL1" s="22"/>
      <c r="TSM1" s="22"/>
      <c r="TSN1" s="22"/>
      <c r="TSO1" s="22"/>
      <c r="TSP1" s="22"/>
      <c r="TSQ1" s="22"/>
      <c r="TSR1" s="22"/>
      <c r="TSS1" s="22"/>
      <c r="TST1" s="22"/>
      <c r="TSU1" s="22"/>
      <c r="TSV1" s="22"/>
      <c r="TSW1" s="22"/>
      <c r="TSX1" s="22"/>
      <c r="TSY1" s="22"/>
      <c r="TSZ1" s="22"/>
      <c r="TTA1" s="22"/>
      <c r="TTB1" s="22"/>
      <c r="TTC1" s="22"/>
      <c r="TTD1" s="22"/>
      <c r="TTE1" s="22"/>
      <c r="TTF1" s="22"/>
      <c r="TTG1" s="22"/>
      <c r="TTH1" s="22"/>
      <c r="TTI1" s="22"/>
      <c r="TTJ1" s="22"/>
      <c r="TTK1" s="22"/>
      <c r="TTL1" s="22"/>
      <c r="TTM1" s="22"/>
      <c r="TTN1" s="22"/>
      <c r="TTO1" s="22"/>
      <c r="TTP1" s="22"/>
      <c r="TTQ1" s="22"/>
      <c r="TTR1" s="22"/>
      <c r="TTS1" s="22"/>
      <c r="TTT1" s="22"/>
      <c r="TTU1" s="22"/>
      <c r="TTV1" s="22"/>
      <c r="TTW1" s="22"/>
      <c r="TTX1" s="22"/>
      <c r="TTY1" s="22"/>
      <c r="TTZ1" s="22"/>
      <c r="TUA1" s="22"/>
      <c r="TUB1" s="22"/>
      <c r="TUC1" s="22"/>
      <c r="TUD1" s="22"/>
      <c r="TUE1" s="22"/>
      <c r="TUF1" s="22"/>
      <c r="TUG1" s="22"/>
      <c r="TUH1" s="22"/>
      <c r="TUI1" s="22"/>
      <c r="TUJ1" s="22"/>
      <c r="TUK1" s="22"/>
      <c r="TUL1" s="22"/>
      <c r="TUM1" s="22"/>
      <c r="TUN1" s="22"/>
      <c r="TUO1" s="22"/>
      <c r="TUP1" s="22"/>
      <c r="TUQ1" s="22"/>
      <c r="TUR1" s="22"/>
      <c r="TUS1" s="22"/>
      <c r="TUT1" s="22"/>
      <c r="TUU1" s="22"/>
      <c r="TUV1" s="22"/>
      <c r="TUW1" s="22"/>
      <c r="TUX1" s="22"/>
      <c r="TUY1" s="22"/>
      <c r="TUZ1" s="22"/>
      <c r="TVA1" s="22"/>
      <c r="TVB1" s="22"/>
      <c r="TVC1" s="22"/>
      <c r="TVD1" s="22"/>
      <c r="TVE1" s="22"/>
      <c r="TVF1" s="22"/>
      <c r="TVG1" s="22"/>
      <c r="TVH1" s="22"/>
      <c r="TVI1" s="22"/>
      <c r="TVJ1" s="22"/>
      <c r="TVK1" s="22"/>
      <c r="TVL1" s="22"/>
      <c r="TVM1" s="22"/>
      <c r="TVN1" s="22"/>
      <c r="TVO1" s="22"/>
      <c r="TVP1" s="22"/>
      <c r="TVQ1" s="22"/>
      <c r="TVR1" s="22"/>
      <c r="TVS1" s="22"/>
      <c r="TVT1" s="22"/>
      <c r="TVU1" s="22"/>
      <c r="TVV1" s="22"/>
      <c r="TVW1" s="22"/>
      <c r="TVX1" s="22"/>
      <c r="TVY1" s="22"/>
      <c r="TVZ1" s="22"/>
      <c r="TWA1" s="22"/>
      <c r="TWB1" s="22"/>
      <c r="TWC1" s="22"/>
      <c r="TWD1" s="22"/>
      <c r="TWE1" s="22"/>
      <c r="TWF1" s="22"/>
      <c r="TWG1" s="22"/>
      <c r="TWH1" s="22"/>
      <c r="TWI1" s="22"/>
      <c r="TWJ1" s="22"/>
      <c r="TWK1" s="22"/>
      <c r="TWL1" s="22"/>
      <c r="TWM1" s="22"/>
      <c r="TWN1" s="22"/>
      <c r="TWO1" s="22"/>
      <c r="TWP1" s="22"/>
      <c r="TWQ1" s="22"/>
      <c r="TWR1" s="22"/>
      <c r="TWS1" s="22"/>
      <c r="TWT1" s="22"/>
      <c r="TWU1" s="22"/>
      <c r="TWV1" s="22"/>
      <c r="TWW1" s="22"/>
      <c r="TWX1" s="22"/>
      <c r="TWY1" s="22"/>
      <c r="TWZ1" s="22"/>
      <c r="TXA1" s="22"/>
      <c r="TXB1" s="22"/>
      <c r="TXC1" s="22"/>
      <c r="TXD1" s="22"/>
      <c r="TXE1" s="22"/>
      <c r="TXF1" s="22"/>
      <c r="TXG1" s="22"/>
      <c r="TXH1" s="22"/>
      <c r="TXI1" s="22"/>
      <c r="TXJ1" s="22"/>
      <c r="TXK1" s="22"/>
      <c r="TXL1" s="22"/>
      <c r="TXM1" s="22"/>
      <c r="TXN1" s="22"/>
      <c r="TXO1" s="22"/>
      <c r="TXP1" s="22"/>
      <c r="TXQ1" s="22"/>
      <c r="TXR1" s="22"/>
      <c r="TXS1" s="22"/>
      <c r="TXT1" s="22"/>
      <c r="TXU1" s="22"/>
      <c r="TXV1" s="22"/>
      <c r="TXW1" s="22"/>
      <c r="TXX1" s="22"/>
      <c r="TXY1" s="22"/>
      <c r="TXZ1" s="22"/>
      <c r="TYA1" s="22"/>
      <c r="TYB1" s="22"/>
      <c r="TYC1" s="22"/>
      <c r="TYD1" s="22"/>
      <c r="TYE1" s="22"/>
      <c r="TYF1" s="22"/>
      <c r="TYG1" s="22"/>
      <c r="TYH1" s="22"/>
      <c r="TYI1" s="22"/>
      <c r="TYJ1" s="22"/>
      <c r="TYK1" s="22"/>
      <c r="TYL1" s="22"/>
      <c r="TYM1" s="22"/>
      <c r="TYN1" s="22"/>
      <c r="TYO1" s="22"/>
      <c r="TYP1" s="22"/>
      <c r="TYQ1" s="22"/>
      <c r="TYR1" s="22"/>
      <c r="TYS1" s="22"/>
      <c r="TYT1" s="22"/>
      <c r="TYU1" s="22"/>
      <c r="TYV1" s="22"/>
      <c r="TYW1" s="22"/>
      <c r="TYX1" s="22"/>
      <c r="TYY1" s="22"/>
      <c r="TYZ1" s="22"/>
      <c r="TZA1" s="22"/>
      <c r="TZB1" s="22"/>
      <c r="TZC1" s="22"/>
      <c r="TZD1" s="22"/>
      <c r="TZE1" s="22"/>
      <c r="TZF1" s="22"/>
      <c r="TZG1" s="22"/>
      <c r="TZH1" s="22"/>
      <c r="TZI1" s="22"/>
      <c r="TZJ1" s="22"/>
      <c r="TZK1" s="22"/>
      <c r="TZL1" s="22"/>
      <c r="TZM1" s="22"/>
      <c r="TZN1" s="22"/>
      <c r="TZO1" s="22"/>
      <c r="TZP1" s="22"/>
      <c r="TZQ1" s="22"/>
      <c r="TZR1" s="22"/>
      <c r="TZS1" s="22"/>
      <c r="TZT1" s="22"/>
      <c r="TZU1" s="22"/>
      <c r="TZV1" s="22"/>
      <c r="TZW1" s="22"/>
      <c r="TZX1" s="22"/>
      <c r="TZY1" s="22"/>
      <c r="TZZ1" s="22"/>
      <c r="UAA1" s="22"/>
      <c r="UAB1" s="22"/>
      <c r="UAC1" s="22"/>
      <c r="UAD1" s="22"/>
      <c r="UAE1" s="22"/>
      <c r="UAF1" s="22"/>
      <c r="UAG1" s="22"/>
      <c r="UAH1" s="22"/>
      <c r="UAI1" s="22"/>
      <c r="UAJ1" s="22"/>
      <c r="UAK1" s="22"/>
      <c r="UAL1" s="22"/>
      <c r="UAM1" s="22"/>
      <c r="UAN1" s="22"/>
      <c r="UAO1" s="22"/>
      <c r="UAP1" s="22"/>
      <c r="UAQ1" s="22"/>
      <c r="UAR1" s="22"/>
      <c r="UAS1" s="22"/>
      <c r="UAT1" s="22"/>
      <c r="UAU1" s="22"/>
      <c r="UAV1" s="22"/>
      <c r="UAW1" s="22"/>
      <c r="UAX1" s="22"/>
      <c r="UAY1" s="22"/>
      <c r="UAZ1" s="22"/>
      <c r="UBA1" s="22"/>
      <c r="UBB1" s="22"/>
      <c r="UBC1" s="22"/>
      <c r="UBD1" s="22"/>
      <c r="UBE1" s="22"/>
      <c r="UBF1" s="22"/>
      <c r="UBG1" s="22"/>
      <c r="UBH1" s="22"/>
      <c r="UBI1" s="22"/>
      <c r="UBJ1" s="22"/>
      <c r="UBK1" s="22"/>
      <c r="UBL1" s="22"/>
      <c r="UBM1" s="22"/>
      <c r="UBN1" s="22"/>
      <c r="UBO1" s="22"/>
      <c r="UBP1" s="22"/>
      <c r="UBQ1" s="22"/>
      <c r="UBR1" s="22"/>
      <c r="UBS1" s="22"/>
      <c r="UBT1" s="22"/>
      <c r="UBU1" s="22"/>
      <c r="UBV1" s="22"/>
      <c r="UBW1" s="22"/>
      <c r="UBX1" s="22"/>
      <c r="UBY1" s="22"/>
      <c r="UBZ1" s="22"/>
      <c r="UCA1" s="22"/>
      <c r="UCB1" s="22"/>
      <c r="UCC1" s="22"/>
      <c r="UCD1" s="22"/>
      <c r="UCE1" s="22"/>
      <c r="UCF1" s="22"/>
      <c r="UCG1" s="22"/>
      <c r="UCH1" s="22"/>
      <c r="UCI1" s="22"/>
      <c r="UCJ1" s="22"/>
      <c r="UCK1" s="22"/>
      <c r="UCL1" s="22"/>
      <c r="UCM1" s="22"/>
      <c r="UCN1" s="22"/>
      <c r="UCO1" s="22"/>
      <c r="UCP1" s="22"/>
      <c r="UCQ1" s="22"/>
      <c r="UCR1" s="22"/>
      <c r="UCS1" s="22"/>
      <c r="UCT1" s="22"/>
      <c r="UCU1" s="22"/>
      <c r="UCV1" s="22"/>
      <c r="UCW1" s="22"/>
      <c r="UCX1" s="22"/>
      <c r="UCY1" s="22"/>
      <c r="UCZ1" s="22"/>
      <c r="UDA1" s="22"/>
      <c r="UDB1" s="22"/>
      <c r="UDC1" s="22"/>
      <c r="UDD1" s="22"/>
      <c r="UDE1" s="22"/>
      <c r="UDF1" s="22"/>
      <c r="UDG1" s="22"/>
      <c r="UDH1" s="22"/>
      <c r="UDI1" s="22"/>
      <c r="UDJ1" s="22"/>
      <c r="UDK1" s="22"/>
      <c r="UDL1" s="22"/>
      <c r="UDM1" s="22"/>
      <c r="UDN1" s="22"/>
      <c r="UDO1" s="22"/>
      <c r="UDP1" s="22"/>
      <c r="UDQ1" s="22"/>
      <c r="UDR1" s="22"/>
      <c r="UDS1" s="22"/>
      <c r="UDT1" s="22"/>
      <c r="UDU1" s="22"/>
      <c r="UDV1" s="22"/>
      <c r="UDW1" s="22"/>
      <c r="UDX1" s="22"/>
      <c r="UDY1" s="22"/>
      <c r="UDZ1" s="22"/>
      <c r="UEA1" s="22"/>
      <c r="UEB1" s="22"/>
      <c r="UEC1" s="22"/>
      <c r="UED1" s="22"/>
      <c r="UEE1" s="22"/>
      <c r="UEF1" s="22"/>
      <c r="UEG1" s="22"/>
      <c r="UEH1" s="22"/>
      <c r="UEI1" s="22"/>
      <c r="UEJ1" s="22"/>
      <c r="UEK1" s="22"/>
      <c r="UEL1" s="22"/>
      <c r="UEM1" s="22"/>
      <c r="UEN1" s="22"/>
      <c r="UEO1" s="22"/>
      <c r="UEP1" s="22"/>
      <c r="UEQ1" s="22"/>
      <c r="UER1" s="22"/>
      <c r="UES1" s="22"/>
      <c r="UET1" s="22"/>
      <c r="UEU1" s="22"/>
      <c r="UEV1" s="22"/>
      <c r="UEW1" s="22"/>
      <c r="UEX1" s="22"/>
      <c r="UEY1" s="22"/>
      <c r="UEZ1" s="22"/>
      <c r="UFA1" s="22"/>
      <c r="UFB1" s="22"/>
      <c r="UFC1" s="22"/>
      <c r="UFD1" s="22"/>
      <c r="UFE1" s="22"/>
      <c r="UFF1" s="22"/>
      <c r="UFG1" s="22"/>
      <c r="UFH1" s="22"/>
      <c r="UFI1" s="22"/>
      <c r="UFJ1" s="22"/>
      <c r="UFK1" s="22"/>
      <c r="UFL1" s="22"/>
      <c r="UFM1" s="22"/>
      <c r="UFN1" s="22"/>
      <c r="UFO1" s="22"/>
      <c r="UFP1" s="22"/>
      <c r="UFQ1" s="22"/>
      <c r="UFR1" s="22"/>
      <c r="UFS1" s="22"/>
      <c r="UFT1" s="22"/>
      <c r="UFU1" s="22"/>
      <c r="UFV1" s="22"/>
      <c r="UFW1" s="22"/>
      <c r="UFX1" s="22"/>
      <c r="UFY1" s="22"/>
      <c r="UFZ1" s="22"/>
      <c r="UGA1" s="22"/>
      <c r="UGB1" s="22"/>
      <c r="UGC1" s="22"/>
      <c r="UGD1" s="22"/>
      <c r="UGE1" s="22"/>
      <c r="UGF1" s="22"/>
      <c r="UGG1" s="22"/>
      <c r="UGH1" s="22"/>
      <c r="UGI1" s="22"/>
      <c r="UGJ1" s="22"/>
      <c r="UGK1" s="22"/>
      <c r="UGL1" s="22"/>
      <c r="UGM1" s="22"/>
      <c r="UGN1" s="22"/>
      <c r="UGO1" s="22"/>
      <c r="UGP1" s="22"/>
      <c r="UGQ1" s="22"/>
      <c r="UGR1" s="22"/>
      <c r="UGS1" s="22"/>
      <c r="UGT1" s="22"/>
      <c r="UGU1" s="22"/>
      <c r="UGV1" s="22"/>
      <c r="UGW1" s="22"/>
      <c r="UGX1" s="22"/>
      <c r="UGY1" s="22"/>
      <c r="UGZ1" s="22"/>
      <c r="UHA1" s="22"/>
      <c r="UHB1" s="22"/>
      <c r="UHC1" s="22"/>
      <c r="UHD1" s="22"/>
      <c r="UHE1" s="22"/>
      <c r="UHF1" s="22"/>
      <c r="UHG1" s="22"/>
      <c r="UHH1" s="22"/>
      <c r="UHI1" s="22"/>
      <c r="UHJ1" s="22"/>
      <c r="UHK1" s="22"/>
      <c r="UHL1" s="22"/>
      <c r="UHM1" s="22"/>
      <c r="UHN1" s="22"/>
      <c r="UHO1" s="22"/>
      <c r="UHP1" s="22"/>
      <c r="UHQ1" s="22"/>
      <c r="UHR1" s="22"/>
      <c r="UHS1" s="22"/>
      <c r="UHT1" s="22"/>
      <c r="UHU1" s="22"/>
      <c r="UHV1" s="22"/>
      <c r="UHW1" s="22"/>
      <c r="UHX1" s="22"/>
      <c r="UHY1" s="22"/>
      <c r="UHZ1" s="22"/>
      <c r="UIA1" s="22"/>
      <c r="UIB1" s="22"/>
      <c r="UIC1" s="22"/>
      <c r="UID1" s="22"/>
      <c r="UIE1" s="22"/>
      <c r="UIF1" s="22"/>
      <c r="UIG1" s="22"/>
      <c r="UIH1" s="22"/>
      <c r="UII1" s="22"/>
      <c r="UIJ1" s="22"/>
      <c r="UIK1" s="22"/>
      <c r="UIL1" s="22"/>
      <c r="UIM1" s="22"/>
      <c r="UIN1" s="22"/>
      <c r="UIO1" s="22"/>
      <c r="UIP1" s="22"/>
      <c r="UIQ1" s="22"/>
      <c r="UIR1" s="22"/>
      <c r="UIS1" s="22"/>
      <c r="UIT1" s="22"/>
      <c r="UIU1" s="22"/>
      <c r="UIV1" s="22"/>
      <c r="UIW1" s="22"/>
      <c r="UIX1" s="22"/>
      <c r="UIY1" s="22"/>
      <c r="UIZ1" s="22"/>
      <c r="UJA1" s="22"/>
      <c r="UJB1" s="22"/>
      <c r="UJC1" s="22"/>
      <c r="UJD1" s="22"/>
      <c r="UJE1" s="22"/>
      <c r="UJF1" s="22"/>
      <c r="UJG1" s="22"/>
      <c r="UJH1" s="22"/>
      <c r="UJI1" s="22"/>
      <c r="UJJ1" s="22"/>
      <c r="UJK1" s="22"/>
      <c r="UJL1" s="22"/>
      <c r="UJM1" s="22"/>
      <c r="UJN1" s="22"/>
      <c r="UJO1" s="22"/>
      <c r="UJP1" s="22"/>
      <c r="UJQ1" s="22"/>
      <c r="UJR1" s="22"/>
      <c r="UJS1" s="22"/>
      <c r="UJT1" s="22"/>
      <c r="UJU1" s="22"/>
      <c r="UJV1" s="22"/>
      <c r="UJW1" s="22"/>
      <c r="UJX1" s="22"/>
      <c r="UJY1" s="22"/>
      <c r="UJZ1" s="22"/>
      <c r="UKA1" s="22"/>
      <c r="UKB1" s="22"/>
      <c r="UKC1" s="22"/>
      <c r="UKD1" s="22"/>
      <c r="UKE1" s="22"/>
      <c r="UKF1" s="22"/>
      <c r="UKG1" s="22"/>
      <c r="UKH1" s="22"/>
      <c r="UKI1" s="22"/>
      <c r="UKJ1" s="22"/>
      <c r="UKK1" s="22"/>
      <c r="UKL1" s="22"/>
      <c r="UKM1" s="22"/>
      <c r="UKN1" s="22"/>
      <c r="UKO1" s="22"/>
      <c r="UKP1" s="22"/>
      <c r="UKQ1" s="22"/>
      <c r="UKR1" s="22"/>
      <c r="UKS1" s="22"/>
      <c r="UKT1" s="22"/>
      <c r="UKU1" s="22"/>
      <c r="UKV1" s="22"/>
      <c r="UKW1" s="22"/>
      <c r="UKX1" s="22"/>
      <c r="UKY1" s="22"/>
      <c r="UKZ1" s="22"/>
      <c r="ULA1" s="22"/>
      <c r="ULB1" s="22"/>
      <c r="ULC1" s="22"/>
      <c r="ULD1" s="22"/>
      <c r="ULE1" s="22"/>
      <c r="ULF1" s="22"/>
      <c r="ULG1" s="22"/>
      <c r="ULH1" s="22"/>
      <c r="ULI1" s="22"/>
      <c r="ULJ1" s="22"/>
      <c r="ULK1" s="22"/>
      <c r="ULL1" s="22"/>
      <c r="ULM1" s="22"/>
      <c r="ULN1" s="22"/>
      <c r="ULO1" s="22"/>
      <c r="ULP1" s="22"/>
      <c r="ULQ1" s="22"/>
      <c r="ULR1" s="22"/>
      <c r="ULS1" s="22"/>
      <c r="ULT1" s="22"/>
      <c r="ULU1" s="22"/>
      <c r="ULV1" s="22"/>
      <c r="ULW1" s="22"/>
      <c r="ULX1" s="22"/>
      <c r="ULY1" s="22"/>
      <c r="ULZ1" s="22"/>
      <c r="UMA1" s="22"/>
      <c r="UMB1" s="22"/>
      <c r="UMC1" s="22"/>
      <c r="UMD1" s="22"/>
      <c r="UME1" s="22"/>
      <c r="UMF1" s="22"/>
      <c r="UMG1" s="22"/>
      <c r="UMH1" s="22"/>
      <c r="UMI1" s="22"/>
      <c r="UMJ1" s="22"/>
      <c r="UMK1" s="22"/>
      <c r="UML1" s="22"/>
      <c r="UMM1" s="22"/>
      <c r="UMN1" s="22"/>
      <c r="UMO1" s="22"/>
      <c r="UMP1" s="22"/>
      <c r="UMQ1" s="22"/>
      <c r="UMR1" s="22"/>
      <c r="UMS1" s="22"/>
      <c r="UMT1" s="22"/>
      <c r="UMU1" s="22"/>
      <c r="UMV1" s="22"/>
      <c r="UMW1" s="22"/>
      <c r="UMX1" s="22"/>
      <c r="UMY1" s="22"/>
      <c r="UMZ1" s="22"/>
      <c r="UNA1" s="22"/>
      <c r="UNB1" s="22"/>
      <c r="UNC1" s="22"/>
      <c r="UND1" s="22"/>
      <c r="UNE1" s="22"/>
      <c r="UNF1" s="22"/>
      <c r="UNG1" s="22"/>
      <c r="UNH1" s="22"/>
      <c r="UNI1" s="22"/>
      <c r="UNJ1" s="22"/>
      <c r="UNK1" s="22"/>
      <c r="UNL1" s="22"/>
      <c r="UNM1" s="22"/>
      <c r="UNN1" s="22"/>
      <c r="UNO1" s="22"/>
      <c r="UNP1" s="22"/>
      <c r="UNQ1" s="22"/>
      <c r="UNR1" s="22"/>
      <c r="UNS1" s="22"/>
      <c r="UNT1" s="22"/>
      <c r="UNU1" s="22"/>
      <c r="UNV1" s="22"/>
      <c r="UNW1" s="22"/>
      <c r="UNX1" s="22"/>
      <c r="UNY1" s="22"/>
      <c r="UNZ1" s="22"/>
      <c r="UOA1" s="22"/>
      <c r="UOB1" s="22"/>
      <c r="UOC1" s="22"/>
      <c r="UOD1" s="22"/>
      <c r="UOE1" s="22"/>
      <c r="UOF1" s="22"/>
      <c r="UOG1" s="22"/>
      <c r="UOH1" s="22"/>
      <c r="UOI1" s="22"/>
      <c r="UOJ1" s="22"/>
      <c r="UOK1" s="22"/>
      <c r="UOL1" s="22"/>
      <c r="UOM1" s="22"/>
      <c r="UON1" s="22"/>
      <c r="UOO1" s="22"/>
      <c r="UOP1" s="22"/>
      <c r="UOQ1" s="22"/>
      <c r="UOR1" s="22"/>
      <c r="UOS1" s="22"/>
      <c r="UOT1" s="22"/>
      <c r="UOU1" s="22"/>
      <c r="UOV1" s="22"/>
      <c r="UOW1" s="22"/>
      <c r="UOX1" s="22"/>
      <c r="UOY1" s="22"/>
      <c r="UOZ1" s="22"/>
      <c r="UPA1" s="22"/>
      <c r="UPB1" s="22"/>
      <c r="UPC1" s="22"/>
      <c r="UPD1" s="22"/>
      <c r="UPE1" s="22"/>
      <c r="UPF1" s="22"/>
      <c r="UPG1" s="22"/>
      <c r="UPH1" s="22"/>
      <c r="UPI1" s="22"/>
      <c r="UPJ1" s="22"/>
      <c r="UPK1" s="22"/>
      <c r="UPL1" s="22"/>
      <c r="UPM1" s="22"/>
      <c r="UPN1" s="22"/>
      <c r="UPO1" s="22"/>
      <c r="UPP1" s="22"/>
      <c r="UPQ1" s="22"/>
      <c r="UPR1" s="22"/>
      <c r="UPS1" s="22"/>
      <c r="UPT1" s="22"/>
      <c r="UPU1" s="22"/>
      <c r="UPV1" s="22"/>
      <c r="UPW1" s="22"/>
      <c r="UPX1" s="22"/>
      <c r="UPY1" s="22"/>
      <c r="UPZ1" s="22"/>
      <c r="UQA1" s="22"/>
      <c r="UQB1" s="22"/>
      <c r="UQC1" s="22"/>
      <c r="UQD1" s="22"/>
      <c r="UQE1" s="22"/>
      <c r="UQF1" s="22"/>
      <c r="UQG1" s="22"/>
      <c r="UQH1" s="22"/>
      <c r="UQI1" s="22"/>
      <c r="UQJ1" s="22"/>
      <c r="UQK1" s="22"/>
      <c r="UQL1" s="22"/>
      <c r="UQM1" s="22"/>
      <c r="UQN1" s="22"/>
      <c r="UQO1" s="22"/>
      <c r="UQP1" s="22"/>
      <c r="UQQ1" s="22"/>
      <c r="UQR1" s="22"/>
      <c r="UQS1" s="22"/>
      <c r="UQT1" s="22"/>
      <c r="UQU1" s="22"/>
      <c r="UQV1" s="22"/>
      <c r="UQW1" s="22"/>
      <c r="UQX1" s="22"/>
      <c r="UQY1" s="22"/>
      <c r="UQZ1" s="22"/>
      <c r="URA1" s="22"/>
      <c r="URB1" s="22"/>
      <c r="URC1" s="22"/>
      <c r="URD1" s="22"/>
      <c r="URE1" s="22"/>
      <c r="URF1" s="22"/>
      <c r="URG1" s="22"/>
      <c r="URH1" s="22"/>
      <c r="URI1" s="22"/>
      <c r="URJ1" s="22"/>
      <c r="URK1" s="22"/>
      <c r="URL1" s="22"/>
      <c r="URM1" s="22"/>
      <c r="URN1" s="22"/>
      <c r="URO1" s="22"/>
      <c r="URP1" s="22"/>
      <c r="URQ1" s="22"/>
      <c r="URR1" s="22"/>
      <c r="URS1" s="22"/>
      <c r="URT1" s="22"/>
      <c r="URU1" s="22"/>
      <c r="URV1" s="22"/>
      <c r="URW1" s="22"/>
      <c r="URX1" s="22"/>
      <c r="URY1" s="22"/>
      <c r="URZ1" s="22"/>
      <c r="USA1" s="22"/>
      <c r="USB1" s="22"/>
      <c r="USC1" s="22"/>
      <c r="USD1" s="22"/>
      <c r="USE1" s="22"/>
      <c r="USF1" s="22"/>
      <c r="USG1" s="22"/>
      <c r="USH1" s="22"/>
      <c r="USI1" s="22"/>
      <c r="USJ1" s="22"/>
      <c r="USK1" s="22"/>
      <c r="USL1" s="22"/>
      <c r="USM1" s="22"/>
      <c r="USN1" s="22"/>
      <c r="USO1" s="22"/>
      <c r="USP1" s="22"/>
      <c r="USQ1" s="22"/>
      <c r="USR1" s="22"/>
      <c r="USS1" s="22"/>
      <c r="UST1" s="22"/>
      <c r="USU1" s="22"/>
      <c r="USV1" s="22"/>
      <c r="USW1" s="22"/>
      <c r="USX1" s="22"/>
      <c r="USY1" s="22"/>
      <c r="USZ1" s="22"/>
      <c r="UTA1" s="22"/>
      <c r="UTB1" s="22"/>
      <c r="UTC1" s="22"/>
      <c r="UTD1" s="22"/>
      <c r="UTE1" s="22"/>
      <c r="UTF1" s="22"/>
      <c r="UTG1" s="22"/>
      <c r="UTH1" s="22"/>
      <c r="UTI1" s="22"/>
      <c r="UTJ1" s="22"/>
      <c r="UTK1" s="22"/>
      <c r="UTL1" s="22"/>
      <c r="UTM1" s="22"/>
      <c r="UTN1" s="22"/>
      <c r="UTO1" s="22"/>
      <c r="UTP1" s="22"/>
      <c r="UTQ1" s="22"/>
      <c r="UTR1" s="22"/>
      <c r="UTS1" s="22"/>
      <c r="UTT1" s="22"/>
      <c r="UTU1" s="22"/>
      <c r="UTV1" s="22"/>
      <c r="UTW1" s="22"/>
      <c r="UTX1" s="22"/>
      <c r="UTY1" s="22"/>
      <c r="UTZ1" s="22"/>
      <c r="UUA1" s="22"/>
      <c r="UUB1" s="22"/>
      <c r="UUC1" s="22"/>
      <c r="UUD1" s="22"/>
      <c r="UUE1" s="22"/>
      <c r="UUF1" s="22"/>
      <c r="UUG1" s="22"/>
      <c r="UUH1" s="22"/>
      <c r="UUI1" s="22"/>
      <c r="UUJ1" s="22"/>
      <c r="UUK1" s="22"/>
      <c r="UUL1" s="22"/>
      <c r="UUM1" s="22"/>
      <c r="UUN1" s="22"/>
      <c r="UUO1" s="22"/>
      <c r="UUP1" s="22"/>
      <c r="UUQ1" s="22"/>
      <c r="UUR1" s="22"/>
      <c r="UUS1" s="22"/>
      <c r="UUT1" s="22"/>
      <c r="UUU1" s="22"/>
      <c r="UUV1" s="22"/>
      <c r="UUW1" s="22"/>
      <c r="UUX1" s="22"/>
      <c r="UUY1" s="22"/>
      <c r="UUZ1" s="22"/>
      <c r="UVA1" s="22"/>
      <c r="UVB1" s="22"/>
      <c r="UVC1" s="22"/>
      <c r="UVD1" s="22"/>
      <c r="UVE1" s="22"/>
      <c r="UVF1" s="22"/>
      <c r="UVG1" s="22"/>
      <c r="UVH1" s="22"/>
      <c r="UVI1" s="22"/>
      <c r="UVJ1" s="22"/>
      <c r="UVK1" s="22"/>
      <c r="UVL1" s="22"/>
      <c r="UVM1" s="22"/>
      <c r="UVN1" s="22"/>
      <c r="UVO1" s="22"/>
      <c r="UVP1" s="22"/>
      <c r="UVQ1" s="22"/>
      <c r="UVR1" s="22"/>
      <c r="UVS1" s="22"/>
      <c r="UVT1" s="22"/>
      <c r="UVU1" s="22"/>
      <c r="UVV1" s="22"/>
      <c r="UVW1" s="22"/>
      <c r="UVX1" s="22"/>
      <c r="UVY1" s="22"/>
      <c r="UVZ1" s="22"/>
      <c r="UWA1" s="22"/>
      <c r="UWB1" s="22"/>
      <c r="UWC1" s="22"/>
      <c r="UWD1" s="22"/>
      <c r="UWE1" s="22"/>
      <c r="UWF1" s="22"/>
      <c r="UWG1" s="22"/>
      <c r="UWH1" s="22"/>
      <c r="UWI1" s="22"/>
      <c r="UWJ1" s="22"/>
      <c r="UWK1" s="22"/>
      <c r="UWL1" s="22"/>
      <c r="UWM1" s="22"/>
      <c r="UWN1" s="22"/>
      <c r="UWO1" s="22"/>
      <c r="UWP1" s="22"/>
      <c r="UWQ1" s="22"/>
      <c r="UWR1" s="22"/>
      <c r="UWS1" s="22"/>
      <c r="UWT1" s="22"/>
      <c r="UWU1" s="22"/>
      <c r="UWV1" s="22"/>
      <c r="UWW1" s="22"/>
      <c r="UWX1" s="22"/>
      <c r="UWY1" s="22"/>
      <c r="UWZ1" s="22"/>
      <c r="UXA1" s="22"/>
      <c r="UXB1" s="22"/>
      <c r="UXC1" s="22"/>
      <c r="UXD1" s="22"/>
      <c r="UXE1" s="22"/>
      <c r="UXF1" s="22"/>
      <c r="UXG1" s="22"/>
      <c r="UXH1" s="22"/>
      <c r="UXI1" s="22"/>
      <c r="UXJ1" s="22"/>
      <c r="UXK1" s="22"/>
      <c r="UXL1" s="22"/>
      <c r="UXM1" s="22"/>
      <c r="UXN1" s="22"/>
      <c r="UXO1" s="22"/>
      <c r="UXP1" s="22"/>
      <c r="UXQ1" s="22"/>
      <c r="UXR1" s="22"/>
      <c r="UXS1" s="22"/>
      <c r="UXT1" s="22"/>
      <c r="UXU1" s="22"/>
      <c r="UXV1" s="22"/>
      <c r="UXW1" s="22"/>
      <c r="UXX1" s="22"/>
      <c r="UXY1" s="22"/>
      <c r="UXZ1" s="22"/>
      <c r="UYA1" s="22"/>
      <c r="UYB1" s="22"/>
      <c r="UYC1" s="22"/>
      <c r="UYD1" s="22"/>
      <c r="UYE1" s="22"/>
      <c r="UYF1" s="22"/>
      <c r="UYG1" s="22"/>
      <c r="UYH1" s="22"/>
      <c r="UYI1" s="22"/>
      <c r="UYJ1" s="22"/>
      <c r="UYK1" s="22"/>
      <c r="UYL1" s="22"/>
      <c r="UYM1" s="22"/>
      <c r="UYN1" s="22"/>
      <c r="UYO1" s="22"/>
      <c r="UYP1" s="22"/>
      <c r="UYQ1" s="22"/>
      <c r="UYR1" s="22"/>
      <c r="UYS1" s="22"/>
      <c r="UYT1" s="22"/>
      <c r="UYU1" s="22"/>
      <c r="UYV1" s="22"/>
      <c r="UYW1" s="22"/>
      <c r="UYX1" s="22"/>
      <c r="UYY1" s="22"/>
      <c r="UYZ1" s="22"/>
      <c r="UZA1" s="22"/>
      <c r="UZB1" s="22"/>
      <c r="UZC1" s="22"/>
      <c r="UZD1" s="22"/>
      <c r="UZE1" s="22"/>
      <c r="UZF1" s="22"/>
      <c r="UZG1" s="22"/>
      <c r="UZH1" s="22"/>
      <c r="UZI1" s="22"/>
      <c r="UZJ1" s="22"/>
      <c r="UZK1" s="22"/>
      <c r="UZL1" s="22"/>
      <c r="UZM1" s="22"/>
      <c r="UZN1" s="22"/>
      <c r="UZO1" s="22"/>
      <c r="UZP1" s="22"/>
      <c r="UZQ1" s="22"/>
      <c r="UZR1" s="22"/>
      <c r="UZS1" s="22"/>
      <c r="UZT1" s="22"/>
      <c r="UZU1" s="22"/>
      <c r="UZV1" s="22"/>
      <c r="UZW1" s="22"/>
      <c r="UZX1" s="22"/>
      <c r="UZY1" s="22"/>
      <c r="UZZ1" s="22"/>
      <c r="VAA1" s="22"/>
      <c r="VAB1" s="22"/>
      <c r="VAC1" s="22"/>
      <c r="VAD1" s="22"/>
      <c r="VAE1" s="22"/>
      <c r="VAF1" s="22"/>
      <c r="VAG1" s="22"/>
      <c r="VAH1" s="22"/>
      <c r="VAI1" s="22"/>
      <c r="VAJ1" s="22"/>
      <c r="VAK1" s="22"/>
      <c r="VAL1" s="22"/>
      <c r="VAM1" s="22"/>
      <c r="VAN1" s="22"/>
      <c r="VAO1" s="22"/>
      <c r="VAP1" s="22"/>
      <c r="VAQ1" s="22"/>
      <c r="VAR1" s="22"/>
      <c r="VAS1" s="22"/>
      <c r="VAT1" s="22"/>
      <c r="VAU1" s="22"/>
      <c r="VAV1" s="22"/>
      <c r="VAW1" s="22"/>
      <c r="VAX1" s="22"/>
      <c r="VAY1" s="22"/>
      <c r="VAZ1" s="22"/>
      <c r="VBA1" s="22"/>
      <c r="VBB1" s="22"/>
      <c r="VBC1" s="22"/>
      <c r="VBD1" s="22"/>
      <c r="VBE1" s="22"/>
      <c r="VBF1" s="22"/>
      <c r="VBG1" s="22"/>
      <c r="VBH1" s="22"/>
      <c r="VBI1" s="22"/>
      <c r="VBJ1" s="22"/>
      <c r="VBK1" s="22"/>
      <c r="VBL1" s="22"/>
      <c r="VBM1" s="22"/>
      <c r="VBN1" s="22"/>
      <c r="VBO1" s="22"/>
      <c r="VBP1" s="22"/>
      <c r="VBQ1" s="22"/>
      <c r="VBR1" s="22"/>
      <c r="VBS1" s="22"/>
      <c r="VBT1" s="22"/>
      <c r="VBU1" s="22"/>
      <c r="VBV1" s="22"/>
      <c r="VBW1" s="22"/>
      <c r="VBX1" s="22"/>
      <c r="VBY1" s="22"/>
      <c r="VBZ1" s="22"/>
      <c r="VCA1" s="22"/>
      <c r="VCB1" s="22"/>
      <c r="VCC1" s="22"/>
      <c r="VCD1" s="22"/>
      <c r="VCE1" s="22"/>
      <c r="VCF1" s="22"/>
      <c r="VCG1" s="22"/>
      <c r="VCH1" s="22"/>
      <c r="VCI1" s="22"/>
      <c r="VCJ1" s="22"/>
      <c r="VCK1" s="22"/>
      <c r="VCL1" s="22"/>
      <c r="VCM1" s="22"/>
      <c r="VCN1" s="22"/>
      <c r="VCO1" s="22"/>
      <c r="VCP1" s="22"/>
      <c r="VCQ1" s="22"/>
      <c r="VCR1" s="22"/>
      <c r="VCS1" s="22"/>
      <c r="VCT1" s="22"/>
      <c r="VCU1" s="22"/>
      <c r="VCV1" s="22"/>
      <c r="VCW1" s="22"/>
      <c r="VCX1" s="22"/>
      <c r="VCY1" s="22"/>
      <c r="VCZ1" s="22"/>
      <c r="VDA1" s="22"/>
      <c r="VDB1" s="22"/>
      <c r="VDC1" s="22"/>
      <c r="VDD1" s="22"/>
      <c r="VDE1" s="22"/>
      <c r="VDF1" s="22"/>
      <c r="VDG1" s="22"/>
      <c r="VDH1" s="22"/>
      <c r="VDI1" s="22"/>
      <c r="VDJ1" s="22"/>
      <c r="VDK1" s="22"/>
      <c r="VDL1" s="22"/>
      <c r="VDM1" s="22"/>
      <c r="VDN1" s="22"/>
      <c r="VDO1" s="22"/>
      <c r="VDP1" s="22"/>
      <c r="VDQ1" s="22"/>
      <c r="VDR1" s="22"/>
      <c r="VDS1" s="22"/>
      <c r="VDT1" s="22"/>
      <c r="VDU1" s="22"/>
      <c r="VDV1" s="22"/>
      <c r="VDW1" s="22"/>
      <c r="VDX1" s="22"/>
      <c r="VDY1" s="22"/>
      <c r="VDZ1" s="22"/>
      <c r="VEA1" s="22"/>
      <c r="VEB1" s="22"/>
      <c r="VEC1" s="22"/>
      <c r="VED1" s="22"/>
      <c r="VEE1" s="22"/>
      <c r="VEF1" s="22"/>
      <c r="VEG1" s="22"/>
      <c r="VEH1" s="22"/>
      <c r="VEI1" s="22"/>
      <c r="VEJ1" s="22"/>
      <c r="VEK1" s="22"/>
      <c r="VEL1" s="22"/>
      <c r="VEM1" s="22"/>
      <c r="VEN1" s="22"/>
      <c r="VEO1" s="22"/>
      <c r="VEP1" s="22"/>
      <c r="VEQ1" s="22"/>
      <c r="VER1" s="22"/>
      <c r="VES1" s="22"/>
      <c r="VET1" s="22"/>
      <c r="VEU1" s="22"/>
      <c r="VEV1" s="22"/>
      <c r="VEW1" s="22"/>
      <c r="VEX1" s="22"/>
      <c r="VEY1" s="22"/>
      <c r="VEZ1" s="22"/>
      <c r="VFA1" s="22"/>
      <c r="VFB1" s="22"/>
      <c r="VFC1" s="22"/>
      <c r="VFD1" s="22"/>
      <c r="VFE1" s="22"/>
      <c r="VFF1" s="22"/>
      <c r="VFG1" s="22"/>
      <c r="VFH1" s="22"/>
      <c r="VFI1" s="22"/>
      <c r="VFJ1" s="22"/>
      <c r="VFK1" s="22"/>
      <c r="VFL1" s="22"/>
      <c r="VFM1" s="22"/>
      <c r="VFN1" s="22"/>
      <c r="VFO1" s="22"/>
      <c r="VFP1" s="22"/>
      <c r="VFQ1" s="22"/>
      <c r="VFR1" s="22"/>
      <c r="VFS1" s="22"/>
      <c r="VFT1" s="22"/>
      <c r="VFU1" s="22"/>
      <c r="VFV1" s="22"/>
      <c r="VFW1" s="22"/>
      <c r="VFX1" s="22"/>
      <c r="VFY1" s="22"/>
      <c r="VFZ1" s="22"/>
      <c r="VGA1" s="22"/>
      <c r="VGB1" s="22"/>
      <c r="VGC1" s="22"/>
      <c r="VGD1" s="22"/>
      <c r="VGE1" s="22"/>
      <c r="VGF1" s="22"/>
      <c r="VGG1" s="22"/>
      <c r="VGH1" s="22"/>
      <c r="VGI1" s="22"/>
      <c r="VGJ1" s="22"/>
      <c r="VGK1" s="22"/>
      <c r="VGL1" s="22"/>
      <c r="VGM1" s="22"/>
      <c r="VGN1" s="22"/>
      <c r="VGO1" s="22"/>
      <c r="VGP1" s="22"/>
      <c r="VGQ1" s="22"/>
      <c r="VGR1" s="22"/>
      <c r="VGS1" s="22"/>
      <c r="VGT1" s="22"/>
      <c r="VGU1" s="22"/>
      <c r="VGV1" s="22"/>
      <c r="VGW1" s="22"/>
      <c r="VGX1" s="22"/>
      <c r="VGY1" s="22"/>
      <c r="VGZ1" s="22"/>
      <c r="VHA1" s="22"/>
      <c r="VHB1" s="22"/>
      <c r="VHC1" s="22"/>
      <c r="VHD1" s="22"/>
      <c r="VHE1" s="22"/>
      <c r="VHF1" s="22"/>
      <c r="VHG1" s="22"/>
      <c r="VHH1" s="22"/>
      <c r="VHI1" s="22"/>
      <c r="VHJ1" s="22"/>
      <c r="VHK1" s="22"/>
      <c r="VHL1" s="22"/>
      <c r="VHM1" s="22"/>
      <c r="VHN1" s="22"/>
      <c r="VHO1" s="22"/>
      <c r="VHP1" s="22"/>
      <c r="VHQ1" s="22"/>
      <c r="VHR1" s="22"/>
      <c r="VHS1" s="22"/>
      <c r="VHT1" s="22"/>
      <c r="VHU1" s="22"/>
      <c r="VHV1" s="22"/>
      <c r="VHW1" s="22"/>
      <c r="VHX1" s="22"/>
      <c r="VHY1" s="22"/>
      <c r="VHZ1" s="22"/>
      <c r="VIA1" s="22"/>
      <c r="VIB1" s="22"/>
      <c r="VIC1" s="22"/>
      <c r="VID1" s="22"/>
      <c r="VIE1" s="22"/>
      <c r="VIF1" s="22"/>
      <c r="VIG1" s="22"/>
      <c r="VIH1" s="22"/>
      <c r="VII1" s="22"/>
      <c r="VIJ1" s="22"/>
      <c r="VIK1" s="22"/>
      <c r="VIL1" s="22"/>
      <c r="VIM1" s="22"/>
      <c r="VIN1" s="22"/>
      <c r="VIO1" s="22"/>
      <c r="VIP1" s="22"/>
      <c r="VIQ1" s="22"/>
      <c r="VIR1" s="22"/>
      <c r="VIS1" s="22"/>
      <c r="VIT1" s="22"/>
      <c r="VIU1" s="22"/>
      <c r="VIV1" s="22"/>
      <c r="VIW1" s="22"/>
      <c r="VIX1" s="22"/>
      <c r="VIY1" s="22"/>
      <c r="VIZ1" s="22"/>
      <c r="VJA1" s="22"/>
      <c r="VJB1" s="22"/>
      <c r="VJC1" s="22"/>
      <c r="VJD1" s="22"/>
      <c r="VJE1" s="22"/>
      <c r="VJF1" s="22"/>
      <c r="VJG1" s="22"/>
      <c r="VJH1" s="22"/>
      <c r="VJI1" s="22"/>
      <c r="VJJ1" s="22"/>
      <c r="VJK1" s="22"/>
      <c r="VJL1" s="22"/>
      <c r="VJM1" s="22"/>
      <c r="VJN1" s="22"/>
      <c r="VJO1" s="22"/>
      <c r="VJP1" s="22"/>
      <c r="VJQ1" s="22"/>
      <c r="VJR1" s="22"/>
      <c r="VJS1" s="22"/>
      <c r="VJT1" s="22"/>
      <c r="VJU1" s="22"/>
      <c r="VJV1" s="22"/>
      <c r="VJW1" s="22"/>
      <c r="VJX1" s="22"/>
      <c r="VJY1" s="22"/>
      <c r="VJZ1" s="22"/>
      <c r="VKA1" s="22"/>
      <c r="VKB1" s="22"/>
      <c r="VKC1" s="22"/>
      <c r="VKD1" s="22"/>
      <c r="VKE1" s="22"/>
      <c r="VKF1" s="22"/>
      <c r="VKG1" s="22"/>
      <c r="VKH1" s="22"/>
      <c r="VKI1" s="22"/>
      <c r="VKJ1" s="22"/>
      <c r="VKK1" s="22"/>
      <c r="VKL1" s="22"/>
      <c r="VKM1" s="22"/>
      <c r="VKN1" s="22"/>
      <c r="VKO1" s="22"/>
      <c r="VKP1" s="22"/>
      <c r="VKQ1" s="22"/>
      <c r="VKR1" s="22"/>
      <c r="VKS1" s="22"/>
      <c r="VKT1" s="22"/>
      <c r="VKU1" s="22"/>
      <c r="VKV1" s="22"/>
      <c r="VKW1" s="22"/>
      <c r="VKX1" s="22"/>
      <c r="VKY1" s="22"/>
      <c r="VKZ1" s="22"/>
      <c r="VLA1" s="22"/>
      <c r="VLB1" s="22"/>
      <c r="VLC1" s="22"/>
      <c r="VLD1" s="22"/>
      <c r="VLE1" s="22"/>
      <c r="VLF1" s="22"/>
      <c r="VLG1" s="22"/>
      <c r="VLH1" s="22"/>
      <c r="VLI1" s="22"/>
      <c r="VLJ1" s="22"/>
      <c r="VLK1" s="22"/>
      <c r="VLL1" s="22"/>
      <c r="VLM1" s="22"/>
      <c r="VLN1" s="22"/>
      <c r="VLO1" s="22"/>
      <c r="VLP1" s="22"/>
      <c r="VLQ1" s="22"/>
      <c r="VLR1" s="22"/>
      <c r="VLS1" s="22"/>
      <c r="VLT1" s="22"/>
      <c r="VLU1" s="22"/>
      <c r="VLV1" s="22"/>
      <c r="VLW1" s="22"/>
      <c r="VLX1" s="22"/>
      <c r="VLY1" s="22"/>
      <c r="VLZ1" s="22"/>
      <c r="VMA1" s="22"/>
      <c r="VMB1" s="22"/>
      <c r="VMC1" s="22"/>
      <c r="VMD1" s="22"/>
      <c r="VME1" s="22"/>
      <c r="VMF1" s="22"/>
      <c r="VMG1" s="22"/>
      <c r="VMH1" s="22"/>
      <c r="VMI1" s="22"/>
      <c r="VMJ1" s="22"/>
      <c r="VMK1" s="22"/>
      <c r="VML1" s="22"/>
      <c r="VMM1" s="22"/>
      <c r="VMN1" s="22"/>
      <c r="VMO1" s="22"/>
      <c r="VMP1" s="22"/>
      <c r="VMQ1" s="22"/>
      <c r="VMR1" s="22"/>
      <c r="VMS1" s="22"/>
      <c r="VMT1" s="22"/>
      <c r="VMU1" s="22"/>
      <c r="VMV1" s="22"/>
      <c r="VMW1" s="22"/>
      <c r="VMX1" s="22"/>
      <c r="VMY1" s="22"/>
      <c r="VMZ1" s="22"/>
      <c r="VNA1" s="22"/>
      <c r="VNB1" s="22"/>
      <c r="VNC1" s="22"/>
      <c r="VND1" s="22"/>
      <c r="VNE1" s="22"/>
      <c r="VNF1" s="22"/>
      <c r="VNG1" s="22"/>
      <c r="VNH1" s="22"/>
      <c r="VNI1" s="22"/>
      <c r="VNJ1" s="22"/>
      <c r="VNK1" s="22"/>
      <c r="VNL1" s="22"/>
      <c r="VNM1" s="22"/>
      <c r="VNN1" s="22"/>
      <c r="VNO1" s="22"/>
      <c r="VNP1" s="22"/>
      <c r="VNQ1" s="22"/>
      <c r="VNR1" s="22"/>
      <c r="VNS1" s="22"/>
      <c r="VNT1" s="22"/>
      <c r="VNU1" s="22"/>
      <c r="VNV1" s="22"/>
      <c r="VNW1" s="22"/>
      <c r="VNX1" s="22"/>
      <c r="VNY1" s="22"/>
      <c r="VNZ1" s="22"/>
      <c r="VOA1" s="22"/>
      <c r="VOB1" s="22"/>
      <c r="VOC1" s="22"/>
      <c r="VOD1" s="22"/>
      <c r="VOE1" s="22"/>
      <c r="VOF1" s="22"/>
      <c r="VOG1" s="22"/>
      <c r="VOH1" s="22"/>
      <c r="VOI1" s="22"/>
      <c r="VOJ1" s="22"/>
      <c r="VOK1" s="22"/>
      <c r="VOL1" s="22"/>
      <c r="VOM1" s="22"/>
      <c r="VON1" s="22"/>
      <c r="VOO1" s="22"/>
      <c r="VOP1" s="22"/>
      <c r="VOQ1" s="22"/>
      <c r="VOR1" s="22"/>
      <c r="VOS1" s="22"/>
      <c r="VOT1" s="22"/>
      <c r="VOU1" s="22"/>
      <c r="VOV1" s="22"/>
      <c r="VOW1" s="22"/>
      <c r="VOX1" s="22"/>
      <c r="VOY1" s="22"/>
      <c r="VOZ1" s="22"/>
      <c r="VPA1" s="22"/>
      <c r="VPB1" s="22"/>
      <c r="VPC1" s="22"/>
      <c r="VPD1" s="22"/>
      <c r="VPE1" s="22"/>
      <c r="VPF1" s="22"/>
      <c r="VPG1" s="22"/>
      <c r="VPH1" s="22"/>
      <c r="VPI1" s="22"/>
      <c r="VPJ1" s="22"/>
      <c r="VPK1" s="22"/>
      <c r="VPL1" s="22"/>
      <c r="VPM1" s="22"/>
      <c r="VPN1" s="22"/>
      <c r="VPO1" s="22"/>
      <c r="VPP1" s="22"/>
      <c r="VPQ1" s="22"/>
      <c r="VPR1" s="22"/>
      <c r="VPS1" s="22"/>
      <c r="VPT1" s="22"/>
      <c r="VPU1" s="22"/>
      <c r="VPV1" s="22"/>
      <c r="VPW1" s="22"/>
      <c r="VPX1" s="22"/>
      <c r="VPY1" s="22"/>
      <c r="VPZ1" s="22"/>
      <c r="VQA1" s="22"/>
      <c r="VQB1" s="22"/>
      <c r="VQC1" s="22"/>
      <c r="VQD1" s="22"/>
      <c r="VQE1" s="22"/>
      <c r="VQF1" s="22"/>
      <c r="VQG1" s="22"/>
      <c r="VQH1" s="22"/>
      <c r="VQI1" s="22"/>
      <c r="VQJ1" s="22"/>
      <c r="VQK1" s="22"/>
      <c r="VQL1" s="22"/>
      <c r="VQM1" s="22"/>
      <c r="VQN1" s="22"/>
      <c r="VQO1" s="22"/>
      <c r="VQP1" s="22"/>
      <c r="VQQ1" s="22"/>
      <c r="VQR1" s="22"/>
      <c r="VQS1" s="22"/>
      <c r="VQT1" s="22"/>
      <c r="VQU1" s="22"/>
      <c r="VQV1" s="22"/>
      <c r="VQW1" s="22"/>
      <c r="VQX1" s="22"/>
      <c r="VQY1" s="22"/>
      <c r="VQZ1" s="22"/>
      <c r="VRA1" s="22"/>
      <c r="VRB1" s="22"/>
      <c r="VRC1" s="22"/>
      <c r="VRD1" s="22"/>
      <c r="VRE1" s="22"/>
      <c r="VRF1" s="22"/>
      <c r="VRG1" s="22"/>
      <c r="VRH1" s="22"/>
      <c r="VRI1" s="22"/>
      <c r="VRJ1" s="22"/>
      <c r="VRK1" s="22"/>
      <c r="VRL1" s="22"/>
      <c r="VRM1" s="22"/>
      <c r="VRN1" s="22"/>
      <c r="VRO1" s="22"/>
      <c r="VRP1" s="22"/>
      <c r="VRQ1" s="22"/>
      <c r="VRR1" s="22"/>
      <c r="VRS1" s="22"/>
      <c r="VRT1" s="22"/>
      <c r="VRU1" s="22"/>
      <c r="VRV1" s="22"/>
      <c r="VRW1" s="22"/>
      <c r="VRX1" s="22"/>
      <c r="VRY1" s="22"/>
      <c r="VRZ1" s="22"/>
      <c r="VSA1" s="22"/>
      <c r="VSB1" s="22"/>
      <c r="VSC1" s="22"/>
      <c r="VSD1" s="22"/>
      <c r="VSE1" s="22"/>
      <c r="VSF1" s="22"/>
      <c r="VSG1" s="22"/>
      <c r="VSH1" s="22"/>
      <c r="VSI1" s="22"/>
      <c r="VSJ1" s="22"/>
      <c r="VSK1" s="22"/>
      <c r="VSL1" s="22"/>
      <c r="VSM1" s="22"/>
      <c r="VSN1" s="22"/>
      <c r="VSO1" s="22"/>
      <c r="VSP1" s="22"/>
      <c r="VSQ1" s="22"/>
      <c r="VSR1" s="22"/>
      <c r="VSS1" s="22"/>
      <c r="VST1" s="22"/>
      <c r="VSU1" s="22"/>
      <c r="VSV1" s="22"/>
      <c r="VSW1" s="22"/>
      <c r="VSX1" s="22"/>
      <c r="VSY1" s="22"/>
      <c r="VSZ1" s="22"/>
      <c r="VTA1" s="22"/>
      <c r="VTB1" s="22"/>
      <c r="VTC1" s="22"/>
      <c r="VTD1" s="22"/>
      <c r="VTE1" s="22"/>
      <c r="VTF1" s="22"/>
      <c r="VTG1" s="22"/>
      <c r="VTH1" s="22"/>
      <c r="VTI1" s="22"/>
      <c r="VTJ1" s="22"/>
      <c r="VTK1" s="22"/>
      <c r="VTL1" s="22"/>
      <c r="VTM1" s="22"/>
      <c r="VTN1" s="22"/>
      <c r="VTO1" s="22"/>
      <c r="VTP1" s="22"/>
      <c r="VTQ1" s="22"/>
      <c r="VTR1" s="22"/>
      <c r="VTS1" s="22"/>
      <c r="VTT1" s="22"/>
      <c r="VTU1" s="22"/>
      <c r="VTV1" s="22"/>
      <c r="VTW1" s="22"/>
      <c r="VTX1" s="22"/>
      <c r="VTY1" s="22"/>
      <c r="VTZ1" s="22"/>
      <c r="VUA1" s="22"/>
      <c r="VUB1" s="22"/>
      <c r="VUC1" s="22"/>
      <c r="VUD1" s="22"/>
      <c r="VUE1" s="22"/>
      <c r="VUF1" s="22"/>
      <c r="VUG1" s="22"/>
      <c r="VUH1" s="22"/>
      <c r="VUI1" s="22"/>
      <c r="VUJ1" s="22"/>
      <c r="VUK1" s="22"/>
      <c r="VUL1" s="22"/>
      <c r="VUM1" s="22"/>
      <c r="VUN1" s="22"/>
      <c r="VUO1" s="22"/>
      <c r="VUP1" s="22"/>
      <c r="VUQ1" s="22"/>
      <c r="VUR1" s="22"/>
      <c r="VUS1" s="22"/>
      <c r="VUT1" s="22"/>
      <c r="VUU1" s="22"/>
      <c r="VUV1" s="22"/>
      <c r="VUW1" s="22"/>
      <c r="VUX1" s="22"/>
      <c r="VUY1" s="22"/>
      <c r="VUZ1" s="22"/>
      <c r="VVA1" s="22"/>
      <c r="VVB1" s="22"/>
      <c r="VVC1" s="22"/>
      <c r="VVD1" s="22"/>
      <c r="VVE1" s="22"/>
      <c r="VVF1" s="22"/>
      <c r="VVG1" s="22"/>
      <c r="VVH1" s="22"/>
      <c r="VVI1" s="22"/>
      <c r="VVJ1" s="22"/>
      <c r="VVK1" s="22"/>
      <c r="VVL1" s="22"/>
      <c r="VVM1" s="22"/>
      <c r="VVN1" s="22"/>
      <c r="VVO1" s="22"/>
      <c r="VVP1" s="22"/>
      <c r="VVQ1" s="22"/>
      <c r="VVR1" s="22"/>
      <c r="VVS1" s="22"/>
      <c r="VVT1" s="22"/>
      <c r="VVU1" s="22"/>
      <c r="VVV1" s="22"/>
      <c r="VVW1" s="22"/>
      <c r="VVX1" s="22"/>
      <c r="VVY1" s="22"/>
      <c r="VVZ1" s="22"/>
      <c r="VWA1" s="22"/>
      <c r="VWB1" s="22"/>
      <c r="VWC1" s="22"/>
      <c r="VWD1" s="22"/>
      <c r="VWE1" s="22"/>
      <c r="VWF1" s="22"/>
      <c r="VWG1" s="22"/>
      <c r="VWH1" s="22"/>
      <c r="VWI1" s="22"/>
      <c r="VWJ1" s="22"/>
      <c r="VWK1" s="22"/>
      <c r="VWL1" s="22"/>
      <c r="VWM1" s="22"/>
      <c r="VWN1" s="22"/>
      <c r="VWO1" s="22"/>
      <c r="VWP1" s="22"/>
      <c r="VWQ1" s="22"/>
      <c r="VWR1" s="22"/>
      <c r="VWS1" s="22"/>
      <c r="VWT1" s="22"/>
      <c r="VWU1" s="22"/>
      <c r="VWV1" s="22"/>
      <c r="VWW1" s="22"/>
      <c r="VWX1" s="22"/>
      <c r="VWY1" s="22"/>
      <c r="VWZ1" s="22"/>
      <c r="VXA1" s="22"/>
      <c r="VXB1" s="22"/>
      <c r="VXC1" s="22"/>
      <c r="VXD1" s="22"/>
      <c r="VXE1" s="22"/>
      <c r="VXF1" s="22"/>
      <c r="VXG1" s="22"/>
      <c r="VXH1" s="22"/>
      <c r="VXI1" s="22"/>
      <c r="VXJ1" s="22"/>
      <c r="VXK1" s="22"/>
      <c r="VXL1" s="22"/>
      <c r="VXM1" s="22"/>
      <c r="VXN1" s="22"/>
      <c r="VXO1" s="22"/>
      <c r="VXP1" s="22"/>
      <c r="VXQ1" s="22"/>
      <c r="VXR1" s="22"/>
      <c r="VXS1" s="22"/>
      <c r="VXT1" s="22"/>
      <c r="VXU1" s="22"/>
      <c r="VXV1" s="22"/>
      <c r="VXW1" s="22"/>
      <c r="VXX1" s="22"/>
      <c r="VXY1" s="22"/>
      <c r="VXZ1" s="22"/>
      <c r="VYA1" s="22"/>
      <c r="VYB1" s="22"/>
      <c r="VYC1" s="22"/>
      <c r="VYD1" s="22"/>
      <c r="VYE1" s="22"/>
      <c r="VYF1" s="22"/>
      <c r="VYG1" s="22"/>
      <c r="VYH1" s="22"/>
      <c r="VYI1" s="22"/>
      <c r="VYJ1" s="22"/>
      <c r="VYK1" s="22"/>
      <c r="VYL1" s="22"/>
      <c r="VYM1" s="22"/>
      <c r="VYN1" s="22"/>
      <c r="VYO1" s="22"/>
      <c r="VYP1" s="22"/>
      <c r="VYQ1" s="22"/>
      <c r="VYR1" s="22"/>
      <c r="VYS1" s="22"/>
      <c r="VYT1" s="22"/>
      <c r="VYU1" s="22"/>
      <c r="VYV1" s="22"/>
      <c r="VYW1" s="22"/>
      <c r="VYX1" s="22"/>
      <c r="VYY1" s="22"/>
      <c r="VYZ1" s="22"/>
      <c r="VZA1" s="22"/>
      <c r="VZB1" s="22"/>
      <c r="VZC1" s="22"/>
      <c r="VZD1" s="22"/>
      <c r="VZE1" s="22"/>
      <c r="VZF1" s="22"/>
      <c r="VZG1" s="22"/>
      <c r="VZH1" s="22"/>
      <c r="VZI1" s="22"/>
      <c r="VZJ1" s="22"/>
      <c r="VZK1" s="22"/>
      <c r="VZL1" s="22"/>
      <c r="VZM1" s="22"/>
      <c r="VZN1" s="22"/>
      <c r="VZO1" s="22"/>
      <c r="VZP1" s="22"/>
      <c r="VZQ1" s="22"/>
      <c r="VZR1" s="22"/>
      <c r="VZS1" s="22"/>
      <c r="VZT1" s="22"/>
      <c r="VZU1" s="22"/>
      <c r="VZV1" s="22"/>
      <c r="VZW1" s="22"/>
      <c r="VZX1" s="22"/>
      <c r="VZY1" s="22"/>
      <c r="VZZ1" s="22"/>
      <c r="WAA1" s="22"/>
      <c r="WAB1" s="22"/>
      <c r="WAC1" s="22"/>
      <c r="WAD1" s="22"/>
      <c r="WAE1" s="22"/>
      <c r="WAF1" s="22"/>
      <c r="WAG1" s="22"/>
      <c r="WAH1" s="22"/>
      <c r="WAI1" s="22"/>
      <c r="WAJ1" s="22"/>
      <c r="WAK1" s="22"/>
      <c r="WAL1" s="22"/>
      <c r="WAM1" s="22"/>
      <c r="WAN1" s="22"/>
      <c r="WAO1" s="22"/>
      <c r="WAP1" s="22"/>
      <c r="WAQ1" s="22"/>
      <c r="WAR1" s="22"/>
      <c r="WAS1" s="22"/>
      <c r="WAT1" s="22"/>
      <c r="WAU1" s="22"/>
      <c r="WAV1" s="22"/>
      <c r="WAW1" s="22"/>
      <c r="WAX1" s="22"/>
      <c r="WAY1" s="22"/>
      <c r="WAZ1" s="22"/>
      <c r="WBA1" s="22"/>
      <c r="WBB1" s="22"/>
      <c r="WBC1" s="22"/>
      <c r="WBD1" s="22"/>
      <c r="WBE1" s="22"/>
      <c r="WBF1" s="22"/>
      <c r="WBG1" s="22"/>
      <c r="WBH1" s="22"/>
      <c r="WBI1" s="22"/>
      <c r="WBJ1" s="22"/>
      <c r="WBK1" s="22"/>
      <c r="WBL1" s="22"/>
      <c r="WBM1" s="22"/>
      <c r="WBN1" s="22"/>
      <c r="WBO1" s="22"/>
      <c r="WBP1" s="22"/>
      <c r="WBQ1" s="22"/>
      <c r="WBR1" s="22"/>
      <c r="WBS1" s="22"/>
      <c r="WBT1" s="22"/>
      <c r="WBU1" s="22"/>
      <c r="WBV1" s="22"/>
      <c r="WBW1" s="22"/>
      <c r="WBX1" s="22"/>
      <c r="WBY1" s="22"/>
      <c r="WBZ1" s="22"/>
      <c r="WCA1" s="22"/>
      <c r="WCB1" s="22"/>
      <c r="WCC1" s="22"/>
      <c r="WCD1" s="22"/>
      <c r="WCE1" s="22"/>
      <c r="WCF1" s="22"/>
      <c r="WCG1" s="22"/>
      <c r="WCH1" s="22"/>
      <c r="WCI1" s="22"/>
      <c r="WCJ1" s="22"/>
      <c r="WCK1" s="22"/>
      <c r="WCL1" s="22"/>
      <c r="WCM1" s="22"/>
      <c r="WCN1" s="22"/>
      <c r="WCO1" s="22"/>
      <c r="WCP1" s="22"/>
      <c r="WCQ1" s="22"/>
      <c r="WCR1" s="22"/>
      <c r="WCS1" s="22"/>
      <c r="WCT1" s="22"/>
      <c r="WCU1" s="22"/>
      <c r="WCV1" s="22"/>
      <c r="WCW1" s="22"/>
      <c r="WCX1" s="22"/>
      <c r="WCY1" s="22"/>
      <c r="WCZ1" s="22"/>
      <c r="WDA1" s="22"/>
      <c r="WDB1" s="22"/>
      <c r="WDC1" s="22"/>
      <c r="WDD1" s="22"/>
      <c r="WDE1" s="22"/>
      <c r="WDF1" s="22"/>
      <c r="WDG1" s="22"/>
      <c r="WDH1" s="22"/>
      <c r="WDI1" s="22"/>
      <c r="WDJ1" s="22"/>
      <c r="WDK1" s="22"/>
      <c r="WDL1" s="22"/>
      <c r="WDM1" s="22"/>
      <c r="WDN1" s="22"/>
      <c r="WDO1" s="22"/>
      <c r="WDP1" s="22"/>
      <c r="WDQ1" s="22"/>
      <c r="WDR1" s="22"/>
      <c r="WDS1" s="22"/>
      <c r="WDT1" s="22"/>
      <c r="WDU1" s="22"/>
      <c r="WDV1" s="22"/>
      <c r="WDW1" s="22"/>
      <c r="WDX1" s="22"/>
      <c r="WDY1" s="22"/>
      <c r="WDZ1" s="22"/>
      <c r="WEA1" s="22"/>
      <c r="WEB1" s="22"/>
      <c r="WEC1" s="22"/>
      <c r="WED1" s="22"/>
      <c r="WEE1" s="22"/>
      <c r="WEF1" s="22"/>
      <c r="WEG1" s="22"/>
      <c r="WEH1" s="22"/>
      <c r="WEI1" s="22"/>
      <c r="WEJ1" s="22"/>
      <c r="WEK1" s="22"/>
      <c r="WEL1" s="22"/>
      <c r="WEM1" s="22"/>
      <c r="WEN1" s="22"/>
      <c r="WEO1" s="22"/>
      <c r="WEP1" s="22"/>
      <c r="WEQ1" s="22"/>
      <c r="WER1" s="22"/>
      <c r="WES1" s="22"/>
      <c r="WET1" s="22"/>
      <c r="WEU1" s="22"/>
      <c r="WEV1" s="22"/>
      <c r="WEW1" s="22"/>
      <c r="WEX1" s="22"/>
      <c r="WEY1" s="22"/>
      <c r="WEZ1" s="22"/>
      <c r="WFA1" s="22"/>
      <c r="WFB1" s="22"/>
      <c r="WFC1" s="22"/>
      <c r="WFD1" s="22"/>
      <c r="WFE1" s="22"/>
      <c r="WFF1" s="22"/>
      <c r="WFG1" s="22"/>
      <c r="WFH1" s="22"/>
      <c r="WFI1" s="22"/>
      <c r="WFJ1" s="22"/>
      <c r="WFK1" s="22"/>
      <c r="WFL1" s="22"/>
      <c r="WFM1" s="22"/>
      <c r="WFN1" s="22"/>
      <c r="WFO1" s="22"/>
      <c r="WFP1" s="22"/>
      <c r="WFQ1" s="22"/>
      <c r="WFR1" s="22"/>
      <c r="WFS1" s="22"/>
      <c r="WFT1" s="22"/>
      <c r="WFU1" s="22"/>
      <c r="WFV1" s="22"/>
      <c r="WFW1" s="22"/>
      <c r="WFX1" s="22"/>
      <c r="WFY1" s="22"/>
      <c r="WFZ1" s="22"/>
      <c r="WGA1" s="22"/>
      <c r="WGB1" s="22"/>
      <c r="WGC1" s="22"/>
      <c r="WGD1" s="22"/>
      <c r="WGE1" s="22"/>
      <c r="WGF1" s="22"/>
      <c r="WGG1" s="22"/>
      <c r="WGH1" s="22"/>
      <c r="WGI1" s="22"/>
      <c r="WGJ1" s="22"/>
      <c r="WGK1" s="22"/>
      <c r="WGL1" s="22"/>
      <c r="WGM1" s="22"/>
      <c r="WGN1" s="22"/>
      <c r="WGO1" s="22"/>
      <c r="WGP1" s="22"/>
      <c r="WGQ1" s="22"/>
      <c r="WGR1" s="22"/>
      <c r="WGS1" s="22"/>
      <c r="WGT1" s="22"/>
      <c r="WGU1" s="22"/>
      <c r="WGV1" s="22"/>
      <c r="WGW1" s="22"/>
      <c r="WGX1" s="22"/>
      <c r="WGY1" s="22"/>
      <c r="WGZ1" s="22"/>
      <c r="WHA1" s="22"/>
      <c r="WHB1" s="22"/>
      <c r="WHC1" s="22"/>
      <c r="WHD1" s="22"/>
      <c r="WHE1" s="22"/>
      <c r="WHF1" s="22"/>
      <c r="WHG1" s="22"/>
      <c r="WHH1" s="22"/>
      <c r="WHI1" s="22"/>
      <c r="WHJ1" s="22"/>
      <c r="WHK1" s="22"/>
      <c r="WHL1" s="22"/>
      <c r="WHM1" s="22"/>
      <c r="WHN1" s="22"/>
      <c r="WHO1" s="22"/>
      <c r="WHP1" s="22"/>
      <c r="WHQ1" s="22"/>
      <c r="WHR1" s="22"/>
      <c r="WHS1" s="22"/>
      <c r="WHT1" s="22"/>
      <c r="WHU1" s="22"/>
      <c r="WHV1" s="22"/>
      <c r="WHW1" s="22"/>
      <c r="WHX1" s="22"/>
      <c r="WHY1" s="22"/>
      <c r="WHZ1" s="22"/>
      <c r="WIA1" s="22"/>
      <c r="WIB1" s="22"/>
      <c r="WIC1" s="22"/>
      <c r="WID1" s="22"/>
      <c r="WIE1" s="22"/>
      <c r="WIF1" s="22"/>
      <c r="WIG1" s="22"/>
      <c r="WIH1" s="22"/>
      <c r="WII1" s="22"/>
      <c r="WIJ1" s="22"/>
      <c r="WIK1" s="22"/>
      <c r="WIL1" s="22"/>
      <c r="WIM1" s="22"/>
      <c r="WIN1" s="22"/>
      <c r="WIO1" s="22"/>
      <c r="WIP1" s="22"/>
      <c r="WIQ1" s="22"/>
      <c r="WIR1" s="22"/>
      <c r="WIS1" s="22"/>
      <c r="WIT1" s="22"/>
      <c r="WIU1" s="22"/>
      <c r="WIV1" s="22"/>
      <c r="WIW1" s="22"/>
      <c r="WIX1" s="22"/>
      <c r="WIY1" s="22"/>
      <c r="WIZ1" s="22"/>
      <c r="WJA1" s="22"/>
      <c r="WJB1" s="22"/>
      <c r="WJC1" s="22"/>
      <c r="WJD1" s="22"/>
      <c r="WJE1" s="22"/>
      <c r="WJF1" s="22"/>
      <c r="WJG1" s="22"/>
      <c r="WJH1" s="22"/>
      <c r="WJI1" s="22"/>
      <c r="WJJ1" s="22"/>
      <c r="WJK1" s="22"/>
      <c r="WJL1" s="22"/>
      <c r="WJM1" s="22"/>
      <c r="WJN1" s="22"/>
      <c r="WJO1" s="22"/>
      <c r="WJP1" s="22"/>
      <c r="WJQ1" s="22"/>
      <c r="WJR1" s="22"/>
      <c r="WJS1" s="22"/>
      <c r="WJT1" s="22"/>
      <c r="WJU1" s="22"/>
      <c r="WJV1" s="22"/>
      <c r="WJW1" s="22"/>
      <c r="WJX1" s="22"/>
      <c r="WJY1" s="22"/>
      <c r="WJZ1" s="22"/>
      <c r="WKA1" s="22"/>
      <c r="WKB1" s="22"/>
      <c r="WKC1" s="22"/>
      <c r="WKD1" s="22"/>
      <c r="WKE1" s="22"/>
      <c r="WKF1" s="22"/>
      <c r="WKG1" s="22"/>
      <c r="WKH1" s="22"/>
      <c r="WKI1" s="22"/>
      <c r="WKJ1" s="22"/>
      <c r="WKK1" s="22"/>
      <c r="WKL1" s="22"/>
      <c r="WKM1" s="22"/>
      <c r="WKN1" s="22"/>
      <c r="WKO1" s="22"/>
      <c r="WKP1" s="22"/>
      <c r="WKQ1" s="22"/>
      <c r="WKR1" s="22"/>
      <c r="WKS1" s="22"/>
      <c r="WKT1" s="22"/>
      <c r="WKU1" s="22"/>
      <c r="WKV1" s="22"/>
      <c r="WKW1" s="22"/>
      <c r="WKX1" s="22"/>
      <c r="WKY1" s="22"/>
      <c r="WKZ1" s="22"/>
      <c r="WLA1" s="22"/>
      <c r="WLB1" s="22"/>
      <c r="WLC1" s="22"/>
      <c r="WLD1" s="22"/>
      <c r="WLE1" s="22"/>
      <c r="WLF1" s="22"/>
      <c r="WLG1" s="22"/>
      <c r="WLH1" s="22"/>
      <c r="WLI1" s="22"/>
      <c r="WLJ1" s="22"/>
      <c r="WLK1" s="22"/>
      <c r="WLL1" s="22"/>
      <c r="WLM1" s="22"/>
      <c r="WLN1" s="22"/>
      <c r="WLO1" s="22"/>
      <c r="WLP1" s="22"/>
      <c r="WLQ1" s="22"/>
      <c r="WLR1" s="22"/>
      <c r="WLS1" s="22"/>
      <c r="WLT1" s="22"/>
      <c r="WLU1" s="22"/>
      <c r="WLV1" s="22"/>
      <c r="WLW1" s="22"/>
      <c r="WLX1" s="22"/>
      <c r="WLY1" s="22"/>
      <c r="WLZ1" s="22"/>
      <c r="WMA1" s="22"/>
      <c r="WMB1" s="22"/>
      <c r="WMC1" s="22"/>
      <c r="WMD1" s="22"/>
      <c r="WME1" s="22"/>
      <c r="WMF1" s="22"/>
      <c r="WMG1" s="22"/>
      <c r="WMH1" s="22"/>
      <c r="WMI1" s="22"/>
      <c r="WMJ1" s="22"/>
      <c r="WMK1" s="22"/>
      <c r="WML1" s="22"/>
      <c r="WMM1" s="22"/>
      <c r="WMN1" s="22"/>
      <c r="WMO1" s="22"/>
      <c r="WMP1" s="22"/>
      <c r="WMQ1" s="22"/>
      <c r="WMR1" s="22"/>
      <c r="WMS1" s="22"/>
      <c r="WMT1" s="22"/>
      <c r="WMU1" s="22"/>
      <c r="WMV1" s="22"/>
      <c r="WMW1" s="22"/>
      <c r="WMX1" s="22"/>
      <c r="WMY1" s="22"/>
      <c r="WMZ1" s="22"/>
      <c r="WNA1" s="22"/>
      <c r="WNB1" s="22"/>
      <c r="WNC1" s="22"/>
      <c r="WND1" s="22"/>
      <c r="WNE1" s="22"/>
      <c r="WNF1" s="22"/>
      <c r="WNG1" s="22"/>
      <c r="WNH1" s="22"/>
      <c r="WNI1" s="22"/>
      <c r="WNJ1" s="22"/>
      <c r="WNK1" s="22"/>
      <c r="WNL1" s="22"/>
      <c r="WNM1" s="22"/>
      <c r="WNN1" s="22"/>
      <c r="WNO1" s="22"/>
      <c r="WNP1" s="22"/>
      <c r="WNQ1" s="22"/>
      <c r="WNR1" s="22"/>
      <c r="WNS1" s="22"/>
      <c r="WNT1" s="22"/>
      <c r="WNU1" s="22"/>
      <c r="WNV1" s="22"/>
      <c r="WNW1" s="22"/>
      <c r="WNX1" s="22"/>
      <c r="WNY1" s="22"/>
      <c r="WNZ1" s="22"/>
      <c r="WOA1" s="22"/>
      <c r="WOB1" s="22"/>
      <c r="WOC1" s="22"/>
      <c r="WOD1" s="22"/>
      <c r="WOE1" s="22"/>
      <c r="WOF1" s="22"/>
      <c r="WOG1" s="22"/>
      <c r="WOH1" s="22"/>
      <c r="WOI1" s="22"/>
      <c r="WOJ1" s="22"/>
      <c r="WOK1" s="22"/>
      <c r="WOL1" s="22"/>
      <c r="WOM1" s="22"/>
      <c r="WON1" s="22"/>
      <c r="WOO1" s="22"/>
      <c r="WOP1" s="22"/>
      <c r="WOQ1" s="22"/>
      <c r="WOR1" s="22"/>
      <c r="WOS1" s="22"/>
      <c r="WOT1" s="22"/>
      <c r="WOU1" s="22"/>
      <c r="WOV1" s="22"/>
      <c r="WOW1" s="22"/>
      <c r="WOX1" s="22"/>
      <c r="WOY1" s="22"/>
      <c r="WOZ1" s="22"/>
      <c r="WPA1" s="22"/>
      <c r="WPB1" s="22"/>
      <c r="WPC1" s="22"/>
      <c r="WPD1" s="22"/>
      <c r="WPE1" s="22"/>
      <c r="WPF1" s="22"/>
      <c r="WPG1" s="22"/>
      <c r="WPH1" s="22"/>
      <c r="WPI1" s="22"/>
      <c r="WPJ1" s="22"/>
      <c r="WPK1" s="22"/>
      <c r="WPL1" s="22"/>
      <c r="WPM1" s="22"/>
      <c r="WPN1" s="22"/>
      <c r="WPO1" s="22"/>
      <c r="WPP1" s="22"/>
      <c r="WPQ1" s="22"/>
      <c r="WPR1" s="22"/>
      <c r="WPS1" s="22"/>
      <c r="WPT1" s="22"/>
      <c r="WPU1" s="22"/>
      <c r="WPV1" s="22"/>
      <c r="WPW1" s="22"/>
      <c r="WPX1" s="22"/>
      <c r="WPY1" s="22"/>
      <c r="WPZ1" s="22"/>
      <c r="WQA1" s="22"/>
      <c r="WQB1" s="22"/>
      <c r="WQC1" s="22"/>
      <c r="WQD1" s="22"/>
      <c r="WQE1" s="22"/>
      <c r="WQF1" s="22"/>
      <c r="WQG1" s="22"/>
      <c r="WQH1" s="22"/>
      <c r="WQI1" s="22"/>
      <c r="WQJ1" s="22"/>
      <c r="WQK1" s="22"/>
      <c r="WQL1" s="22"/>
      <c r="WQM1" s="22"/>
      <c r="WQN1" s="22"/>
      <c r="WQO1" s="22"/>
      <c r="WQP1" s="22"/>
      <c r="WQQ1" s="22"/>
      <c r="WQR1" s="22"/>
      <c r="WQS1" s="22"/>
      <c r="WQT1" s="22"/>
      <c r="WQU1" s="22"/>
      <c r="WQV1" s="22"/>
      <c r="WQW1" s="22"/>
      <c r="WQX1" s="22"/>
      <c r="WQY1" s="22"/>
      <c r="WQZ1" s="22"/>
      <c r="WRA1" s="22"/>
      <c r="WRB1" s="22"/>
      <c r="WRC1" s="22"/>
      <c r="WRD1" s="22"/>
      <c r="WRE1" s="22"/>
      <c r="WRF1" s="22"/>
      <c r="WRG1" s="22"/>
      <c r="WRH1" s="22"/>
      <c r="WRI1" s="22"/>
      <c r="WRJ1" s="22"/>
      <c r="WRK1" s="22"/>
      <c r="WRL1" s="22"/>
      <c r="WRM1" s="22"/>
      <c r="WRN1" s="22"/>
      <c r="WRO1" s="22"/>
      <c r="WRP1" s="22"/>
      <c r="WRQ1" s="22"/>
      <c r="WRR1" s="22"/>
      <c r="WRS1" s="22"/>
      <c r="WRT1" s="22"/>
      <c r="WRU1" s="22"/>
      <c r="WRV1" s="22"/>
      <c r="WRW1" s="22"/>
      <c r="WRX1" s="22"/>
      <c r="WRY1" s="22"/>
      <c r="WRZ1" s="22"/>
      <c r="WSA1" s="22"/>
      <c r="WSB1" s="22"/>
      <c r="WSC1" s="22"/>
      <c r="WSD1" s="22"/>
      <c r="WSE1" s="22"/>
      <c r="WSF1" s="22"/>
      <c r="WSG1" s="22"/>
      <c r="WSH1" s="22"/>
      <c r="WSI1" s="22"/>
      <c r="WSJ1" s="22"/>
      <c r="WSK1" s="22"/>
      <c r="WSL1" s="22"/>
      <c r="WSM1" s="22"/>
      <c r="WSN1" s="22"/>
      <c r="WSO1" s="22"/>
      <c r="WSP1" s="22"/>
      <c r="WSQ1" s="22"/>
      <c r="WSR1" s="22"/>
      <c r="WSS1" s="22"/>
      <c r="WST1" s="22"/>
      <c r="WSU1" s="22"/>
      <c r="WSV1" s="22"/>
      <c r="WSW1" s="22"/>
      <c r="WSX1" s="22"/>
      <c r="WSY1" s="22"/>
      <c r="WSZ1" s="22"/>
      <c r="WTA1" s="22"/>
      <c r="WTB1" s="22"/>
      <c r="WTC1" s="22"/>
      <c r="WTD1" s="22"/>
      <c r="WTE1" s="22"/>
      <c r="WTF1" s="22"/>
      <c r="WTG1" s="22"/>
      <c r="WTH1" s="22"/>
      <c r="WTI1" s="22"/>
      <c r="WTJ1" s="22"/>
      <c r="WTK1" s="22"/>
      <c r="WTL1" s="22"/>
      <c r="WTM1" s="22"/>
      <c r="WTN1" s="22"/>
      <c r="WTO1" s="22"/>
      <c r="WTP1" s="22"/>
      <c r="WTQ1" s="22"/>
      <c r="WTR1" s="22"/>
      <c r="WTS1" s="22"/>
      <c r="WTT1" s="22"/>
      <c r="WTU1" s="22"/>
      <c r="WTV1" s="22"/>
      <c r="WTW1" s="22"/>
      <c r="WTX1" s="22"/>
      <c r="WTY1" s="22"/>
      <c r="WTZ1" s="22"/>
      <c r="WUA1" s="22"/>
      <c r="WUB1" s="22"/>
      <c r="WUC1" s="22"/>
      <c r="WUD1" s="22"/>
      <c r="WUE1" s="22"/>
      <c r="WUF1" s="22"/>
      <c r="WUG1" s="22"/>
      <c r="WUH1" s="22"/>
      <c r="WUI1" s="22"/>
      <c r="WUJ1" s="22"/>
      <c r="WUK1" s="22"/>
      <c r="WUL1" s="22"/>
      <c r="WUM1" s="22"/>
      <c r="WUN1" s="22"/>
      <c r="WUO1" s="22"/>
      <c r="WUP1" s="22"/>
      <c r="WUQ1" s="22"/>
      <c r="WUR1" s="22"/>
      <c r="WUS1" s="22"/>
      <c r="WUT1" s="22"/>
      <c r="WUU1" s="22"/>
      <c r="WUV1" s="22"/>
      <c r="WUW1" s="22"/>
      <c r="WUX1" s="22"/>
      <c r="WUY1" s="22"/>
      <c r="WUZ1" s="22"/>
      <c r="WVA1" s="22"/>
      <c r="WVB1" s="22"/>
      <c r="WVC1" s="22"/>
      <c r="WVD1" s="22"/>
      <c r="WVE1" s="22"/>
      <c r="WVF1" s="22"/>
      <c r="WVG1" s="22"/>
      <c r="WVH1" s="22"/>
      <c r="WVI1" s="22"/>
      <c r="WVJ1" s="22"/>
      <c r="WVK1" s="22"/>
      <c r="WVL1" s="22"/>
      <c r="WVM1" s="22"/>
      <c r="WVN1" s="22"/>
      <c r="WVO1" s="22"/>
      <c r="WVP1" s="22"/>
      <c r="WVQ1" s="22"/>
      <c r="WVR1" s="22"/>
      <c r="WVS1" s="22"/>
      <c r="WVT1" s="22"/>
      <c r="WVU1" s="22"/>
      <c r="WVV1" s="22"/>
      <c r="WVW1" s="22"/>
      <c r="WVX1" s="22"/>
      <c r="WVY1" s="22"/>
      <c r="WVZ1" s="22"/>
      <c r="WWA1" s="22"/>
      <c r="WWB1" s="22"/>
      <c r="WWC1" s="22"/>
      <c r="WWD1" s="22"/>
      <c r="WWE1" s="22"/>
      <c r="WWF1" s="22"/>
      <c r="WWG1" s="22"/>
      <c r="WWH1" s="22"/>
      <c r="WWI1" s="22"/>
      <c r="WWJ1" s="22"/>
      <c r="WWK1" s="22"/>
      <c r="WWL1" s="22"/>
      <c r="WWM1" s="22"/>
      <c r="WWN1" s="22"/>
      <c r="WWO1" s="22"/>
      <c r="WWP1" s="22"/>
      <c r="WWQ1" s="22"/>
      <c r="WWR1" s="22"/>
      <c r="WWS1" s="22"/>
      <c r="WWT1" s="22"/>
      <c r="WWU1" s="22"/>
      <c r="WWV1" s="22"/>
      <c r="WWW1" s="22"/>
      <c r="WWX1" s="22"/>
      <c r="WWY1" s="22"/>
      <c r="WWZ1" s="22"/>
      <c r="WXA1" s="22"/>
      <c r="WXB1" s="22"/>
      <c r="WXC1" s="22"/>
      <c r="WXD1" s="22"/>
      <c r="WXE1" s="22"/>
      <c r="WXF1" s="22"/>
      <c r="WXG1" s="22"/>
      <c r="WXH1" s="22"/>
      <c r="WXI1" s="22"/>
      <c r="WXJ1" s="22"/>
      <c r="WXK1" s="22"/>
      <c r="WXL1" s="22"/>
      <c r="WXM1" s="22"/>
      <c r="WXN1" s="22"/>
      <c r="WXO1" s="22"/>
      <c r="WXP1" s="22"/>
      <c r="WXQ1" s="22"/>
      <c r="WXR1" s="22"/>
      <c r="WXS1" s="22"/>
      <c r="WXT1" s="22"/>
      <c r="WXU1" s="22"/>
      <c r="WXV1" s="22"/>
      <c r="WXW1" s="22"/>
      <c r="WXX1" s="22"/>
      <c r="WXY1" s="22"/>
      <c r="WXZ1" s="22"/>
      <c r="WYA1" s="22"/>
      <c r="WYB1" s="22"/>
      <c r="WYC1" s="22"/>
      <c r="WYD1" s="22"/>
      <c r="WYE1" s="22"/>
      <c r="WYF1" s="22"/>
      <c r="WYG1" s="22"/>
      <c r="WYH1" s="22"/>
      <c r="WYI1" s="22"/>
      <c r="WYJ1" s="22"/>
      <c r="WYK1" s="22"/>
      <c r="WYL1" s="22"/>
      <c r="WYM1" s="22"/>
      <c r="WYN1" s="22"/>
      <c r="WYO1" s="22"/>
      <c r="WYP1" s="22"/>
      <c r="WYQ1" s="22"/>
      <c r="WYR1" s="22"/>
      <c r="WYS1" s="22"/>
      <c r="WYT1" s="22"/>
      <c r="WYU1" s="22"/>
      <c r="WYV1" s="22"/>
      <c r="WYW1" s="22"/>
      <c r="WYX1" s="22"/>
      <c r="WYY1" s="22"/>
      <c r="WYZ1" s="22"/>
      <c r="WZA1" s="22"/>
      <c r="WZB1" s="22"/>
      <c r="WZC1" s="22"/>
      <c r="WZD1" s="22"/>
      <c r="WZE1" s="22"/>
      <c r="WZF1" s="22"/>
      <c r="WZG1" s="22"/>
      <c r="WZH1" s="22"/>
      <c r="WZI1" s="22"/>
      <c r="WZJ1" s="22"/>
      <c r="WZK1" s="22"/>
      <c r="WZL1" s="22"/>
      <c r="WZM1" s="22"/>
      <c r="WZN1" s="22"/>
      <c r="WZO1" s="22"/>
      <c r="WZP1" s="22"/>
      <c r="WZQ1" s="22"/>
      <c r="WZR1" s="22"/>
      <c r="WZS1" s="22"/>
      <c r="WZT1" s="22"/>
      <c r="WZU1" s="22"/>
      <c r="WZV1" s="22"/>
      <c r="WZW1" s="22"/>
      <c r="WZX1" s="22"/>
      <c r="WZY1" s="22"/>
      <c r="WZZ1" s="22"/>
      <c r="XAA1" s="22"/>
      <c r="XAB1" s="22"/>
      <c r="XAC1" s="22"/>
      <c r="XAD1" s="22"/>
      <c r="XAE1" s="22"/>
      <c r="XAF1" s="22"/>
      <c r="XAG1" s="22"/>
      <c r="XAH1" s="22"/>
      <c r="XAI1" s="22"/>
      <c r="XAJ1" s="22"/>
      <c r="XAK1" s="22"/>
      <c r="XAL1" s="22"/>
      <c r="XAM1" s="22"/>
      <c r="XAN1" s="22"/>
      <c r="XAO1" s="22"/>
      <c r="XAP1" s="22"/>
      <c r="XAQ1" s="22"/>
      <c r="XAR1" s="22"/>
      <c r="XAS1" s="22"/>
      <c r="XAT1" s="22"/>
      <c r="XAU1" s="22"/>
      <c r="XAV1" s="22"/>
      <c r="XAW1" s="22"/>
      <c r="XAX1" s="22"/>
      <c r="XAY1" s="22"/>
      <c r="XAZ1" s="22"/>
      <c r="XBA1" s="22"/>
      <c r="XBB1" s="22"/>
      <c r="XBC1" s="22"/>
      <c r="XBD1" s="22"/>
      <c r="XBE1" s="22"/>
      <c r="XBF1" s="22"/>
      <c r="XBG1" s="22"/>
      <c r="XBH1" s="22"/>
      <c r="XBI1" s="22"/>
      <c r="XBJ1" s="22"/>
      <c r="XBK1" s="22"/>
      <c r="XBL1" s="22"/>
      <c r="XBM1" s="22"/>
      <c r="XBN1" s="22"/>
      <c r="XBO1" s="22"/>
      <c r="XBP1" s="22"/>
      <c r="XBQ1" s="22"/>
      <c r="XBR1" s="22"/>
      <c r="XBS1" s="22"/>
      <c r="XBT1" s="22"/>
      <c r="XBU1" s="22"/>
      <c r="XBV1" s="22"/>
      <c r="XBW1" s="22"/>
      <c r="XBX1" s="22"/>
      <c r="XBY1" s="22"/>
      <c r="XBZ1" s="22"/>
      <c r="XCA1" s="22"/>
      <c r="XCB1" s="22"/>
      <c r="XCC1" s="22"/>
      <c r="XCD1" s="22"/>
      <c r="XCE1" s="22"/>
      <c r="XCF1" s="22"/>
      <c r="XCG1" s="22"/>
      <c r="XCH1" s="22"/>
      <c r="XCI1" s="22"/>
      <c r="XCJ1" s="22"/>
      <c r="XCK1" s="22"/>
      <c r="XCL1" s="22"/>
      <c r="XCM1" s="22"/>
      <c r="XCN1" s="22"/>
      <c r="XCO1" s="22"/>
      <c r="XCP1" s="22"/>
      <c r="XCQ1" s="22"/>
      <c r="XCR1" s="22"/>
      <c r="XCS1" s="22"/>
      <c r="XCT1" s="22"/>
      <c r="XCU1" s="22"/>
      <c r="XCV1" s="22"/>
      <c r="XCW1" s="22"/>
      <c r="XCX1" s="22"/>
      <c r="XCY1" s="22"/>
      <c r="XCZ1" s="22"/>
      <c r="XDA1" s="22"/>
      <c r="XDB1" s="22"/>
      <c r="XDC1" s="22"/>
      <c r="XDD1" s="22"/>
      <c r="XDE1" s="22"/>
      <c r="XDF1" s="22"/>
      <c r="XDG1" s="22"/>
      <c r="XDH1" s="22"/>
      <c r="XDI1" s="22"/>
      <c r="XDJ1" s="22"/>
      <c r="XDK1" s="22"/>
      <c r="XDL1" s="22"/>
      <c r="XDM1" s="22"/>
      <c r="XDN1" s="22"/>
      <c r="XDO1" s="22"/>
      <c r="XDP1" s="22"/>
      <c r="XDQ1" s="22"/>
      <c r="XDR1" s="22"/>
      <c r="XDS1" s="22"/>
      <c r="XDT1" s="22"/>
      <c r="XDU1" s="22"/>
      <c r="XDV1" s="22"/>
      <c r="XDW1" s="22"/>
      <c r="XDX1" s="22"/>
      <c r="XDY1" s="22"/>
      <c r="XDZ1" s="22"/>
      <c r="XEA1" s="22"/>
      <c r="XEB1" s="22"/>
      <c r="XEC1" s="22"/>
      <c r="XED1" s="22"/>
      <c r="XEE1" s="22"/>
      <c r="XEF1" s="22"/>
      <c r="XEG1" s="22"/>
      <c r="XEH1" s="22"/>
      <c r="XEI1" s="22"/>
      <c r="XEJ1" s="22"/>
      <c r="XEK1" s="22"/>
      <c r="XEL1" s="22"/>
      <c r="XEM1" s="22"/>
      <c r="XEN1" s="22"/>
      <c r="XEO1" s="22"/>
      <c r="XEP1" s="22"/>
      <c r="XEQ1" s="22"/>
      <c r="XER1" s="22"/>
    </row>
    <row r="2" spans="1:16372" ht="39.950000000000003" customHeight="1" x14ac:dyDescent="0.2">
      <c r="A2" s="495" t="s">
        <v>475</v>
      </c>
      <c r="B2" s="495"/>
      <c r="C2" s="495"/>
      <c r="D2" s="495"/>
      <c r="E2" s="495"/>
      <c r="F2" s="495"/>
    </row>
    <row r="3" spans="1:16372" ht="47.25" customHeight="1" x14ac:dyDescent="0.2">
      <c r="A3" s="396" t="str">
        <f>Overview!B4&amp;" - Illustrative LLFs in Electricity North West Area (GSP Group_G) for year beginning "&amp;TEXT(Overview!$D$4,"d mmmm yyyy")&amp;""</f>
        <v>Leep Electricity Networks Limited - Illustrative LLFs in Electricity North West Area (GSP Group_G) for year beginning 1 April 2027</v>
      </c>
      <c r="B3" s="432"/>
      <c r="C3" s="432"/>
      <c r="D3" s="432"/>
      <c r="E3" s="433"/>
    </row>
    <row r="4" spans="1:16372" ht="19.5" customHeight="1" x14ac:dyDescent="0.2">
      <c r="A4" s="510" t="s">
        <v>13</v>
      </c>
      <c r="B4" s="189" t="s">
        <v>5</v>
      </c>
      <c r="C4" s="189" t="s">
        <v>6</v>
      </c>
      <c r="D4" s="189" t="s">
        <v>7</v>
      </c>
      <c r="E4" s="189" t="s">
        <v>8</v>
      </c>
    </row>
    <row r="5" spans="1:16372" ht="36.75" customHeight="1" x14ac:dyDescent="0.2">
      <c r="A5" s="511"/>
      <c r="B5" s="189"/>
      <c r="C5" s="189"/>
      <c r="D5" s="189"/>
      <c r="E5" s="189"/>
    </row>
    <row r="6" spans="1:16372" ht="45" customHeight="1" x14ac:dyDescent="0.2">
      <c r="A6" s="105">
        <v>0</v>
      </c>
      <c r="B6" s="334" t="s">
        <v>797</v>
      </c>
      <c r="C6" s="334" t="s">
        <v>797</v>
      </c>
      <c r="D6" s="334" t="s">
        <v>797</v>
      </c>
      <c r="E6" s="334" t="s">
        <v>797</v>
      </c>
    </row>
    <row r="7" spans="1:16372" ht="45" customHeight="1" x14ac:dyDescent="0.2">
      <c r="A7" s="105">
        <v>0</v>
      </c>
      <c r="B7" s="334" t="s">
        <v>797</v>
      </c>
      <c r="C7" s="334" t="s">
        <v>797</v>
      </c>
      <c r="D7" s="334" t="s">
        <v>797</v>
      </c>
      <c r="E7" s="334" t="s">
        <v>797</v>
      </c>
    </row>
    <row r="8" spans="1:16372" ht="45" customHeight="1" x14ac:dyDescent="0.2">
      <c r="A8" s="105">
        <v>0</v>
      </c>
      <c r="B8" s="334" t="s">
        <v>797</v>
      </c>
      <c r="C8" s="334" t="s">
        <v>797</v>
      </c>
      <c r="D8" s="334" t="s">
        <v>797</v>
      </c>
      <c r="E8" s="334" t="s">
        <v>797</v>
      </c>
    </row>
    <row r="9" spans="1:16372" ht="25.5" customHeight="1" x14ac:dyDescent="0.2">
      <c r="A9" s="170" t="s">
        <v>14</v>
      </c>
      <c r="B9" s="512" t="s">
        <v>15</v>
      </c>
      <c r="C9" s="513"/>
      <c r="D9" s="513"/>
      <c r="E9" s="514"/>
    </row>
    <row r="10" spans="1:16372" ht="12.75" customHeight="1" x14ac:dyDescent="0.2">
      <c r="A10" s="199"/>
      <c r="B10" s="200"/>
      <c r="C10" s="200"/>
      <c r="D10" s="200"/>
      <c r="E10" s="200"/>
    </row>
    <row r="11" spans="1:16372" ht="12.75" customHeight="1" x14ac:dyDescent="0.2">
      <c r="B11" s="200"/>
      <c r="C11" s="200"/>
      <c r="D11" s="200"/>
      <c r="E11" s="200"/>
    </row>
    <row r="12" spans="1:16372" ht="22.5" customHeight="1" x14ac:dyDescent="0.2">
      <c r="A12" s="426" t="s">
        <v>275</v>
      </c>
      <c r="B12" s="504"/>
      <c r="C12" s="504"/>
      <c r="D12" s="504"/>
      <c r="E12" s="504"/>
      <c r="F12" s="427"/>
    </row>
    <row r="13" spans="1:16372" ht="22.5" customHeight="1" x14ac:dyDescent="0.2">
      <c r="A13" s="426" t="s">
        <v>4</v>
      </c>
      <c r="B13" s="504"/>
      <c r="C13" s="504"/>
      <c r="D13" s="504"/>
      <c r="E13" s="504"/>
      <c r="F13" s="427"/>
    </row>
    <row r="14" spans="1:16372" ht="33" customHeight="1" x14ac:dyDescent="0.2">
      <c r="A14" s="189" t="s">
        <v>276</v>
      </c>
      <c r="B14" s="189" t="s">
        <v>5</v>
      </c>
      <c r="C14" s="189" t="s">
        <v>6</v>
      </c>
      <c r="D14" s="189" t="s">
        <v>7</v>
      </c>
      <c r="E14" s="189" t="s">
        <v>8</v>
      </c>
      <c r="F14" s="189" t="s">
        <v>9</v>
      </c>
    </row>
    <row r="15" spans="1:16372" x14ac:dyDescent="0.2">
      <c r="A15" s="202" t="s">
        <v>453</v>
      </c>
      <c r="B15" s="107"/>
      <c r="C15" s="107"/>
      <c r="D15" s="107"/>
      <c r="E15" s="107"/>
      <c r="F15" s="301"/>
    </row>
    <row r="16" spans="1:16372" ht="22.5" customHeight="1" x14ac:dyDescent="0.2">
      <c r="A16" s="202" t="s">
        <v>454</v>
      </c>
      <c r="B16" s="107"/>
      <c r="C16" s="107"/>
      <c r="D16" s="107"/>
      <c r="E16" s="107"/>
      <c r="F16" s="301"/>
    </row>
    <row r="17" spans="1:7" ht="22.5" customHeight="1" x14ac:dyDescent="0.2">
      <c r="A17" s="202" t="s">
        <v>455</v>
      </c>
      <c r="B17" s="107"/>
      <c r="C17" s="107"/>
      <c r="D17" s="107"/>
      <c r="E17" s="107"/>
      <c r="F17" s="301"/>
    </row>
    <row r="18" spans="1:7" ht="22.5" customHeight="1" x14ac:dyDescent="0.2">
      <c r="A18" s="202" t="s">
        <v>449</v>
      </c>
      <c r="B18" s="107"/>
      <c r="C18" s="107"/>
      <c r="D18" s="107"/>
      <c r="E18" s="107"/>
      <c r="F18" s="301" t="s">
        <v>2135</v>
      </c>
      <c r="G18" s="303">
        <v>4</v>
      </c>
    </row>
    <row r="19" spans="1:7" ht="63.75" x14ac:dyDescent="0.2">
      <c r="A19" s="202" t="s">
        <v>450</v>
      </c>
      <c r="B19" s="107"/>
      <c r="C19" s="107"/>
      <c r="D19" s="107"/>
      <c r="E19" s="107"/>
      <c r="F19" s="301" t="s">
        <v>2136</v>
      </c>
      <c r="G19" s="303">
        <v>3</v>
      </c>
    </row>
    <row r="20" spans="1:7" ht="76.5" x14ac:dyDescent="0.2">
      <c r="A20" s="202" t="s">
        <v>451</v>
      </c>
      <c r="B20" s="107"/>
      <c r="C20" s="107"/>
      <c r="D20" s="107"/>
      <c r="E20" s="107"/>
      <c r="F20" s="301" t="s">
        <v>2137</v>
      </c>
      <c r="G20" s="303">
        <v>2</v>
      </c>
    </row>
    <row r="21" spans="1:7" ht="331.5" x14ac:dyDescent="0.2">
      <c r="A21" s="202" t="s">
        <v>452</v>
      </c>
      <c r="B21" s="107"/>
      <c r="C21" s="107"/>
      <c r="D21" s="107"/>
      <c r="E21" s="107"/>
      <c r="F21" s="301" t="s">
        <v>2138</v>
      </c>
      <c r="G21" s="303">
        <v>1</v>
      </c>
    </row>
    <row r="22" spans="1:7" ht="12.75" customHeight="1" x14ac:dyDescent="0.2"/>
    <row r="23" spans="1:7" ht="22.5" customHeight="1" x14ac:dyDescent="0.2">
      <c r="A23" s="426" t="s">
        <v>277</v>
      </c>
      <c r="B23" s="504"/>
      <c r="C23" s="504"/>
      <c r="D23" s="504"/>
      <c r="E23" s="504"/>
      <c r="F23" s="427"/>
    </row>
    <row r="24" spans="1:7" ht="22.5" customHeight="1" x14ac:dyDescent="0.2">
      <c r="A24" s="426" t="s">
        <v>11</v>
      </c>
      <c r="B24" s="504"/>
      <c r="C24" s="504"/>
      <c r="D24" s="504"/>
      <c r="E24" s="504"/>
      <c r="F24" s="427"/>
    </row>
    <row r="25" spans="1:7" ht="33" customHeight="1" x14ac:dyDescent="0.2">
      <c r="A25" s="189" t="s">
        <v>10</v>
      </c>
      <c r="B25" s="189" t="s">
        <v>5</v>
      </c>
      <c r="C25" s="189" t="s">
        <v>6</v>
      </c>
      <c r="D25" s="189" t="s">
        <v>7</v>
      </c>
      <c r="E25" s="189" t="s">
        <v>8</v>
      </c>
      <c r="F25" s="189" t="s">
        <v>9</v>
      </c>
    </row>
    <row r="26" spans="1:7" ht="22.5" customHeight="1" x14ac:dyDescent="0.2">
      <c r="A26" s="202"/>
      <c r="B26" s="208"/>
      <c r="C26" s="208"/>
      <c r="D26" s="208"/>
      <c r="E26" s="208"/>
      <c r="F26" s="203"/>
    </row>
    <row r="27" spans="1:7" ht="12.75" customHeight="1" x14ac:dyDescent="0.2"/>
    <row r="28" spans="1:7" ht="22.5" customHeight="1" x14ac:dyDescent="0.2">
      <c r="A28" s="426" t="s">
        <v>277</v>
      </c>
      <c r="B28" s="504"/>
      <c r="C28" s="504"/>
      <c r="D28" s="504"/>
      <c r="E28" s="504"/>
      <c r="F28" s="427"/>
    </row>
    <row r="29" spans="1:7" ht="22.5" customHeight="1" x14ac:dyDescent="0.2">
      <c r="A29" s="426" t="s">
        <v>12</v>
      </c>
      <c r="B29" s="504"/>
      <c r="C29" s="504"/>
      <c r="D29" s="504"/>
      <c r="E29" s="504"/>
      <c r="F29" s="427"/>
    </row>
    <row r="30" spans="1:7" ht="33" customHeight="1" x14ac:dyDescent="0.2">
      <c r="A30" s="189" t="s">
        <v>10</v>
      </c>
      <c r="B30" s="189" t="s">
        <v>5</v>
      </c>
      <c r="C30" s="189" t="s">
        <v>6</v>
      </c>
      <c r="D30" s="189" t="s">
        <v>7</v>
      </c>
      <c r="E30" s="189" t="s">
        <v>8</v>
      </c>
      <c r="F30" s="189" t="s">
        <v>9</v>
      </c>
    </row>
    <row r="31" spans="1:7" ht="22.5" customHeight="1" x14ac:dyDescent="0.2">
      <c r="A31" s="202"/>
      <c r="B31" s="209"/>
      <c r="C31" s="209"/>
      <c r="D31" s="209"/>
      <c r="E31" s="209"/>
      <c r="F31" s="203"/>
    </row>
  </sheetData>
  <mergeCells count="10">
    <mergeCell ref="A2:F2"/>
    <mergeCell ref="A23:F23"/>
    <mergeCell ref="A24:F24"/>
    <mergeCell ref="A28:F28"/>
    <mergeCell ref="A29:F29"/>
    <mergeCell ref="A3:E3"/>
    <mergeCell ref="A4:A5"/>
    <mergeCell ref="B9:E9"/>
    <mergeCell ref="A12:F12"/>
    <mergeCell ref="A13:F13"/>
  </mergeCells>
  <conditionalFormatting sqref="B6:E8">
    <cfRule type="cellIs" dxfId="16" priority="1" operator="equal">
      <formula>""</formula>
    </cfRule>
  </conditionalFormatting>
  <hyperlinks>
    <hyperlink ref="A1" location="Overview!A1" display="Back to Overview" xr:uid="{E8D84044-BBE1-4E14-9A0C-E1FDEF1D26D3}"/>
  </hyperlink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80CFE-D775-4DB6-8148-E81697382967}">
  <sheetPr>
    <pageSetUpPr fitToPage="1"/>
  </sheetPr>
  <dimension ref="A1:F119"/>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5" t="s">
        <v>475</v>
      </c>
      <c r="B2" s="495"/>
      <c r="C2" s="495"/>
      <c r="D2" s="495"/>
      <c r="E2" s="495"/>
      <c r="F2" s="495"/>
    </row>
    <row r="3" spans="1:6" ht="47.25" customHeight="1" x14ac:dyDescent="0.2">
      <c r="A3" s="396" t="str">
        <f>Overview!B4&amp;" - Illustrative LLFs in SSE SEPD Area (GSP Group_H) for year beginning "&amp;TEXT(Overview!$D$4,"d mmmm yyyy")&amp;""</f>
        <v>Leep Electricity Networks Limited - Illustrative LLFs in SSE SEPD Area (GSP Group_H) for year beginning 1 April 2027</v>
      </c>
      <c r="B3" s="432"/>
      <c r="C3" s="432"/>
      <c r="D3" s="432"/>
      <c r="E3" s="433"/>
    </row>
    <row r="4" spans="1:6" ht="19.5" customHeight="1" x14ac:dyDescent="0.2">
      <c r="A4" s="505" t="s">
        <v>13</v>
      </c>
      <c r="B4" s="12" t="s">
        <v>5</v>
      </c>
      <c r="C4" s="12" t="s">
        <v>6</v>
      </c>
      <c r="D4" s="12" t="s">
        <v>7</v>
      </c>
      <c r="E4" s="12" t="s">
        <v>8</v>
      </c>
    </row>
    <row r="5" spans="1:6" ht="40.5" customHeight="1" x14ac:dyDescent="0.2">
      <c r="A5" s="506"/>
      <c r="B5" s="12" t="s">
        <v>2033</v>
      </c>
      <c r="C5" s="12" t="s">
        <v>2034</v>
      </c>
      <c r="D5" s="12" t="s">
        <v>2035</v>
      </c>
      <c r="E5" s="12" t="s">
        <v>2036</v>
      </c>
    </row>
    <row r="6" spans="1:6" ht="45" customHeight="1" x14ac:dyDescent="0.2">
      <c r="A6" s="42" t="s">
        <v>2114</v>
      </c>
      <c r="B6" s="334" t="s">
        <v>2115</v>
      </c>
      <c r="C6" s="334" t="s">
        <v>2115</v>
      </c>
      <c r="D6" s="334" t="s">
        <v>2115</v>
      </c>
      <c r="E6" s="334" t="s">
        <v>2115</v>
      </c>
    </row>
    <row r="7" spans="1:6" ht="45" customHeight="1" x14ac:dyDescent="0.2">
      <c r="A7" s="42" t="s">
        <v>2114</v>
      </c>
      <c r="B7" s="334" t="s">
        <v>2115</v>
      </c>
      <c r="C7" s="334" t="s">
        <v>2115</v>
      </c>
      <c r="D7" s="334" t="s">
        <v>2115</v>
      </c>
      <c r="E7" s="334" t="s">
        <v>2115</v>
      </c>
    </row>
    <row r="8" spans="1:6" ht="45" customHeight="1" x14ac:dyDescent="0.2">
      <c r="A8" s="259" t="s">
        <v>14</v>
      </c>
      <c r="B8" s="407" t="s">
        <v>15</v>
      </c>
      <c r="C8" s="408"/>
      <c r="D8" s="408"/>
      <c r="E8" s="409"/>
    </row>
    <row r="9" spans="1:6" ht="12.75" customHeight="1" x14ac:dyDescent="0.2">
      <c r="A9" s="199"/>
      <c r="B9" s="200"/>
      <c r="C9" s="200"/>
      <c r="D9" s="200"/>
      <c r="E9" s="200"/>
    </row>
    <row r="10" spans="1:6" ht="12.75" customHeight="1" x14ac:dyDescent="0.2">
      <c r="B10" s="200"/>
      <c r="C10" s="200"/>
      <c r="D10" s="200"/>
      <c r="E10" s="200"/>
    </row>
    <row r="11" spans="1:6" ht="22.5" customHeight="1" x14ac:dyDescent="0.2">
      <c r="A11" s="426" t="s">
        <v>275</v>
      </c>
      <c r="B11" s="504"/>
      <c r="C11" s="504"/>
      <c r="D11" s="504"/>
      <c r="E11" s="504"/>
      <c r="F11" s="427"/>
    </row>
    <row r="12" spans="1:6" ht="22.5" customHeight="1" x14ac:dyDescent="0.2">
      <c r="A12" s="426" t="s">
        <v>4</v>
      </c>
      <c r="B12" s="504"/>
      <c r="C12" s="504"/>
      <c r="D12" s="504"/>
      <c r="E12" s="504"/>
      <c r="F12" s="427"/>
    </row>
    <row r="13" spans="1:6" ht="33" customHeight="1" x14ac:dyDescent="0.2">
      <c r="A13" s="189" t="s">
        <v>276</v>
      </c>
      <c r="B13" s="189" t="s">
        <v>5</v>
      </c>
      <c r="C13" s="189" t="s">
        <v>6</v>
      </c>
      <c r="D13" s="189" t="s">
        <v>7</v>
      </c>
      <c r="E13" s="189" t="s">
        <v>8</v>
      </c>
      <c r="F13" s="189" t="s">
        <v>9</v>
      </c>
    </row>
    <row r="14" spans="1:6" ht="255" x14ac:dyDescent="0.2">
      <c r="A14" s="284" t="s">
        <v>456</v>
      </c>
      <c r="B14" s="304"/>
      <c r="C14" s="304"/>
      <c r="D14" s="304"/>
      <c r="E14" s="304"/>
      <c r="F14" s="301" t="s">
        <v>2139</v>
      </c>
    </row>
    <row r="15" spans="1:6" ht="76.5" x14ac:dyDescent="0.2">
      <c r="A15" s="284" t="s">
        <v>457</v>
      </c>
      <c r="B15" s="304"/>
      <c r="C15" s="304"/>
      <c r="D15" s="304"/>
      <c r="E15" s="304"/>
      <c r="F15" s="301" t="s">
        <v>2140</v>
      </c>
    </row>
    <row r="16" spans="1:6" ht="63.75" x14ac:dyDescent="0.2">
      <c r="A16" s="284" t="s">
        <v>458</v>
      </c>
      <c r="B16" s="304"/>
      <c r="C16" s="304"/>
      <c r="D16" s="304"/>
      <c r="E16" s="304"/>
      <c r="F16" s="301" t="s">
        <v>2141</v>
      </c>
    </row>
    <row r="17" spans="1:6" ht="22.5" customHeight="1" x14ac:dyDescent="0.2">
      <c r="A17" s="284" t="s">
        <v>459</v>
      </c>
      <c r="B17" s="304"/>
      <c r="C17" s="304"/>
      <c r="D17" s="304"/>
      <c r="E17" s="304"/>
      <c r="F17" s="301" t="s">
        <v>797</v>
      </c>
    </row>
    <row r="18" spans="1:6" ht="30" customHeight="1" x14ac:dyDescent="0.2">
      <c r="A18" s="284" t="s">
        <v>460</v>
      </c>
      <c r="B18" s="304"/>
      <c r="C18" s="304"/>
      <c r="D18" s="304"/>
      <c r="E18" s="304"/>
      <c r="F18" s="301"/>
    </row>
    <row r="19" spans="1:6" ht="30" customHeight="1" x14ac:dyDescent="0.2">
      <c r="A19" s="284" t="s">
        <v>461</v>
      </c>
      <c r="B19" s="304"/>
      <c r="C19" s="304"/>
      <c r="D19" s="304"/>
      <c r="E19" s="304"/>
      <c r="F19" s="301"/>
    </row>
    <row r="20" spans="1:6" ht="30" customHeight="1" x14ac:dyDescent="0.2">
      <c r="A20" s="284" t="s">
        <v>462</v>
      </c>
      <c r="B20" s="304"/>
      <c r="C20" s="304"/>
      <c r="D20" s="304"/>
      <c r="E20" s="304"/>
      <c r="F20" s="301"/>
    </row>
    <row r="21" spans="1:6" ht="12.75" customHeight="1" x14ac:dyDescent="0.2"/>
    <row r="22" spans="1:6" ht="22.5" customHeight="1" x14ac:dyDescent="0.2">
      <c r="A22" s="426" t="s">
        <v>277</v>
      </c>
      <c r="B22" s="504"/>
      <c r="C22" s="504"/>
      <c r="D22" s="504"/>
      <c r="E22" s="504"/>
      <c r="F22" s="427"/>
    </row>
    <row r="23" spans="1:6" ht="22.5" customHeight="1" x14ac:dyDescent="0.2">
      <c r="A23" s="426" t="s">
        <v>11</v>
      </c>
      <c r="B23" s="504"/>
      <c r="C23" s="504"/>
      <c r="D23" s="504"/>
      <c r="E23" s="504"/>
      <c r="F23" s="427"/>
    </row>
    <row r="24" spans="1:6" ht="33" customHeight="1" x14ac:dyDescent="0.2">
      <c r="A24" s="189" t="s">
        <v>10</v>
      </c>
      <c r="B24" s="189" t="s">
        <v>5</v>
      </c>
      <c r="C24" s="189" t="s">
        <v>6</v>
      </c>
      <c r="D24" s="189" t="s">
        <v>7</v>
      </c>
      <c r="E24" s="189" t="s">
        <v>8</v>
      </c>
      <c r="F24" s="189" t="s">
        <v>9</v>
      </c>
    </row>
    <row r="25" spans="1:6" ht="22.5" customHeight="1" x14ac:dyDescent="0.2">
      <c r="A25" s="202"/>
      <c r="B25" s="204"/>
      <c r="C25" s="204"/>
      <c r="D25" s="204"/>
      <c r="E25" s="204"/>
      <c r="F25" s="207"/>
    </row>
    <row r="26" spans="1:6" ht="12.75" customHeight="1" x14ac:dyDescent="0.2"/>
    <row r="27" spans="1:6" ht="22.5" customHeight="1" x14ac:dyDescent="0.2">
      <c r="A27" s="426" t="s">
        <v>277</v>
      </c>
      <c r="B27" s="504"/>
      <c r="C27" s="504"/>
      <c r="D27" s="504"/>
      <c r="E27" s="504"/>
      <c r="F27" s="427"/>
    </row>
    <row r="28" spans="1:6" ht="22.5" customHeight="1" x14ac:dyDescent="0.2">
      <c r="A28" s="426" t="s">
        <v>12</v>
      </c>
      <c r="B28" s="504"/>
      <c r="C28" s="504"/>
      <c r="D28" s="504"/>
      <c r="E28" s="504"/>
      <c r="F28" s="427"/>
    </row>
    <row r="29" spans="1:6" ht="33" customHeight="1" x14ac:dyDescent="0.2">
      <c r="A29" s="189" t="s">
        <v>10</v>
      </c>
      <c r="B29" s="189" t="s">
        <v>5</v>
      </c>
      <c r="C29" s="189" t="s">
        <v>6</v>
      </c>
      <c r="D29" s="189" t="s">
        <v>7</v>
      </c>
      <c r="E29" s="189" t="s">
        <v>8</v>
      </c>
      <c r="F29" s="189" t="s">
        <v>9</v>
      </c>
    </row>
    <row r="30" spans="1:6" ht="22.5" customHeight="1" x14ac:dyDescent="0.2">
      <c r="A30" s="202"/>
      <c r="B30" s="193"/>
      <c r="C30" s="193"/>
      <c r="D30" s="193"/>
      <c r="E30" s="193"/>
      <c r="F30" s="204"/>
    </row>
    <row r="31" spans="1:6" ht="22.5" customHeight="1" x14ac:dyDescent="0.2"/>
    <row r="32" spans="1:6" ht="22.5"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sheetData>
  <mergeCells count="10">
    <mergeCell ref="A2:F2"/>
    <mergeCell ref="A23:F23"/>
    <mergeCell ref="A27:F27"/>
    <mergeCell ref="A28:F28"/>
    <mergeCell ref="B8:E8"/>
    <mergeCell ref="A3:E3"/>
    <mergeCell ref="A4:A5"/>
    <mergeCell ref="A11:F11"/>
    <mergeCell ref="A12:F12"/>
    <mergeCell ref="A22:F22"/>
  </mergeCells>
  <conditionalFormatting sqref="B6:E7">
    <cfRule type="cellIs" dxfId="15" priority="1" operator="equal">
      <formula>""</formula>
    </cfRule>
  </conditionalFormatting>
  <hyperlinks>
    <hyperlink ref="A1" location="Overview!A1" display="Back to Overview" xr:uid="{CF02C7C7-2716-496D-BA55-BD456DC3130F}"/>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5" width="15.5703125" style="1" customWidth="1"/>
    <col min="16" max="16384" width="9.140625" style="1"/>
  </cols>
  <sheetData>
    <row r="1" spans="1:20" ht="27.75" customHeight="1" x14ac:dyDescent="0.2">
      <c r="A1" s="31" t="s">
        <v>19</v>
      </c>
      <c r="B1" s="45"/>
      <c r="C1" s="45"/>
      <c r="D1" s="45"/>
      <c r="E1" s="383" t="s">
        <v>367</v>
      </c>
      <c r="F1" s="383"/>
      <c r="G1" s="383"/>
      <c r="H1" s="383"/>
      <c r="I1" s="383"/>
      <c r="J1" s="383"/>
      <c r="K1" s="383"/>
      <c r="L1" s="241"/>
      <c r="M1" s="340"/>
    </row>
    <row r="2" spans="1:20" ht="27" customHeight="1" x14ac:dyDescent="0.2">
      <c r="A2" s="396" t="str">
        <f>Overview!B4&amp;" - Effective from "&amp;TEXT(Overview!$D$4,"d mmmm yyyy")&amp;" - Final LV and HV charges in UKPN LPN Area (GSP Group _C)"</f>
        <v>Leep Electricity Networks Limited - Effective from 1 April 2027 - Final LV and HV charges in UKPN LPN Area (GSP Group _C)</v>
      </c>
      <c r="B2" s="397"/>
      <c r="C2" s="397"/>
      <c r="D2" s="397"/>
      <c r="E2" s="397"/>
      <c r="F2" s="397"/>
      <c r="G2" s="397"/>
      <c r="H2" s="397"/>
      <c r="I2" s="397"/>
      <c r="J2" s="397"/>
      <c r="K2" s="398"/>
    </row>
    <row r="3" spans="1:20" s="40" customFormat="1" ht="15" customHeight="1" x14ac:dyDescent="0.2">
      <c r="A3" s="45"/>
      <c r="B3" s="45"/>
      <c r="C3" s="45"/>
      <c r="D3" s="45"/>
      <c r="E3" s="45"/>
      <c r="F3" s="45"/>
      <c r="G3" s="45"/>
      <c r="H3" s="45"/>
      <c r="I3" s="45"/>
      <c r="J3" s="45"/>
      <c r="K3" s="45"/>
      <c r="L3" s="98"/>
      <c r="M3" s="342"/>
    </row>
    <row r="4" spans="1:20" ht="27" customHeight="1" x14ac:dyDescent="0.2">
      <c r="A4" s="396" t="s">
        <v>290</v>
      </c>
      <c r="B4" s="397"/>
      <c r="C4" s="397"/>
      <c r="D4" s="397"/>
      <c r="E4" s="398"/>
      <c r="F4" s="45"/>
      <c r="G4" s="396" t="s">
        <v>289</v>
      </c>
      <c r="H4" s="397"/>
      <c r="I4" s="397"/>
      <c r="J4" s="397"/>
      <c r="K4" s="398"/>
      <c r="N4" s="399"/>
      <c r="O4" s="400"/>
      <c r="P4" s="400"/>
      <c r="Q4" s="400"/>
      <c r="R4" s="400"/>
      <c r="S4" s="400"/>
      <c r="T4" s="401"/>
    </row>
    <row r="5" spans="1:20" ht="28.5" customHeight="1" x14ac:dyDescent="0.2">
      <c r="A5" s="39" t="s">
        <v>13</v>
      </c>
      <c r="B5" s="256" t="s">
        <v>281</v>
      </c>
      <c r="C5" s="402" t="s">
        <v>282</v>
      </c>
      <c r="D5" s="403"/>
      <c r="E5" s="41" t="s">
        <v>283</v>
      </c>
      <c r="F5" s="45"/>
      <c r="G5" s="381"/>
      <c r="H5" s="382"/>
      <c r="I5" s="43" t="s">
        <v>287</v>
      </c>
      <c r="J5" s="44" t="s">
        <v>288</v>
      </c>
      <c r="K5" s="41" t="s">
        <v>283</v>
      </c>
      <c r="L5" s="45"/>
      <c r="N5" s="400"/>
      <c r="O5" s="400"/>
      <c r="P5" s="400"/>
      <c r="Q5" s="400"/>
      <c r="R5" s="400"/>
      <c r="S5" s="400"/>
      <c r="T5" s="401"/>
    </row>
    <row r="6" spans="1:20" ht="65.25" customHeight="1" x14ac:dyDescent="0.2">
      <c r="A6" s="113" t="s">
        <v>794</v>
      </c>
      <c r="B6" s="13" t="s">
        <v>2044</v>
      </c>
      <c r="C6" s="391" t="s">
        <v>2045</v>
      </c>
      <c r="D6" s="393"/>
      <c r="E6" s="95" t="s">
        <v>796</v>
      </c>
      <c r="F6" s="45" t="s">
        <v>797</v>
      </c>
      <c r="G6" s="377" t="s">
        <v>284</v>
      </c>
      <c r="H6" s="378"/>
      <c r="I6" s="13" t="s">
        <v>374</v>
      </c>
      <c r="J6" s="248" t="s">
        <v>2046</v>
      </c>
      <c r="K6" s="95" t="s">
        <v>796</v>
      </c>
      <c r="L6" s="45"/>
      <c r="N6" s="351"/>
      <c r="O6" s="351"/>
      <c r="P6" s="351"/>
      <c r="Q6" s="351"/>
      <c r="R6" s="351"/>
      <c r="S6" s="351"/>
      <c r="T6" s="40"/>
    </row>
    <row r="7" spans="1:20" ht="65.25" customHeight="1" x14ac:dyDescent="0.2">
      <c r="A7" s="113" t="s">
        <v>798</v>
      </c>
      <c r="B7" s="250" t="s">
        <v>797</v>
      </c>
      <c r="C7" s="394" t="s">
        <v>797</v>
      </c>
      <c r="D7" s="395"/>
      <c r="E7" s="248" t="s">
        <v>799</v>
      </c>
      <c r="F7" s="45" t="s">
        <v>797</v>
      </c>
      <c r="G7" s="377" t="s">
        <v>285</v>
      </c>
      <c r="H7" s="378"/>
      <c r="I7" s="13" t="s">
        <v>370</v>
      </c>
      <c r="J7" s="248" t="s">
        <v>795</v>
      </c>
      <c r="K7" s="95" t="s">
        <v>796</v>
      </c>
      <c r="L7" s="45"/>
      <c r="N7" s="40"/>
      <c r="O7" s="40"/>
      <c r="P7" s="40"/>
      <c r="Q7" s="40"/>
      <c r="R7" s="40"/>
      <c r="S7" s="40"/>
      <c r="T7" s="40"/>
    </row>
    <row r="8" spans="1:20" ht="65.25" customHeight="1" x14ac:dyDescent="0.2">
      <c r="A8" s="249" t="s">
        <v>14</v>
      </c>
      <c r="B8" s="377" t="s">
        <v>15</v>
      </c>
      <c r="C8" s="404"/>
      <c r="D8" s="404"/>
      <c r="E8" s="378"/>
      <c r="F8" s="45" t="s">
        <v>797</v>
      </c>
      <c r="G8" s="377" t="s">
        <v>2047</v>
      </c>
      <c r="H8" s="378"/>
      <c r="I8" s="250" t="s">
        <v>797</v>
      </c>
      <c r="J8" s="248" t="s">
        <v>801</v>
      </c>
      <c r="K8" s="95" t="s">
        <v>796</v>
      </c>
      <c r="L8" s="45"/>
      <c r="N8" s="40"/>
      <c r="O8" s="40"/>
      <c r="P8" s="40"/>
      <c r="Q8" s="40"/>
      <c r="R8" s="40"/>
      <c r="S8" s="40"/>
      <c r="T8" s="40"/>
    </row>
    <row r="9" spans="1:20" s="40" customFormat="1" ht="65.25" customHeight="1" x14ac:dyDescent="0.2">
      <c r="A9" s="40" t="s">
        <v>797</v>
      </c>
      <c r="B9" s="40" t="s">
        <v>797</v>
      </c>
      <c r="C9" s="40" t="s">
        <v>797</v>
      </c>
      <c r="D9" s="40" t="s">
        <v>797</v>
      </c>
      <c r="E9" s="40" t="s">
        <v>797</v>
      </c>
      <c r="F9" s="45" t="s">
        <v>797</v>
      </c>
      <c r="G9" s="377" t="s">
        <v>2030</v>
      </c>
      <c r="H9" s="378"/>
      <c r="I9" s="250" t="s">
        <v>797</v>
      </c>
      <c r="J9" s="250" t="s">
        <v>797</v>
      </c>
      <c r="K9" s="248" t="s">
        <v>799</v>
      </c>
      <c r="L9" s="45"/>
      <c r="M9" s="342"/>
    </row>
    <row r="10" spans="1:20" s="40" customFormat="1" ht="32.25" customHeight="1" x14ac:dyDescent="0.2">
      <c r="A10" s="45" t="s">
        <v>797</v>
      </c>
      <c r="B10" s="45" t="s">
        <v>797</v>
      </c>
      <c r="C10" s="45" t="s">
        <v>797</v>
      </c>
      <c r="D10" s="45" t="s">
        <v>797</v>
      </c>
      <c r="E10" s="45" t="s">
        <v>797</v>
      </c>
      <c r="F10" s="45" t="s">
        <v>797</v>
      </c>
      <c r="G10" s="377" t="s">
        <v>14</v>
      </c>
      <c r="H10" s="378"/>
      <c r="I10" s="377" t="s">
        <v>15</v>
      </c>
      <c r="J10" s="404"/>
      <c r="K10" s="378"/>
      <c r="L10" s="45"/>
      <c r="M10" s="342"/>
    </row>
    <row r="11" spans="1:20" ht="13.5" customHeight="1" x14ac:dyDescent="0.2">
      <c r="A11" s="45"/>
      <c r="B11" s="45"/>
      <c r="C11" s="45"/>
      <c r="D11" s="45"/>
      <c r="E11" s="45"/>
      <c r="F11" s="45"/>
      <c r="G11" s="45"/>
      <c r="H11" s="45"/>
      <c r="I11" s="45"/>
      <c r="J11" s="45"/>
      <c r="K11" s="45"/>
      <c r="L11" s="45"/>
      <c r="M11" s="342"/>
    </row>
    <row r="12" spans="1:20" ht="13.5" customHeight="1" x14ac:dyDescent="0.2">
      <c r="A12" s="45"/>
      <c r="B12" s="45"/>
      <c r="C12" s="45"/>
      <c r="D12" s="45"/>
      <c r="E12" s="45"/>
      <c r="F12" s="45"/>
      <c r="G12" s="45"/>
      <c r="H12" s="45"/>
      <c r="I12" s="45"/>
      <c r="J12" s="45"/>
      <c r="K12" s="45"/>
      <c r="L12" s="98"/>
      <c r="M12" s="342"/>
    </row>
    <row r="13" spans="1:20" ht="69"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869</v>
      </c>
      <c r="C14" s="311" t="s">
        <v>802</v>
      </c>
      <c r="D14" s="90">
        <v>12.196999999999999</v>
      </c>
      <c r="E14" s="91">
        <v>1.2430000000000001</v>
      </c>
      <c r="F14" s="92" t="s">
        <v>797</v>
      </c>
      <c r="G14" s="28" t="s">
        <v>797</v>
      </c>
      <c r="H14" s="29" t="s">
        <v>797</v>
      </c>
      <c r="I14" s="29" t="s">
        <v>797</v>
      </c>
      <c r="J14" s="26" t="s">
        <v>797</v>
      </c>
      <c r="K14" s="27"/>
    </row>
    <row r="15" spans="1:20" ht="32.85" customHeight="1" x14ac:dyDescent="0.2">
      <c r="A15" s="10" t="s">
        <v>495</v>
      </c>
      <c r="B15" s="332" t="s">
        <v>797</v>
      </c>
      <c r="C15" s="311">
        <v>2</v>
      </c>
      <c r="D15" s="90">
        <v>12.414</v>
      </c>
      <c r="E15" s="91">
        <v>1.46</v>
      </c>
      <c r="F15" s="92">
        <v>0.108</v>
      </c>
      <c r="G15" s="29" t="s">
        <v>797</v>
      </c>
      <c r="H15" s="29" t="s">
        <v>797</v>
      </c>
      <c r="I15" s="29" t="s">
        <v>797</v>
      </c>
      <c r="J15" s="26" t="s">
        <v>797</v>
      </c>
      <c r="K15" s="27"/>
    </row>
    <row r="16" spans="1:20" ht="32.85" customHeight="1" x14ac:dyDescent="0.2">
      <c r="A16" s="10" t="s">
        <v>675</v>
      </c>
      <c r="B16" s="332" t="s">
        <v>870</v>
      </c>
      <c r="C16" s="311" t="s">
        <v>803</v>
      </c>
      <c r="D16" s="90">
        <v>9.6110000000000007</v>
      </c>
      <c r="E16" s="91">
        <v>1.1299999999999999</v>
      </c>
      <c r="F16" s="92">
        <v>8.3000000000000004E-2</v>
      </c>
      <c r="G16" s="28">
        <v>5.91</v>
      </c>
      <c r="H16" s="29" t="s">
        <v>797</v>
      </c>
      <c r="I16" s="29" t="s">
        <v>797</v>
      </c>
      <c r="J16" s="26" t="s">
        <v>797</v>
      </c>
      <c r="K16" s="27"/>
    </row>
    <row r="17" spans="1:11" ht="39.950000000000003" customHeight="1" x14ac:dyDescent="0.2">
      <c r="A17" s="10" t="s">
        <v>676</v>
      </c>
      <c r="B17" s="332" t="s">
        <v>871</v>
      </c>
      <c r="C17" s="311" t="s">
        <v>803</v>
      </c>
      <c r="D17" s="90">
        <v>9.4909999999999997</v>
      </c>
      <c r="E17" s="91">
        <v>1.01</v>
      </c>
      <c r="F17" s="92" t="s">
        <v>797</v>
      </c>
      <c r="G17" s="28" t="s">
        <v>797</v>
      </c>
      <c r="H17" s="29" t="s">
        <v>797</v>
      </c>
      <c r="I17" s="29" t="s">
        <v>797</v>
      </c>
      <c r="J17" s="26" t="s">
        <v>797</v>
      </c>
      <c r="K17" s="27"/>
    </row>
    <row r="18" spans="1:11" ht="39.950000000000003" customHeight="1" x14ac:dyDescent="0.2">
      <c r="A18" s="10" t="s">
        <v>677</v>
      </c>
      <c r="B18" s="332" t="s">
        <v>872</v>
      </c>
      <c r="C18" s="311" t="s">
        <v>803</v>
      </c>
      <c r="D18" s="90">
        <v>8.6440000000000001</v>
      </c>
      <c r="E18" s="91">
        <v>0.16400000000000001</v>
      </c>
      <c r="F18" s="92" t="s">
        <v>797</v>
      </c>
      <c r="G18" s="28" t="s">
        <v>797</v>
      </c>
      <c r="H18" s="29" t="s">
        <v>797</v>
      </c>
      <c r="I18" s="29" t="s">
        <v>797</v>
      </c>
      <c r="J18" s="26" t="s">
        <v>797</v>
      </c>
      <c r="K18" s="27"/>
    </row>
    <row r="19" spans="1:11" ht="39.950000000000003" customHeight="1" x14ac:dyDescent="0.2">
      <c r="A19" s="10" t="s">
        <v>678</v>
      </c>
      <c r="B19" s="332" t="s">
        <v>873</v>
      </c>
      <c r="C19" s="311" t="s">
        <v>803</v>
      </c>
      <c r="D19" s="90">
        <v>8.3339999999999996</v>
      </c>
      <c r="E19" s="91" t="s">
        <v>797</v>
      </c>
      <c r="F19" s="92" t="s">
        <v>797</v>
      </c>
      <c r="G19" s="28" t="s">
        <v>797</v>
      </c>
      <c r="H19" s="29" t="s">
        <v>797</v>
      </c>
      <c r="I19" s="29" t="s">
        <v>797</v>
      </c>
      <c r="J19" s="26" t="s">
        <v>797</v>
      </c>
      <c r="K19" s="27"/>
    </row>
    <row r="20" spans="1:11" ht="39.950000000000003" customHeight="1" x14ac:dyDescent="0.2">
      <c r="A20" s="10" t="s">
        <v>679</v>
      </c>
      <c r="B20" s="332" t="s">
        <v>874</v>
      </c>
      <c r="C20" s="311" t="s">
        <v>803</v>
      </c>
      <c r="D20" s="90">
        <v>7.9320000000000004</v>
      </c>
      <c r="E20" s="91" t="s">
        <v>797</v>
      </c>
      <c r="F20" s="92" t="s">
        <v>797</v>
      </c>
      <c r="G20" s="28" t="s">
        <v>797</v>
      </c>
      <c r="H20" s="29" t="s">
        <v>797</v>
      </c>
      <c r="I20" s="29" t="s">
        <v>797</v>
      </c>
      <c r="J20" s="26" t="s">
        <v>797</v>
      </c>
      <c r="K20" s="27"/>
    </row>
    <row r="21" spans="1:11" ht="32.85" customHeight="1" x14ac:dyDescent="0.2">
      <c r="A21" s="10" t="s">
        <v>476</v>
      </c>
      <c r="B21" s="332" t="s">
        <v>797</v>
      </c>
      <c r="C21" s="311">
        <v>4</v>
      </c>
      <c r="D21" s="90">
        <v>9.6110000000000007</v>
      </c>
      <c r="E21" s="91">
        <v>1.1299999999999999</v>
      </c>
      <c r="F21" s="92">
        <v>8.3000000000000004E-2</v>
      </c>
      <c r="G21" s="29" t="s">
        <v>797</v>
      </c>
      <c r="H21" s="29" t="s">
        <v>797</v>
      </c>
      <c r="I21" s="29" t="s">
        <v>797</v>
      </c>
      <c r="J21" s="26" t="s">
        <v>797</v>
      </c>
      <c r="K21" s="27"/>
    </row>
    <row r="22" spans="1:11" ht="32.85" customHeight="1" x14ac:dyDescent="0.2">
      <c r="A22" s="10" t="s">
        <v>496</v>
      </c>
      <c r="B22" s="332" t="s">
        <v>875</v>
      </c>
      <c r="C22" s="311">
        <v>0</v>
      </c>
      <c r="D22" s="90">
        <v>7.6390000000000002</v>
      </c>
      <c r="E22" s="91">
        <v>0.92200000000000004</v>
      </c>
      <c r="F22" s="92">
        <v>6.2E-2</v>
      </c>
      <c r="G22" s="28">
        <v>14.51</v>
      </c>
      <c r="H22" s="28">
        <v>8.26</v>
      </c>
      <c r="I22" s="89">
        <v>8.26</v>
      </c>
      <c r="J22" s="25">
        <v>0.58799999999999997</v>
      </c>
      <c r="K22" s="27"/>
    </row>
    <row r="23" spans="1:11" ht="32.85" customHeight="1" x14ac:dyDescent="0.2">
      <c r="A23" s="10" t="s">
        <v>497</v>
      </c>
      <c r="B23" s="332" t="s">
        <v>876</v>
      </c>
      <c r="C23" s="311">
        <v>0</v>
      </c>
      <c r="D23" s="90">
        <v>4.8860000000000001</v>
      </c>
      <c r="E23" s="91">
        <v>0.32200000000000001</v>
      </c>
      <c r="F23" s="92">
        <v>0.03</v>
      </c>
      <c r="G23" s="28">
        <v>2.2999999999999998</v>
      </c>
      <c r="H23" s="28">
        <v>8.26</v>
      </c>
      <c r="I23" s="89">
        <v>8.26</v>
      </c>
      <c r="J23" s="25">
        <v>0.58799999999999997</v>
      </c>
      <c r="K23" s="27"/>
    </row>
    <row r="24" spans="1:11" ht="32.85" customHeight="1" x14ac:dyDescent="0.2">
      <c r="A24" s="10" t="s">
        <v>498</v>
      </c>
      <c r="B24" s="332" t="s">
        <v>877</v>
      </c>
      <c r="C24" s="311">
        <v>0</v>
      </c>
      <c r="D24" s="90">
        <v>4.8209999999999997</v>
      </c>
      <c r="E24" s="91">
        <v>0.32200000000000001</v>
      </c>
      <c r="F24" s="92">
        <v>0.03</v>
      </c>
      <c r="G24" s="28">
        <v>2.2999999999999998</v>
      </c>
      <c r="H24" s="28">
        <v>8.26</v>
      </c>
      <c r="I24" s="89">
        <v>8.26</v>
      </c>
      <c r="J24" s="25">
        <v>0.58799999999999997</v>
      </c>
      <c r="K24" s="27"/>
    </row>
    <row r="25" spans="1:11" ht="32.85" customHeight="1" x14ac:dyDescent="0.2">
      <c r="A25" s="10" t="s">
        <v>499</v>
      </c>
      <c r="B25" s="332" t="s">
        <v>878</v>
      </c>
      <c r="C25" s="311">
        <v>0</v>
      </c>
      <c r="D25" s="90">
        <v>4.7629999999999999</v>
      </c>
      <c r="E25" s="91">
        <v>0.32200000000000001</v>
      </c>
      <c r="F25" s="92">
        <v>0.03</v>
      </c>
      <c r="G25" s="28">
        <v>2.2999999999999998</v>
      </c>
      <c r="H25" s="28">
        <v>8.26</v>
      </c>
      <c r="I25" s="89">
        <v>8.26</v>
      </c>
      <c r="J25" s="25">
        <v>0.58799999999999997</v>
      </c>
      <c r="K25" s="27"/>
    </row>
    <row r="26" spans="1:11" ht="32.85" customHeight="1" x14ac:dyDescent="0.2">
      <c r="A26" s="10" t="s">
        <v>500</v>
      </c>
      <c r="B26" s="332" t="s">
        <v>879</v>
      </c>
      <c r="C26" s="311">
        <v>0</v>
      </c>
      <c r="D26" s="90">
        <v>4.6920000000000002</v>
      </c>
      <c r="E26" s="91">
        <v>0.32200000000000001</v>
      </c>
      <c r="F26" s="92">
        <v>0.03</v>
      </c>
      <c r="G26" s="28">
        <v>2.2999999999999998</v>
      </c>
      <c r="H26" s="28">
        <v>8.26</v>
      </c>
      <c r="I26" s="89">
        <v>8.26</v>
      </c>
      <c r="J26" s="25">
        <v>0.58799999999999997</v>
      </c>
      <c r="K26" s="27"/>
    </row>
    <row r="27" spans="1:11" ht="32.85" customHeight="1" x14ac:dyDescent="0.2">
      <c r="A27" s="10" t="s">
        <v>501</v>
      </c>
      <c r="B27" s="332" t="s">
        <v>880</v>
      </c>
      <c r="C27" s="311">
        <v>0</v>
      </c>
      <c r="D27" s="90">
        <v>4.6909999999999998</v>
      </c>
      <c r="E27" s="91">
        <v>0.59899999999999998</v>
      </c>
      <c r="F27" s="92">
        <v>3.3000000000000002E-2</v>
      </c>
      <c r="G27" s="28">
        <v>12.21</v>
      </c>
      <c r="H27" s="28">
        <v>10.38</v>
      </c>
      <c r="I27" s="89">
        <v>10.38</v>
      </c>
      <c r="J27" s="25">
        <v>0.34799999999999998</v>
      </c>
      <c r="K27" s="27"/>
    </row>
    <row r="28" spans="1:11" ht="32.85" customHeight="1" x14ac:dyDescent="0.2">
      <c r="A28" s="10" t="s">
        <v>502</v>
      </c>
      <c r="B28" s="332" t="s">
        <v>881</v>
      </c>
      <c r="C28" s="311">
        <v>0</v>
      </c>
      <c r="D28" s="90">
        <v>1.9379999999999999</v>
      </c>
      <c r="E28" s="91" t="s">
        <v>797</v>
      </c>
      <c r="F28" s="92" t="s">
        <v>797</v>
      </c>
      <c r="G28" s="28" t="s">
        <v>797</v>
      </c>
      <c r="H28" s="28">
        <v>10.38</v>
      </c>
      <c r="I28" s="89">
        <v>10.38</v>
      </c>
      <c r="J28" s="25">
        <v>0.34799999999999998</v>
      </c>
      <c r="K28" s="27"/>
    </row>
    <row r="29" spans="1:11" ht="32.85" customHeight="1" x14ac:dyDescent="0.2">
      <c r="A29" s="10" t="s">
        <v>503</v>
      </c>
      <c r="B29" s="332" t="s">
        <v>882</v>
      </c>
      <c r="C29" s="311">
        <v>0</v>
      </c>
      <c r="D29" s="90">
        <v>1.873</v>
      </c>
      <c r="E29" s="91" t="s">
        <v>797</v>
      </c>
      <c r="F29" s="92" t="s">
        <v>797</v>
      </c>
      <c r="G29" s="28" t="s">
        <v>797</v>
      </c>
      <c r="H29" s="28">
        <v>10.38</v>
      </c>
      <c r="I29" s="89">
        <v>10.38</v>
      </c>
      <c r="J29" s="25">
        <v>0.34799999999999998</v>
      </c>
      <c r="K29" s="27"/>
    </row>
    <row r="30" spans="1:11" ht="32.85" customHeight="1" x14ac:dyDescent="0.2">
      <c r="A30" s="10" t="s">
        <v>504</v>
      </c>
      <c r="B30" s="332" t="s">
        <v>883</v>
      </c>
      <c r="C30" s="311">
        <v>0</v>
      </c>
      <c r="D30" s="90">
        <v>1.8149999999999999</v>
      </c>
      <c r="E30" s="91" t="s">
        <v>797</v>
      </c>
      <c r="F30" s="92" t="s">
        <v>797</v>
      </c>
      <c r="G30" s="28" t="s">
        <v>797</v>
      </c>
      <c r="H30" s="28">
        <v>10.38</v>
      </c>
      <c r="I30" s="89">
        <v>10.38</v>
      </c>
      <c r="J30" s="25">
        <v>0.34799999999999998</v>
      </c>
      <c r="K30" s="27"/>
    </row>
    <row r="31" spans="1:11" ht="32.85" customHeight="1" x14ac:dyDescent="0.2">
      <c r="A31" s="10" t="s">
        <v>505</v>
      </c>
      <c r="B31" s="332" t="s">
        <v>884</v>
      </c>
      <c r="C31" s="311">
        <v>0</v>
      </c>
      <c r="D31" s="90">
        <v>1.7430000000000001</v>
      </c>
      <c r="E31" s="91" t="s">
        <v>797</v>
      </c>
      <c r="F31" s="92" t="s">
        <v>797</v>
      </c>
      <c r="G31" s="28" t="s">
        <v>797</v>
      </c>
      <c r="H31" s="28">
        <v>10.38</v>
      </c>
      <c r="I31" s="89">
        <v>10.38</v>
      </c>
      <c r="J31" s="25">
        <v>0.34799999999999998</v>
      </c>
      <c r="K31" s="27"/>
    </row>
    <row r="32" spans="1:11" ht="32.85" customHeight="1" x14ac:dyDescent="0.2">
      <c r="A32" s="10" t="s">
        <v>506</v>
      </c>
      <c r="B32" s="332" t="s">
        <v>885</v>
      </c>
      <c r="C32" s="311">
        <v>0</v>
      </c>
      <c r="D32" s="90">
        <v>3.488</v>
      </c>
      <c r="E32" s="91">
        <v>0.44600000000000001</v>
      </c>
      <c r="F32" s="92">
        <v>2.5999999999999999E-2</v>
      </c>
      <c r="G32" s="28">
        <v>129.41999999999999</v>
      </c>
      <c r="H32" s="28">
        <v>10.65</v>
      </c>
      <c r="I32" s="89">
        <v>10.65</v>
      </c>
      <c r="J32" s="25">
        <v>0.27100000000000002</v>
      </c>
      <c r="K32" s="27"/>
    </row>
    <row r="33" spans="1:11" ht="32.85" customHeight="1" x14ac:dyDescent="0.2">
      <c r="A33" s="10" t="s">
        <v>507</v>
      </c>
      <c r="B33" s="332" t="s">
        <v>886</v>
      </c>
      <c r="C33" s="311">
        <v>0</v>
      </c>
      <c r="D33" s="90">
        <v>0.42</v>
      </c>
      <c r="E33" s="91" t="s">
        <v>797</v>
      </c>
      <c r="F33" s="92" t="s">
        <v>797</v>
      </c>
      <c r="G33" s="28" t="s">
        <v>797</v>
      </c>
      <c r="H33" s="28">
        <v>10.65</v>
      </c>
      <c r="I33" s="89">
        <v>10.65</v>
      </c>
      <c r="J33" s="25">
        <v>0.27100000000000002</v>
      </c>
      <c r="K33" s="27"/>
    </row>
    <row r="34" spans="1:11" ht="32.85" customHeight="1" x14ac:dyDescent="0.2">
      <c r="A34" s="10" t="s">
        <v>508</v>
      </c>
      <c r="B34" s="332" t="s">
        <v>887</v>
      </c>
      <c r="C34" s="311">
        <v>0</v>
      </c>
      <c r="D34" s="90">
        <v>0.223</v>
      </c>
      <c r="E34" s="91" t="s">
        <v>797</v>
      </c>
      <c r="F34" s="92" t="s">
        <v>797</v>
      </c>
      <c r="G34" s="28" t="s">
        <v>797</v>
      </c>
      <c r="H34" s="28">
        <v>10.65</v>
      </c>
      <c r="I34" s="89">
        <v>10.65</v>
      </c>
      <c r="J34" s="25">
        <v>0.27100000000000002</v>
      </c>
      <c r="K34" s="27"/>
    </row>
    <row r="35" spans="1:11" ht="32.85" customHeight="1" x14ac:dyDescent="0.2">
      <c r="A35" s="10" t="s">
        <v>509</v>
      </c>
      <c r="B35" s="332" t="s">
        <v>888</v>
      </c>
      <c r="C35" s="311">
        <v>0</v>
      </c>
      <c r="D35" s="90">
        <v>0.30499999999999999</v>
      </c>
      <c r="E35" s="91" t="s">
        <v>797</v>
      </c>
      <c r="F35" s="92" t="s">
        <v>797</v>
      </c>
      <c r="G35" s="28" t="s">
        <v>797</v>
      </c>
      <c r="H35" s="28">
        <v>10.65</v>
      </c>
      <c r="I35" s="89">
        <v>10.65</v>
      </c>
      <c r="J35" s="25">
        <v>0.27100000000000002</v>
      </c>
      <c r="K35" s="27"/>
    </row>
    <row r="36" spans="1:11" ht="32.85" customHeight="1" x14ac:dyDescent="0.2">
      <c r="A36" s="10" t="s">
        <v>510</v>
      </c>
      <c r="B36" s="332" t="s">
        <v>889</v>
      </c>
      <c r="C36" s="311">
        <v>0</v>
      </c>
      <c r="D36" s="90">
        <v>0.24</v>
      </c>
      <c r="E36" s="91" t="s">
        <v>797</v>
      </c>
      <c r="F36" s="92" t="s">
        <v>797</v>
      </c>
      <c r="G36" s="28" t="s">
        <v>797</v>
      </c>
      <c r="H36" s="28">
        <v>10.65</v>
      </c>
      <c r="I36" s="89">
        <v>10.65</v>
      </c>
      <c r="J36" s="25">
        <v>0.27100000000000002</v>
      </c>
      <c r="K36" s="27"/>
    </row>
    <row r="37" spans="1:11" ht="32.85" customHeight="1" x14ac:dyDescent="0.2">
      <c r="A37" s="10" t="s">
        <v>477</v>
      </c>
      <c r="B37" s="332" t="s">
        <v>890</v>
      </c>
      <c r="C37" s="311" t="s">
        <v>804</v>
      </c>
      <c r="D37" s="93">
        <v>40.972000000000001</v>
      </c>
      <c r="E37" s="94">
        <v>3.3460000000000001</v>
      </c>
      <c r="F37" s="92">
        <v>0.47099999999999997</v>
      </c>
      <c r="G37" s="29" t="s">
        <v>797</v>
      </c>
      <c r="H37" s="29" t="s">
        <v>797</v>
      </c>
      <c r="I37" s="29" t="s">
        <v>797</v>
      </c>
      <c r="J37" s="26" t="s">
        <v>797</v>
      </c>
      <c r="K37" s="27"/>
    </row>
    <row r="38" spans="1:11" ht="32.85" customHeight="1" x14ac:dyDescent="0.2">
      <c r="A38" s="10" t="s">
        <v>666</v>
      </c>
      <c r="B38" s="332" t="s">
        <v>891</v>
      </c>
      <c r="C38" s="311" t="s">
        <v>805</v>
      </c>
      <c r="D38" s="90">
        <v>-7.8280000000000003</v>
      </c>
      <c r="E38" s="91">
        <v>-0.92100000000000004</v>
      </c>
      <c r="F38" s="92">
        <v>-6.8000000000000005E-2</v>
      </c>
      <c r="G38" s="28" t="s">
        <v>797</v>
      </c>
      <c r="H38" s="29" t="s">
        <v>797</v>
      </c>
      <c r="I38" s="29" t="s">
        <v>797</v>
      </c>
      <c r="J38" s="26" t="s">
        <v>797</v>
      </c>
      <c r="K38" s="27"/>
    </row>
    <row r="39" spans="1:11" ht="32.85" customHeight="1" x14ac:dyDescent="0.2">
      <c r="A39" s="10" t="s">
        <v>667</v>
      </c>
      <c r="B39" s="332" t="s">
        <v>892</v>
      </c>
      <c r="C39" s="311">
        <v>0</v>
      </c>
      <c r="D39" s="90">
        <v>-6.4329999999999998</v>
      </c>
      <c r="E39" s="91">
        <v>-0.76900000000000002</v>
      </c>
      <c r="F39" s="92">
        <v>-5.3999999999999999E-2</v>
      </c>
      <c r="G39" s="28" t="s">
        <v>797</v>
      </c>
      <c r="H39" s="29" t="s">
        <v>797</v>
      </c>
      <c r="I39" s="29" t="s">
        <v>797</v>
      </c>
      <c r="J39" s="26" t="s">
        <v>797</v>
      </c>
      <c r="K39" s="27"/>
    </row>
    <row r="40" spans="1:11" ht="32.85" customHeight="1" x14ac:dyDescent="0.2">
      <c r="A40" s="10" t="s">
        <v>668</v>
      </c>
      <c r="B40" s="332" t="s">
        <v>893</v>
      </c>
      <c r="C40" s="311">
        <v>0</v>
      </c>
      <c r="D40" s="90">
        <v>-7.8280000000000003</v>
      </c>
      <c r="E40" s="91">
        <v>-0.92100000000000004</v>
      </c>
      <c r="F40" s="92">
        <v>-6.8000000000000005E-2</v>
      </c>
      <c r="G40" s="28" t="s">
        <v>797</v>
      </c>
      <c r="H40" s="29" t="s">
        <v>797</v>
      </c>
      <c r="I40" s="29" t="s">
        <v>797</v>
      </c>
      <c r="J40" s="25">
        <v>0.55000000000000004</v>
      </c>
      <c r="K40" s="27"/>
    </row>
    <row r="41" spans="1:11" ht="32.85" customHeight="1" x14ac:dyDescent="0.2">
      <c r="A41" s="10" t="s">
        <v>669</v>
      </c>
      <c r="B41" s="332" t="s">
        <v>797</v>
      </c>
      <c r="C41" s="311">
        <v>0</v>
      </c>
      <c r="D41" s="90">
        <v>-7.8280000000000003</v>
      </c>
      <c r="E41" s="91">
        <v>-0.92100000000000004</v>
      </c>
      <c r="F41" s="92">
        <v>-6.8000000000000005E-2</v>
      </c>
      <c r="G41" s="28" t="s">
        <v>797</v>
      </c>
      <c r="H41" s="29" t="s">
        <v>797</v>
      </c>
      <c r="I41" s="29" t="s">
        <v>797</v>
      </c>
      <c r="J41" s="26" t="s">
        <v>797</v>
      </c>
      <c r="K41" s="27"/>
    </row>
    <row r="42" spans="1:11" ht="32.85" customHeight="1" x14ac:dyDescent="0.2">
      <c r="A42" s="10" t="s">
        <v>670</v>
      </c>
      <c r="B42" s="332" t="s">
        <v>797</v>
      </c>
      <c r="C42" s="311">
        <v>0</v>
      </c>
      <c r="D42" s="90">
        <v>-6.4329999999999998</v>
      </c>
      <c r="E42" s="91">
        <v>-0.76900000000000002</v>
      </c>
      <c r="F42" s="92">
        <v>-5.3999999999999999E-2</v>
      </c>
      <c r="G42" s="28" t="s">
        <v>797</v>
      </c>
      <c r="H42" s="29" t="s">
        <v>797</v>
      </c>
      <c r="I42" s="29" t="s">
        <v>797</v>
      </c>
      <c r="J42" s="25">
        <v>0.433</v>
      </c>
      <c r="K42" s="27"/>
    </row>
    <row r="43" spans="1:11" ht="32.85" customHeight="1" x14ac:dyDescent="0.2">
      <c r="A43" s="10" t="s">
        <v>671</v>
      </c>
      <c r="B43" s="332" t="s">
        <v>797</v>
      </c>
      <c r="C43" s="311">
        <v>0</v>
      </c>
      <c r="D43" s="90">
        <v>-6.4329999999999998</v>
      </c>
      <c r="E43" s="91">
        <v>-0.76900000000000002</v>
      </c>
      <c r="F43" s="92">
        <v>-5.3999999999999999E-2</v>
      </c>
      <c r="G43" s="28" t="s">
        <v>797</v>
      </c>
      <c r="H43" s="29" t="s">
        <v>797</v>
      </c>
      <c r="I43" s="29" t="s">
        <v>797</v>
      </c>
      <c r="J43" s="26" t="s">
        <v>797</v>
      </c>
      <c r="K43" s="27"/>
    </row>
    <row r="44" spans="1:11" ht="32.85" customHeight="1" x14ac:dyDescent="0.2">
      <c r="A44" s="10" t="s">
        <v>672</v>
      </c>
      <c r="B44" s="332" t="s">
        <v>894</v>
      </c>
      <c r="C44" s="311">
        <v>0</v>
      </c>
      <c r="D44" s="90">
        <v>-4.1790000000000003</v>
      </c>
      <c r="E44" s="91">
        <v>-0.53400000000000003</v>
      </c>
      <c r="F44" s="92">
        <v>-2.9000000000000001E-2</v>
      </c>
      <c r="G44" s="28">
        <v>9.08</v>
      </c>
      <c r="H44" s="29" t="s">
        <v>797</v>
      </c>
      <c r="I44" s="29" t="s">
        <v>797</v>
      </c>
      <c r="J44" s="25">
        <v>0.38200000000000001</v>
      </c>
      <c r="K44" s="27"/>
    </row>
    <row r="45" spans="1:11" ht="32.85" customHeight="1" x14ac:dyDescent="0.2">
      <c r="A45" s="10" t="s">
        <v>673</v>
      </c>
      <c r="B45" s="332" t="s">
        <v>797</v>
      </c>
      <c r="C45" s="311">
        <v>0</v>
      </c>
      <c r="D45" s="90">
        <v>-4.1790000000000003</v>
      </c>
      <c r="E45" s="91">
        <v>-0.53400000000000003</v>
      </c>
      <c r="F45" s="92">
        <v>-2.9000000000000001E-2</v>
      </c>
      <c r="G45" s="28">
        <v>9.08</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charges_C'; based on connection level, credits may therefore be lower than stated above.</v>
      </c>
    </row>
    <row r="47" spans="1:11" ht="27.75" customHeight="1" x14ac:dyDescent="0.2">
      <c r="A47" s="330" t="s">
        <v>419</v>
      </c>
    </row>
  </sheetData>
  <mergeCells count="16">
    <mergeCell ref="G9:H9"/>
    <mergeCell ref="G10:H10"/>
    <mergeCell ref="I10:K10"/>
    <mergeCell ref="C6:D6"/>
    <mergeCell ref="G6:H6"/>
    <mergeCell ref="C7:D7"/>
    <mergeCell ref="G7:H7"/>
    <mergeCell ref="B8:E8"/>
    <mergeCell ref="G8:H8"/>
    <mergeCell ref="N4:T5"/>
    <mergeCell ref="C5:D5"/>
    <mergeCell ref="G5:H5"/>
    <mergeCell ref="E1:K1"/>
    <mergeCell ref="A2:K2"/>
    <mergeCell ref="A4:E4"/>
    <mergeCell ref="G4:K4"/>
  </mergeCells>
  <hyperlinks>
    <hyperlink ref="A1" location="Overview!A1" display="Back to Overview" xr:uid="{444205A9-D5A9-47CC-BEE6-1E2B016AF6FE}"/>
    <hyperlink ref="A47" location="'Annex 4 LDNO charges_C'!A1" display="Annex 4 LDNO charges_C" xr:uid="{4F76C063-DE26-49D4-8CDB-D5B4BB814566}"/>
  </hyperlinks>
  <pageMargins left="0.39370078740157483" right="0.35433070866141736" top="0.86614173228346458" bottom="0.74803149606299213" header="0.43307086614173229" footer="0.51181102362204722"/>
  <pageSetup paperSize="9" scale="44" fitToHeight="0" orientation="portrait" r:id="rId1"/>
  <headerFooter scaleWithDoc="0">
    <oddHeader>&amp;L
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XFC31"/>
  <sheetViews>
    <sheetView zoomScale="70" zoomScaleNormal="70" workbookViewId="0"/>
  </sheetViews>
  <sheetFormatPr defaultColWidth="9.140625" defaultRowHeight="12.75" x14ac:dyDescent="0.2"/>
  <cols>
    <col min="1" max="1" width="21" style="98"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495" t="s">
        <v>475</v>
      </c>
      <c r="B2" s="495"/>
      <c r="C2" s="495"/>
      <c r="D2" s="495"/>
      <c r="E2" s="495"/>
      <c r="F2" s="495"/>
    </row>
    <row r="3" spans="1:16383" ht="47.25" customHeight="1" x14ac:dyDescent="0.2">
      <c r="A3" s="396" t="str">
        <f>Overview!B4&amp;" - Illustrative LLFs in UKPN SPN Area (GSP Group_J) for year beginning "&amp;TEXT(Overview!$D$4,"d mmmm yyyy")&amp;""</f>
        <v>Leep Electricity Networks Limited - Illustrative LLFs in UKPN SPN Area (GSP Group_J) for year beginning 1 April 2027</v>
      </c>
      <c r="B3" s="432"/>
      <c r="C3" s="432"/>
      <c r="D3" s="432"/>
      <c r="E3" s="432"/>
      <c r="F3" s="433"/>
    </row>
    <row r="4" spans="1:16383" ht="19.5" customHeight="1" x14ac:dyDescent="0.2">
      <c r="A4" s="497" t="s">
        <v>13</v>
      </c>
      <c r="B4" s="189" t="s">
        <v>5</v>
      </c>
      <c r="C4" s="189" t="s">
        <v>6</v>
      </c>
      <c r="D4" s="189" t="s">
        <v>7</v>
      </c>
      <c r="E4" s="189" t="s">
        <v>8</v>
      </c>
      <c r="F4" s="189" t="s">
        <v>382</v>
      </c>
    </row>
    <row r="5" spans="1:16383" ht="46.5" customHeight="1" x14ac:dyDescent="0.2">
      <c r="A5" s="497"/>
      <c r="B5" s="189" t="s">
        <v>5</v>
      </c>
      <c r="C5" s="189" t="s">
        <v>6</v>
      </c>
      <c r="D5" s="189" t="s">
        <v>7</v>
      </c>
      <c r="E5" s="189" t="s">
        <v>8</v>
      </c>
      <c r="F5" s="189" t="s">
        <v>382</v>
      </c>
    </row>
    <row r="6" spans="1:16383" ht="45" customHeight="1" x14ac:dyDescent="0.2">
      <c r="A6" s="307">
        <v>0</v>
      </c>
      <c r="B6" s="334" t="s">
        <v>806</v>
      </c>
      <c r="C6" s="334" t="s">
        <v>807</v>
      </c>
      <c r="D6" s="334" t="s">
        <v>808</v>
      </c>
      <c r="E6" s="334" t="s">
        <v>809</v>
      </c>
      <c r="F6" s="334" t="s">
        <v>810</v>
      </c>
    </row>
    <row r="7" spans="1:16383" ht="45" customHeight="1" x14ac:dyDescent="0.2">
      <c r="A7" s="307" t="s">
        <v>811</v>
      </c>
      <c r="B7" s="334" t="s">
        <v>812</v>
      </c>
      <c r="C7" s="334" t="s">
        <v>797</v>
      </c>
      <c r="D7" s="334" t="s">
        <v>813</v>
      </c>
      <c r="E7" s="334" t="s">
        <v>797</v>
      </c>
      <c r="F7" s="334" t="s">
        <v>797</v>
      </c>
    </row>
    <row r="8" spans="1:16383" ht="45" customHeight="1" x14ac:dyDescent="0.2">
      <c r="A8" s="307" t="s">
        <v>814</v>
      </c>
      <c r="B8" s="334" t="s">
        <v>797</v>
      </c>
      <c r="C8" s="334" t="s">
        <v>815</v>
      </c>
      <c r="D8" s="334" t="s">
        <v>797</v>
      </c>
      <c r="E8" s="334" t="s">
        <v>797</v>
      </c>
      <c r="F8" s="334" t="s">
        <v>797</v>
      </c>
    </row>
    <row r="9" spans="1:16383" ht="45" customHeight="1" x14ac:dyDescent="0.2">
      <c r="A9" s="307" t="s">
        <v>816</v>
      </c>
      <c r="B9" s="334" t="s">
        <v>797</v>
      </c>
      <c r="C9" s="334" t="s">
        <v>797</v>
      </c>
      <c r="D9" s="334" t="s">
        <v>815</v>
      </c>
      <c r="E9" s="334" t="s">
        <v>797</v>
      </c>
      <c r="F9" s="334" t="s">
        <v>797</v>
      </c>
    </row>
    <row r="10" spans="1:16383" ht="22.5" customHeight="1" x14ac:dyDescent="0.2">
      <c r="A10" s="298" t="s">
        <v>14</v>
      </c>
      <c r="B10" s="518" t="s">
        <v>371</v>
      </c>
      <c r="C10" s="519"/>
      <c r="D10" s="519"/>
      <c r="E10" s="519"/>
      <c r="F10" s="520"/>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497" t="s">
        <v>275</v>
      </c>
      <c r="B13" s="497"/>
      <c r="C13" s="497"/>
      <c r="D13" s="497"/>
      <c r="E13" s="497"/>
      <c r="F13" s="497"/>
      <c r="G13" s="497"/>
    </row>
    <row r="14" spans="1:16383" ht="22.5" customHeight="1" x14ac:dyDescent="0.2">
      <c r="A14" s="497" t="s">
        <v>4</v>
      </c>
      <c r="B14" s="497"/>
      <c r="C14" s="497"/>
      <c r="D14" s="497"/>
      <c r="E14" s="497"/>
      <c r="F14" s="497"/>
      <c r="G14" s="497"/>
    </row>
    <row r="15" spans="1:16383" ht="33" customHeight="1" x14ac:dyDescent="0.2">
      <c r="A15" s="189" t="s">
        <v>276</v>
      </c>
      <c r="B15" s="192" t="s">
        <v>5</v>
      </c>
      <c r="C15" s="192" t="s">
        <v>6</v>
      </c>
      <c r="D15" s="192" t="s">
        <v>7</v>
      </c>
      <c r="E15" s="192" t="s">
        <v>8</v>
      </c>
      <c r="F15" s="192" t="s">
        <v>382</v>
      </c>
      <c r="G15" s="192" t="s">
        <v>9</v>
      </c>
    </row>
    <row r="16" spans="1:16383" ht="242.25" x14ac:dyDescent="0.2">
      <c r="A16" s="299" t="s">
        <v>456</v>
      </c>
      <c r="B16" s="288"/>
      <c r="C16" s="288"/>
      <c r="D16" s="288"/>
      <c r="E16" s="288"/>
      <c r="F16" s="288"/>
      <c r="G16" s="301" t="s">
        <v>2142</v>
      </c>
    </row>
    <row r="17" spans="1:7" ht="54.95" customHeight="1" x14ac:dyDescent="0.2">
      <c r="A17" s="299" t="s">
        <v>457</v>
      </c>
      <c r="B17" s="288"/>
      <c r="C17" s="288"/>
      <c r="D17" s="288"/>
      <c r="E17" s="288"/>
      <c r="F17" s="288"/>
      <c r="G17" s="301" t="s">
        <v>2143</v>
      </c>
    </row>
    <row r="18" spans="1:7" ht="63.75" x14ac:dyDescent="0.2">
      <c r="A18" s="299" t="s">
        <v>458</v>
      </c>
      <c r="B18" s="288"/>
      <c r="C18" s="288"/>
      <c r="D18" s="288"/>
      <c r="E18" s="288"/>
      <c r="F18" s="288"/>
      <c r="G18" s="301" t="s">
        <v>2144</v>
      </c>
    </row>
    <row r="19" spans="1:7" ht="22.5" customHeight="1" x14ac:dyDescent="0.2">
      <c r="A19" s="299" t="s">
        <v>459</v>
      </c>
      <c r="B19" s="288"/>
      <c r="C19" s="288"/>
      <c r="D19" s="288"/>
      <c r="E19" s="288"/>
      <c r="F19" s="288"/>
      <c r="G19" s="301" t="s">
        <v>797</v>
      </c>
    </row>
    <row r="20" spans="1:7" ht="22.5" customHeight="1" x14ac:dyDescent="0.2">
      <c r="A20" s="299" t="s">
        <v>460</v>
      </c>
      <c r="B20" s="288"/>
      <c r="C20" s="288"/>
      <c r="D20" s="288"/>
      <c r="E20" s="288"/>
      <c r="F20" s="288"/>
      <c r="G20" s="301"/>
    </row>
    <row r="21" spans="1:7" ht="22.5" customHeight="1" x14ac:dyDescent="0.2">
      <c r="A21" s="299" t="s">
        <v>462</v>
      </c>
      <c r="B21" s="288"/>
      <c r="C21" s="288"/>
      <c r="D21" s="288"/>
      <c r="E21" s="288"/>
      <c r="F21" s="288"/>
      <c r="G21" s="301"/>
    </row>
    <row r="22" spans="1:7" ht="12.75" customHeight="1" x14ac:dyDescent="0.2"/>
    <row r="23" spans="1:7" ht="22.5" customHeight="1" x14ac:dyDescent="0.2">
      <c r="A23" s="497" t="s">
        <v>277</v>
      </c>
      <c r="B23" s="497"/>
      <c r="C23" s="497"/>
      <c r="D23" s="497"/>
      <c r="E23" s="497"/>
      <c r="F23" s="497"/>
      <c r="G23" s="497"/>
    </row>
    <row r="24" spans="1:7" ht="22.5" customHeight="1" x14ac:dyDescent="0.2">
      <c r="A24" s="497" t="s">
        <v>11</v>
      </c>
      <c r="B24" s="497"/>
      <c r="C24" s="497"/>
      <c r="D24" s="497"/>
      <c r="E24" s="497"/>
      <c r="F24" s="497"/>
      <c r="G24" s="497"/>
    </row>
    <row r="25" spans="1:7" ht="33" customHeight="1" x14ac:dyDescent="0.2">
      <c r="A25" s="189" t="s">
        <v>10</v>
      </c>
      <c r="B25" s="189" t="s">
        <v>5</v>
      </c>
      <c r="C25" s="189" t="s">
        <v>6</v>
      </c>
      <c r="D25" s="189" t="s">
        <v>7</v>
      </c>
      <c r="E25" s="189" t="s">
        <v>8</v>
      </c>
      <c r="F25" s="189" t="s">
        <v>382</v>
      </c>
      <c r="G25" s="189" t="s">
        <v>9</v>
      </c>
    </row>
    <row r="26" spans="1:7" ht="22.5" customHeight="1" x14ac:dyDescent="0.2">
      <c r="A26" s="297"/>
      <c r="B26" s="193"/>
      <c r="C26" s="193"/>
      <c r="D26" s="193"/>
      <c r="E26" s="193"/>
      <c r="F26" s="193"/>
      <c r="G26" s="204"/>
    </row>
    <row r="27" spans="1:7" ht="12.75" customHeight="1" x14ac:dyDescent="0.2"/>
    <row r="28" spans="1:7" ht="22.5" customHeight="1" x14ac:dyDescent="0.2">
      <c r="A28" s="497" t="s">
        <v>277</v>
      </c>
      <c r="B28" s="497"/>
      <c r="C28" s="497"/>
      <c r="D28" s="497"/>
      <c r="E28" s="497"/>
      <c r="F28" s="497"/>
      <c r="G28" s="497"/>
    </row>
    <row r="29" spans="1:7" ht="22.5" customHeight="1" x14ac:dyDescent="0.2">
      <c r="A29" s="497" t="s">
        <v>12</v>
      </c>
      <c r="B29" s="497"/>
      <c r="C29" s="497"/>
      <c r="D29" s="497"/>
      <c r="E29" s="497"/>
      <c r="F29" s="497"/>
      <c r="G29" s="497"/>
    </row>
    <row r="30" spans="1:7" ht="33" customHeight="1" x14ac:dyDescent="0.2">
      <c r="A30" s="189" t="s">
        <v>10</v>
      </c>
      <c r="B30" s="189" t="s">
        <v>5</v>
      </c>
      <c r="C30" s="189" t="s">
        <v>6</v>
      </c>
      <c r="D30" s="189" t="s">
        <v>7</v>
      </c>
      <c r="E30" s="189" t="s">
        <v>8</v>
      </c>
      <c r="F30" s="189" t="s">
        <v>382</v>
      </c>
      <c r="G30" s="189" t="s">
        <v>9</v>
      </c>
    </row>
    <row r="31" spans="1:7" ht="22.5" customHeight="1" x14ac:dyDescent="0.2">
      <c r="A31" s="297"/>
      <c r="B31" s="193"/>
      <c r="C31" s="193"/>
      <c r="D31" s="193"/>
      <c r="E31" s="193"/>
      <c r="F31" s="193"/>
      <c r="G31" s="204"/>
    </row>
  </sheetData>
  <mergeCells count="10">
    <mergeCell ref="A2:F2"/>
    <mergeCell ref="A29:G29"/>
    <mergeCell ref="B10:F10"/>
    <mergeCell ref="A13:G13"/>
    <mergeCell ref="A14:G14"/>
    <mergeCell ref="A3:F3"/>
    <mergeCell ref="A4:A5"/>
    <mergeCell ref="A23:G23"/>
    <mergeCell ref="A24:G24"/>
    <mergeCell ref="A28:G28"/>
  </mergeCells>
  <conditionalFormatting sqref="B6:F9">
    <cfRule type="cellIs" dxfId="14" priority="1" operator="equal">
      <formula>""</formula>
    </cfRule>
  </conditionalFormatting>
  <hyperlinks>
    <hyperlink ref="A1" location="Overview!A1" display="Back to Overview" xr:uid="{1F6D899E-15CF-4118-AEB3-DE22D08FE86E}"/>
  </hyperlinks>
  <pageMargins left="0.70866141732283472" right="0.70866141732283472" top="0.55118110236220474" bottom="0.55118110236220474" header="0.11811023622047245" footer="0.31496062992125984"/>
  <pageSetup paperSize="9" scale="50" fitToHeight="0" orientation="portrait" r:id="rId1"/>
  <headerFooter differentFirst="1" scaleWithDoc="0">
    <oddHeader>&amp;L
Annex 5 – Line Loss Factors</oddHeader>
    <oddFooter>&amp;C&amp;P of &amp;N</oddFooter>
    <firstHeader>&amp;L
Annex 5 – Line Loss Factors</firstHeader>
    <firstFooter>&amp;C&amp;P of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32"/>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5" t="s">
        <v>475</v>
      </c>
      <c r="B2" s="495"/>
      <c r="C2" s="495"/>
      <c r="D2" s="495"/>
      <c r="E2" s="495"/>
      <c r="F2" s="495"/>
    </row>
    <row r="3" spans="1:9" ht="47.25" customHeight="1" x14ac:dyDescent="0.2">
      <c r="A3" s="396" t="str">
        <f>Overview!B4&amp;" - Illustrative LLFs in WPD South Wales Area (GSP Group_K) for year beginning "&amp;TEXT(Overview!$D$4,"d mmmm yyyy")&amp;""</f>
        <v>Leep Electricity Networks Limited - Illustrative LLFs in WPD South Wales Area (GSP Group_K) for year beginning 1 April 2027</v>
      </c>
      <c r="B3" s="432"/>
      <c r="C3" s="432"/>
      <c r="D3" s="432"/>
      <c r="E3" s="433"/>
    </row>
    <row r="4" spans="1:9" ht="19.5" customHeight="1" x14ac:dyDescent="0.2">
      <c r="A4" s="510" t="s">
        <v>13</v>
      </c>
      <c r="B4" s="189" t="s">
        <v>5</v>
      </c>
      <c r="C4" s="189" t="s">
        <v>6</v>
      </c>
      <c r="D4" s="189" t="s">
        <v>7</v>
      </c>
      <c r="E4" s="189" t="s">
        <v>8</v>
      </c>
    </row>
    <row r="5" spans="1:9" ht="39" customHeight="1" x14ac:dyDescent="0.2">
      <c r="A5" s="511"/>
      <c r="B5" s="189" t="s">
        <v>2033</v>
      </c>
      <c r="C5" s="189" t="s">
        <v>2034</v>
      </c>
      <c r="D5" s="189" t="s">
        <v>2035</v>
      </c>
      <c r="E5" s="189" t="s">
        <v>2036</v>
      </c>
    </row>
    <row r="6" spans="1:9" ht="45" customHeight="1" x14ac:dyDescent="0.2">
      <c r="A6" s="306" t="s">
        <v>2037</v>
      </c>
      <c r="B6" s="334" t="s">
        <v>797</v>
      </c>
      <c r="C6" s="334" t="s">
        <v>797</v>
      </c>
      <c r="D6" s="334" t="s">
        <v>2090</v>
      </c>
      <c r="E6" s="334" t="s">
        <v>2091</v>
      </c>
    </row>
    <row r="7" spans="1:9" ht="45" customHeight="1" x14ac:dyDescent="0.2">
      <c r="A7" s="306" t="s">
        <v>2040</v>
      </c>
      <c r="B7" s="334" t="s">
        <v>2041</v>
      </c>
      <c r="C7" s="334" t="s">
        <v>2092</v>
      </c>
      <c r="D7" s="334" t="s">
        <v>2090</v>
      </c>
      <c r="E7" s="334" t="s">
        <v>2093</v>
      </c>
    </row>
    <row r="8" spans="1:9" ht="45" customHeight="1" x14ac:dyDescent="0.2">
      <c r="A8" s="306" t="s">
        <v>798</v>
      </c>
      <c r="B8" s="334" t="s">
        <v>797</v>
      </c>
      <c r="C8" s="334" t="s">
        <v>797</v>
      </c>
      <c r="D8" s="334" t="s">
        <v>2090</v>
      </c>
      <c r="E8" s="334" t="s">
        <v>2091</v>
      </c>
    </row>
    <row r="9" spans="1:9" ht="25.5" customHeight="1" x14ac:dyDescent="0.2">
      <c r="A9" s="198" t="s">
        <v>14</v>
      </c>
      <c r="B9" s="512" t="s">
        <v>15</v>
      </c>
      <c r="C9" s="513"/>
      <c r="D9" s="513"/>
      <c r="E9" s="514"/>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26" t="s">
        <v>383</v>
      </c>
      <c r="B12" s="504"/>
      <c r="C12" s="504"/>
      <c r="D12" s="504"/>
      <c r="E12" s="504"/>
      <c r="F12" s="427"/>
    </row>
    <row r="13" spans="1:9" ht="22.5" customHeight="1" x14ac:dyDescent="0.2">
      <c r="A13" s="426" t="s">
        <v>4</v>
      </c>
      <c r="B13" s="504"/>
      <c r="C13" s="504"/>
      <c r="D13" s="504"/>
      <c r="E13" s="504"/>
      <c r="F13" s="427"/>
    </row>
    <row r="14" spans="1:9" ht="33" customHeight="1" x14ac:dyDescent="0.2">
      <c r="A14" s="189" t="s">
        <v>384</v>
      </c>
      <c r="B14" s="189" t="s">
        <v>5</v>
      </c>
      <c r="C14" s="189" t="s">
        <v>6</v>
      </c>
      <c r="D14" s="189" t="s">
        <v>7</v>
      </c>
      <c r="E14" s="189" t="s">
        <v>8</v>
      </c>
      <c r="F14" s="189" t="s">
        <v>9</v>
      </c>
    </row>
    <row r="15" spans="1:9" ht="54.95" customHeight="1" x14ac:dyDescent="0.2">
      <c r="A15" s="202" t="s">
        <v>469</v>
      </c>
      <c r="B15" s="193"/>
      <c r="C15" s="193"/>
      <c r="D15" s="193"/>
      <c r="E15" s="193"/>
      <c r="F15" s="301"/>
    </row>
    <row r="16" spans="1:9" ht="22.5" customHeight="1" x14ac:dyDescent="0.2">
      <c r="A16" s="202" t="s">
        <v>470</v>
      </c>
      <c r="B16" s="193"/>
      <c r="C16" s="193"/>
      <c r="D16" s="193"/>
      <c r="E16" s="193"/>
      <c r="F16" s="301"/>
    </row>
    <row r="17" spans="1:6" ht="22.5" customHeight="1" x14ac:dyDescent="0.2">
      <c r="A17" s="202" t="s">
        <v>471</v>
      </c>
      <c r="B17" s="193"/>
      <c r="C17" s="193"/>
      <c r="D17" s="193"/>
      <c r="E17" s="193"/>
      <c r="F17" s="301"/>
    </row>
    <row r="18" spans="1:6" ht="22.5" customHeight="1" x14ac:dyDescent="0.2">
      <c r="A18" s="202" t="s">
        <v>472</v>
      </c>
      <c r="B18" s="193"/>
      <c r="C18" s="193"/>
      <c r="D18" s="193"/>
      <c r="E18" s="193"/>
      <c r="F18" s="301"/>
    </row>
    <row r="19" spans="1:6" ht="22.5" customHeight="1" x14ac:dyDescent="0.2">
      <c r="A19" s="202" t="s">
        <v>466</v>
      </c>
      <c r="B19" s="193"/>
      <c r="C19" s="193"/>
      <c r="D19" s="193"/>
      <c r="E19" s="193"/>
      <c r="F19" s="301" t="s">
        <v>797</v>
      </c>
    </row>
    <row r="20" spans="1:6" ht="38.25" x14ac:dyDescent="0.2">
      <c r="A20" s="202" t="s">
        <v>465</v>
      </c>
      <c r="B20" s="193"/>
      <c r="C20" s="193"/>
      <c r="D20" s="193"/>
      <c r="E20" s="193"/>
      <c r="F20" s="301" t="s">
        <v>2145</v>
      </c>
    </row>
    <row r="21" spans="1:6" ht="38.25" x14ac:dyDescent="0.2">
      <c r="A21" s="202" t="s">
        <v>464</v>
      </c>
      <c r="B21" s="193"/>
      <c r="C21" s="193"/>
      <c r="D21" s="193"/>
      <c r="E21" s="193"/>
      <c r="F21" s="301" t="s">
        <v>2146</v>
      </c>
    </row>
    <row r="22" spans="1:6" ht="140.25" x14ac:dyDescent="0.2">
      <c r="A22" s="202" t="s">
        <v>463</v>
      </c>
      <c r="B22" s="193"/>
      <c r="C22" s="193"/>
      <c r="D22" s="193"/>
      <c r="E22" s="193"/>
      <c r="F22" s="301" t="s">
        <v>2147</v>
      </c>
    </row>
    <row r="23" spans="1:6" ht="12.75" customHeight="1" x14ac:dyDescent="0.2"/>
    <row r="24" spans="1:6" ht="22.5" customHeight="1" x14ac:dyDescent="0.2">
      <c r="A24" s="426" t="s">
        <v>277</v>
      </c>
      <c r="B24" s="504"/>
      <c r="C24" s="504"/>
      <c r="D24" s="504"/>
      <c r="E24" s="504"/>
      <c r="F24" s="427"/>
    </row>
    <row r="25" spans="1:6" ht="22.5" customHeight="1" x14ac:dyDescent="0.2">
      <c r="A25" s="426" t="s">
        <v>11</v>
      </c>
      <c r="B25" s="504"/>
      <c r="C25" s="504"/>
      <c r="D25" s="504"/>
      <c r="E25" s="504"/>
      <c r="F25" s="427"/>
    </row>
    <row r="26" spans="1:6" ht="33" customHeight="1" x14ac:dyDescent="0.2">
      <c r="A26" s="189" t="s">
        <v>10</v>
      </c>
      <c r="B26" s="189" t="s">
        <v>5</v>
      </c>
      <c r="C26" s="189" t="s">
        <v>6</v>
      </c>
      <c r="D26" s="189" t="s">
        <v>7</v>
      </c>
      <c r="E26" s="189" t="s">
        <v>8</v>
      </c>
      <c r="F26" s="189" t="s">
        <v>9</v>
      </c>
    </row>
    <row r="27" spans="1:6" ht="22.5" customHeight="1" x14ac:dyDescent="0.2">
      <c r="A27" s="203"/>
      <c r="B27" s="193"/>
      <c r="C27" s="193"/>
      <c r="D27" s="193"/>
      <c r="E27" s="193"/>
      <c r="F27" s="204"/>
    </row>
    <row r="28" spans="1:6" ht="12.75" customHeight="1" x14ac:dyDescent="0.2"/>
    <row r="29" spans="1:6" ht="22.5" customHeight="1" x14ac:dyDescent="0.2">
      <c r="A29" s="426" t="s">
        <v>277</v>
      </c>
      <c r="B29" s="504"/>
      <c r="C29" s="504"/>
      <c r="D29" s="504"/>
      <c r="E29" s="504"/>
      <c r="F29" s="427"/>
    </row>
    <row r="30" spans="1:6" ht="22.5" customHeight="1" x14ac:dyDescent="0.2">
      <c r="A30" s="426" t="s">
        <v>12</v>
      </c>
      <c r="B30" s="504"/>
      <c r="C30" s="504"/>
      <c r="D30" s="504"/>
      <c r="E30" s="504"/>
      <c r="F30" s="427"/>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3" priority="1" operator="equal">
      <formula>""</formula>
    </cfRule>
  </conditionalFormatting>
  <hyperlinks>
    <hyperlink ref="A1" location="Overview!A1" display="Back to Overview" xr:uid="{1040A379-9344-40D0-8586-2A4AD84F1D4E}"/>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32"/>
  <sheetViews>
    <sheetView zoomScale="70" zoomScaleNormal="70" workbookViewId="0">
      <selection activeCell="F22" sqref="F22"/>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5" t="s">
        <v>475</v>
      </c>
      <c r="B2" s="495"/>
      <c r="C2" s="495"/>
      <c r="D2" s="495"/>
      <c r="E2" s="495"/>
      <c r="F2" s="495"/>
    </row>
    <row r="3" spans="1:9" ht="47.25" customHeight="1" x14ac:dyDescent="0.2">
      <c r="A3" s="396" t="str">
        <f>Overview!B4&amp;" - Illustrative LLFs in WPD South West Area (GSP Group_L) for year beginning "&amp;TEXT(Overview!$D$4,"d mmmm yyyy")&amp;""</f>
        <v>Leep Electricity Networks Limited - Illustrative LLFs in WPD South West Area (GSP Group_L) for year beginning 1 April 2027</v>
      </c>
      <c r="B3" s="432"/>
      <c r="C3" s="432"/>
      <c r="D3" s="432"/>
      <c r="E3" s="433"/>
    </row>
    <row r="4" spans="1:9" ht="19.5" customHeight="1" x14ac:dyDescent="0.2">
      <c r="A4" s="510" t="s">
        <v>13</v>
      </c>
      <c r="B4" s="189" t="s">
        <v>5</v>
      </c>
      <c r="C4" s="189" t="s">
        <v>6</v>
      </c>
      <c r="D4" s="189" t="s">
        <v>7</v>
      </c>
      <c r="E4" s="189" t="s">
        <v>8</v>
      </c>
    </row>
    <row r="5" spans="1:9" ht="42.75" customHeight="1" x14ac:dyDescent="0.2">
      <c r="A5" s="511"/>
      <c r="B5" s="189" t="s">
        <v>2033</v>
      </c>
      <c r="C5" s="189" t="s">
        <v>2034</v>
      </c>
      <c r="D5" s="189" t="s">
        <v>2035</v>
      </c>
      <c r="E5" s="189" t="s">
        <v>2036</v>
      </c>
    </row>
    <row r="6" spans="1:9" ht="45" customHeight="1" x14ac:dyDescent="0.2">
      <c r="A6" s="197" t="s">
        <v>2037</v>
      </c>
      <c r="B6" s="334" t="s">
        <v>797</v>
      </c>
      <c r="C6" s="334" t="s">
        <v>797</v>
      </c>
      <c r="D6" s="334" t="s">
        <v>2103</v>
      </c>
      <c r="E6" s="334" t="s">
        <v>2104</v>
      </c>
    </row>
    <row r="7" spans="1:9" ht="45" customHeight="1" x14ac:dyDescent="0.2">
      <c r="A7" s="197" t="s">
        <v>2040</v>
      </c>
      <c r="B7" s="334" t="s">
        <v>370</v>
      </c>
      <c r="C7" s="334" t="s">
        <v>2105</v>
      </c>
      <c r="D7" s="334" t="s">
        <v>2103</v>
      </c>
      <c r="E7" s="334" t="s">
        <v>2106</v>
      </c>
    </row>
    <row r="8" spans="1:9" ht="45" customHeight="1" x14ac:dyDescent="0.2">
      <c r="A8" s="197" t="s">
        <v>798</v>
      </c>
      <c r="B8" s="334" t="s">
        <v>797</v>
      </c>
      <c r="C8" s="334" t="s">
        <v>797</v>
      </c>
      <c r="D8" s="334" t="s">
        <v>2103</v>
      </c>
      <c r="E8" s="334" t="s">
        <v>2104</v>
      </c>
    </row>
    <row r="9" spans="1:9" ht="25.5" customHeight="1" x14ac:dyDescent="0.2">
      <c r="A9" s="198" t="s">
        <v>14</v>
      </c>
      <c r="B9" s="515" t="s">
        <v>15</v>
      </c>
      <c r="C9" s="516"/>
      <c r="D9" s="516"/>
      <c r="E9" s="517"/>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26" t="s">
        <v>383</v>
      </c>
      <c r="B12" s="504"/>
      <c r="C12" s="504"/>
      <c r="D12" s="504"/>
      <c r="E12" s="504"/>
      <c r="F12" s="427"/>
    </row>
    <row r="13" spans="1:9" ht="22.5" customHeight="1" x14ac:dyDescent="0.2">
      <c r="A13" s="426" t="s">
        <v>4</v>
      </c>
      <c r="B13" s="504"/>
      <c r="C13" s="504"/>
      <c r="D13" s="504"/>
      <c r="E13" s="504"/>
      <c r="F13" s="427"/>
    </row>
    <row r="14" spans="1:9" ht="33" customHeight="1" x14ac:dyDescent="0.2">
      <c r="A14" s="189" t="s">
        <v>384</v>
      </c>
      <c r="B14" s="189" t="s">
        <v>5</v>
      </c>
      <c r="C14" s="189" t="s">
        <v>6</v>
      </c>
      <c r="D14" s="189" t="s">
        <v>7</v>
      </c>
      <c r="E14" s="189" t="s">
        <v>8</v>
      </c>
      <c r="F14" s="189" t="s">
        <v>9</v>
      </c>
    </row>
    <row r="15" spans="1:9" ht="30" customHeight="1" x14ac:dyDescent="0.2">
      <c r="A15" s="202" t="s">
        <v>469</v>
      </c>
      <c r="B15" s="107"/>
      <c r="C15" s="107"/>
      <c r="D15" s="107"/>
      <c r="E15" s="107"/>
      <c r="F15" s="301"/>
    </row>
    <row r="16" spans="1:9" ht="22.5" customHeight="1" x14ac:dyDescent="0.2">
      <c r="A16" s="202" t="s">
        <v>470</v>
      </c>
      <c r="B16" s="107"/>
      <c r="C16" s="107"/>
      <c r="D16" s="107"/>
      <c r="E16" s="107"/>
      <c r="F16" s="301"/>
    </row>
    <row r="17" spans="1:7" ht="22.5" customHeight="1" x14ac:dyDescent="0.2">
      <c r="A17" s="202" t="s">
        <v>471</v>
      </c>
      <c r="B17" s="107"/>
      <c r="C17" s="107"/>
      <c r="D17" s="107"/>
      <c r="E17" s="107"/>
      <c r="F17" s="301"/>
    </row>
    <row r="18" spans="1:7" ht="22.5" customHeight="1" x14ac:dyDescent="0.2">
      <c r="A18" s="202" t="s">
        <v>472</v>
      </c>
      <c r="B18" s="107"/>
      <c r="C18" s="107"/>
      <c r="D18" s="107"/>
      <c r="E18" s="107"/>
      <c r="F18" s="301"/>
    </row>
    <row r="19" spans="1:7" ht="22.5" customHeight="1" x14ac:dyDescent="0.2">
      <c r="A19" s="202" t="s">
        <v>466</v>
      </c>
      <c r="B19" s="107"/>
      <c r="C19" s="107"/>
      <c r="D19" s="107"/>
      <c r="E19" s="107"/>
      <c r="F19" s="301" t="s">
        <v>797</v>
      </c>
      <c r="G19" s="303">
        <v>4</v>
      </c>
    </row>
    <row r="20" spans="1:7" ht="38.25" x14ac:dyDescent="0.2">
      <c r="A20" s="202" t="s">
        <v>465</v>
      </c>
      <c r="B20" s="107"/>
      <c r="C20" s="107"/>
      <c r="D20" s="107"/>
      <c r="E20" s="107"/>
      <c r="F20" s="301" t="s">
        <v>2148</v>
      </c>
      <c r="G20" s="303">
        <v>3</v>
      </c>
    </row>
    <row r="21" spans="1:7" ht="51" x14ac:dyDescent="0.2">
      <c r="A21" s="202" t="s">
        <v>464</v>
      </c>
      <c r="B21" s="107"/>
      <c r="C21" s="107"/>
      <c r="D21" s="107"/>
      <c r="E21" s="107"/>
      <c r="F21" s="301" t="s">
        <v>2149</v>
      </c>
      <c r="G21" s="303">
        <v>2</v>
      </c>
    </row>
    <row r="22" spans="1:7" ht="178.5" x14ac:dyDescent="0.2">
      <c r="A22" s="202" t="s">
        <v>463</v>
      </c>
      <c r="B22" s="107"/>
      <c r="C22" s="107"/>
      <c r="D22" s="107"/>
      <c r="E22" s="107"/>
      <c r="F22" s="301" t="s">
        <v>2161</v>
      </c>
      <c r="G22" s="303">
        <v>1</v>
      </c>
    </row>
    <row r="23" spans="1:7" ht="12.75" customHeight="1" x14ac:dyDescent="0.2"/>
    <row r="24" spans="1:7" ht="22.5" customHeight="1" x14ac:dyDescent="0.2">
      <c r="A24" s="426" t="s">
        <v>277</v>
      </c>
      <c r="B24" s="504"/>
      <c r="C24" s="504"/>
      <c r="D24" s="504"/>
      <c r="E24" s="504"/>
      <c r="F24" s="427"/>
    </row>
    <row r="25" spans="1:7" ht="22.5" customHeight="1" x14ac:dyDescent="0.2">
      <c r="A25" s="426" t="s">
        <v>11</v>
      </c>
      <c r="B25" s="504"/>
      <c r="C25" s="504"/>
      <c r="D25" s="504"/>
      <c r="E25" s="504"/>
      <c r="F25" s="427"/>
    </row>
    <row r="26" spans="1:7" ht="33" customHeight="1" x14ac:dyDescent="0.2">
      <c r="A26" s="189" t="s">
        <v>10</v>
      </c>
      <c r="B26" s="189" t="s">
        <v>5</v>
      </c>
      <c r="C26" s="189" t="s">
        <v>6</v>
      </c>
      <c r="D26" s="189" t="s">
        <v>7</v>
      </c>
      <c r="E26" s="189" t="s">
        <v>8</v>
      </c>
      <c r="F26" s="189" t="s">
        <v>9</v>
      </c>
    </row>
    <row r="27" spans="1:7" ht="22.5" customHeight="1" x14ac:dyDescent="0.2">
      <c r="A27" s="203"/>
      <c r="B27" s="193"/>
      <c r="C27" s="193"/>
      <c r="D27" s="193"/>
      <c r="E27" s="193"/>
      <c r="F27" s="204"/>
    </row>
    <row r="28" spans="1:7" ht="12.75" customHeight="1" x14ac:dyDescent="0.2"/>
    <row r="29" spans="1:7" ht="22.5" customHeight="1" x14ac:dyDescent="0.2">
      <c r="A29" s="426" t="s">
        <v>277</v>
      </c>
      <c r="B29" s="504"/>
      <c r="C29" s="504"/>
      <c r="D29" s="504"/>
      <c r="E29" s="504"/>
      <c r="F29" s="427"/>
    </row>
    <row r="30" spans="1:7" ht="22.5" customHeight="1" x14ac:dyDescent="0.2">
      <c r="A30" s="426" t="s">
        <v>12</v>
      </c>
      <c r="B30" s="504"/>
      <c r="C30" s="504"/>
      <c r="D30" s="504"/>
      <c r="E30" s="504"/>
      <c r="F30" s="427"/>
    </row>
    <row r="31" spans="1:7" ht="33" customHeight="1" x14ac:dyDescent="0.2">
      <c r="A31" s="189" t="s">
        <v>10</v>
      </c>
      <c r="B31" s="189" t="s">
        <v>5</v>
      </c>
      <c r="C31" s="189" t="s">
        <v>6</v>
      </c>
      <c r="D31" s="189" t="s">
        <v>7</v>
      </c>
      <c r="E31" s="189" t="s">
        <v>8</v>
      </c>
      <c r="F31" s="189" t="s">
        <v>9</v>
      </c>
    </row>
    <row r="32" spans="1:7" ht="22.5" customHeight="1" x14ac:dyDescent="0.2">
      <c r="A32" s="203"/>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2" priority="1" operator="equal">
      <formula>""</formula>
    </cfRule>
  </conditionalFormatting>
  <hyperlinks>
    <hyperlink ref="A1" location="Overview!A1" display="Back to Overview" xr:uid="{E1AD3CAD-F7B0-4093-B1E2-BA977764939F}"/>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G33"/>
  <sheetViews>
    <sheetView zoomScale="70" zoomScaleNormal="70" workbookViewId="0"/>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495" t="s">
        <v>475</v>
      </c>
      <c r="B2" s="495"/>
      <c r="C2" s="495"/>
      <c r="D2" s="495"/>
      <c r="E2" s="495"/>
      <c r="F2" s="495"/>
    </row>
    <row r="3" spans="1:7" ht="47.25" customHeight="1" x14ac:dyDescent="0.2">
      <c r="A3" s="396" t="str">
        <f>Overview!B4&amp;" - Illustrative LLFs in NPG Yorkshire Area (GSP Group_M) for year beginning "&amp;TEXT(Overview!$D$4,"d mmmm yyyy")&amp;""</f>
        <v>Leep Electricity Networks Limited - Illustrative LLFs in NPG Yorkshire Area (GSP Group_M) for year beginning 1 April 2027</v>
      </c>
      <c r="B3" s="432"/>
      <c r="C3" s="432"/>
      <c r="D3" s="432"/>
      <c r="E3" s="433"/>
    </row>
    <row r="4" spans="1:7" ht="19.5" customHeight="1" x14ac:dyDescent="0.2">
      <c r="A4" s="510" t="s">
        <v>13</v>
      </c>
      <c r="B4" s="189" t="s">
        <v>5</v>
      </c>
      <c r="C4" s="189" t="s">
        <v>6</v>
      </c>
      <c r="D4" s="189" t="s">
        <v>7</v>
      </c>
      <c r="E4" s="189" t="s">
        <v>8</v>
      </c>
    </row>
    <row r="5" spans="1:7" ht="37.5" customHeight="1" x14ac:dyDescent="0.2">
      <c r="A5" s="511"/>
      <c r="B5" s="189" t="s">
        <v>5</v>
      </c>
      <c r="C5" s="189" t="s">
        <v>6</v>
      </c>
      <c r="D5" s="189" t="s">
        <v>7</v>
      </c>
      <c r="E5" s="189" t="s">
        <v>8</v>
      </c>
    </row>
    <row r="6" spans="1:7" ht="45" customHeight="1" x14ac:dyDescent="0.2">
      <c r="A6" s="308">
        <v>0</v>
      </c>
      <c r="B6" s="334" t="s">
        <v>797</v>
      </c>
      <c r="C6" s="334" t="s">
        <v>797</v>
      </c>
      <c r="D6" s="334" t="s">
        <v>797</v>
      </c>
      <c r="E6" s="334" t="s">
        <v>797</v>
      </c>
    </row>
    <row r="7" spans="1:7" ht="45" customHeight="1" x14ac:dyDescent="0.2">
      <c r="A7" s="308">
        <v>0</v>
      </c>
      <c r="B7" s="334" t="s">
        <v>797</v>
      </c>
      <c r="C7" s="334" t="s">
        <v>797</v>
      </c>
      <c r="D7" s="334" t="s">
        <v>797</v>
      </c>
      <c r="E7" s="334" t="s">
        <v>797</v>
      </c>
    </row>
    <row r="8" spans="1:7" ht="45" customHeight="1" x14ac:dyDescent="0.2">
      <c r="A8" s="308">
        <v>0</v>
      </c>
      <c r="B8" s="334" t="s">
        <v>797</v>
      </c>
      <c r="C8" s="334" t="s">
        <v>797</v>
      </c>
      <c r="D8" s="334" t="s">
        <v>797</v>
      </c>
      <c r="E8" s="334" t="s">
        <v>797</v>
      </c>
    </row>
    <row r="9" spans="1:7" ht="45" customHeight="1" x14ac:dyDescent="0.2">
      <c r="A9" s="308">
        <v>0</v>
      </c>
      <c r="B9" s="334" t="s">
        <v>797</v>
      </c>
      <c r="C9" s="334" t="s">
        <v>797</v>
      </c>
      <c r="D9" s="334" t="s">
        <v>797</v>
      </c>
      <c r="E9" s="334" t="s">
        <v>797</v>
      </c>
      <c r="F9" s="22" t="s">
        <v>385</v>
      </c>
    </row>
    <row r="10" spans="1:7" ht="21.75" customHeight="1" x14ac:dyDescent="0.2">
      <c r="A10" s="170" t="s">
        <v>14</v>
      </c>
      <c r="B10" s="521" t="s">
        <v>15</v>
      </c>
      <c r="C10" s="521"/>
      <c r="D10" s="521"/>
      <c r="E10" s="521"/>
      <c r="F10" s="23" t="s">
        <v>385</v>
      </c>
    </row>
    <row r="11" spans="1:7" ht="12.75" customHeight="1" x14ac:dyDescent="0.2">
      <c r="A11" s="199"/>
      <c r="B11" s="200"/>
      <c r="C11" s="200"/>
      <c r="D11" s="200"/>
      <c r="E11" s="200"/>
    </row>
    <row r="12" spans="1:7" ht="12.75" customHeight="1" x14ac:dyDescent="0.2">
      <c r="B12" s="200"/>
      <c r="C12" s="200"/>
      <c r="D12" s="200"/>
      <c r="E12" s="200"/>
    </row>
    <row r="13" spans="1:7" ht="22.5" customHeight="1" x14ac:dyDescent="0.2">
      <c r="A13" s="426" t="s">
        <v>275</v>
      </c>
      <c r="B13" s="504"/>
      <c r="C13" s="504"/>
      <c r="D13" s="504"/>
      <c r="E13" s="504"/>
      <c r="F13" s="427"/>
    </row>
    <row r="14" spans="1:7" ht="22.5" customHeight="1" x14ac:dyDescent="0.2">
      <c r="A14" s="426" t="s">
        <v>4</v>
      </c>
      <c r="B14" s="504"/>
      <c r="C14" s="504"/>
      <c r="D14" s="504"/>
      <c r="E14" s="504"/>
      <c r="F14" s="427"/>
    </row>
    <row r="15" spans="1:7" ht="33" customHeight="1" x14ac:dyDescent="0.2">
      <c r="A15" s="189" t="s">
        <v>276</v>
      </c>
      <c r="B15" s="189" t="s">
        <v>5</v>
      </c>
      <c r="C15" s="189" t="s">
        <v>6</v>
      </c>
      <c r="D15" s="189" t="s">
        <v>7</v>
      </c>
      <c r="E15" s="189" t="s">
        <v>8</v>
      </c>
      <c r="F15" s="189" t="s">
        <v>9</v>
      </c>
    </row>
    <row r="16" spans="1:7" ht="229.5" x14ac:dyDescent="0.2">
      <c r="A16" s="202" t="s">
        <v>463</v>
      </c>
      <c r="B16" s="202"/>
      <c r="C16" s="202"/>
      <c r="D16" s="202"/>
      <c r="E16" s="202"/>
      <c r="F16" s="301" t="s">
        <v>2150</v>
      </c>
      <c r="G16" s="303">
        <v>1</v>
      </c>
    </row>
    <row r="17" spans="1:7" ht="63.75" x14ac:dyDescent="0.2">
      <c r="A17" s="202" t="s">
        <v>464</v>
      </c>
      <c r="B17" s="202"/>
      <c r="C17" s="202"/>
      <c r="D17" s="202"/>
      <c r="E17" s="202"/>
      <c r="F17" s="301" t="s">
        <v>2151</v>
      </c>
      <c r="G17" s="303">
        <v>2</v>
      </c>
    </row>
    <row r="18" spans="1:7" ht="38.25" x14ac:dyDescent="0.2">
      <c r="A18" s="202" t="s">
        <v>465</v>
      </c>
      <c r="B18" s="202"/>
      <c r="C18" s="202"/>
      <c r="D18" s="202"/>
      <c r="E18" s="202"/>
      <c r="F18" s="301" t="s">
        <v>2152</v>
      </c>
      <c r="G18" s="303">
        <v>3</v>
      </c>
    </row>
    <row r="19" spans="1:7" ht="22.5" customHeight="1" x14ac:dyDescent="0.2">
      <c r="A19" s="202" t="s">
        <v>466</v>
      </c>
      <c r="B19" s="202"/>
      <c r="C19" s="202"/>
      <c r="D19" s="202"/>
      <c r="E19" s="202"/>
      <c r="F19" s="301" t="s">
        <v>797</v>
      </c>
      <c r="G19" s="303">
        <v>4</v>
      </c>
    </row>
    <row r="20" spans="1:7" ht="30" customHeight="1" x14ac:dyDescent="0.2">
      <c r="A20" s="202" t="s">
        <v>467</v>
      </c>
      <c r="B20" s="202"/>
      <c r="C20" s="202"/>
      <c r="D20" s="202"/>
      <c r="E20" s="202"/>
      <c r="F20" s="301"/>
      <c r="G20" s="303"/>
    </row>
    <row r="21" spans="1:7" ht="30" customHeight="1" x14ac:dyDescent="0.2">
      <c r="A21" s="202" t="s">
        <v>468</v>
      </c>
      <c r="B21" s="202"/>
      <c r="C21" s="202"/>
      <c r="D21" s="202"/>
      <c r="E21" s="202"/>
      <c r="F21" s="301"/>
    </row>
    <row r="22" spans="1:7" ht="12.75" customHeight="1" x14ac:dyDescent="0.2"/>
    <row r="23" spans="1:7" ht="22.5" customHeight="1" x14ac:dyDescent="0.2">
      <c r="A23" s="426" t="s">
        <v>277</v>
      </c>
      <c r="B23" s="504"/>
      <c r="C23" s="504"/>
      <c r="D23" s="504"/>
      <c r="E23" s="504"/>
      <c r="F23" s="427"/>
    </row>
    <row r="24" spans="1:7" ht="22.5" customHeight="1" x14ac:dyDescent="0.2">
      <c r="A24" s="426" t="s">
        <v>11</v>
      </c>
      <c r="B24" s="504"/>
      <c r="C24" s="504"/>
      <c r="D24" s="504"/>
      <c r="E24" s="504"/>
      <c r="F24" s="427"/>
    </row>
    <row r="25" spans="1:7" ht="33" customHeight="1" x14ac:dyDescent="0.2">
      <c r="A25" s="189" t="s">
        <v>10</v>
      </c>
      <c r="B25" s="189" t="s">
        <v>5</v>
      </c>
      <c r="C25" s="189" t="s">
        <v>6</v>
      </c>
      <c r="D25" s="189" t="s">
        <v>7</v>
      </c>
      <c r="E25" s="189" t="s">
        <v>8</v>
      </c>
      <c r="F25" s="189" t="s">
        <v>9</v>
      </c>
    </row>
    <row r="26" spans="1:7" ht="22.5" customHeight="1" x14ac:dyDescent="0.2">
      <c r="A26" s="207"/>
      <c r="B26" s="210"/>
      <c r="C26" s="210"/>
      <c r="D26" s="210"/>
      <c r="E26" s="210"/>
      <c r="F26" s="207"/>
    </row>
    <row r="27" spans="1:7" ht="12.75" customHeight="1" x14ac:dyDescent="0.2">
      <c r="A27" s="207"/>
    </row>
    <row r="28" spans="1:7" ht="22.5" customHeight="1" x14ac:dyDescent="0.2">
      <c r="A28" s="426" t="s">
        <v>277</v>
      </c>
      <c r="B28" s="504"/>
      <c r="C28" s="504"/>
      <c r="D28" s="504"/>
      <c r="E28" s="504"/>
      <c r="F28" s="427"/>
    </row>
    <row r="29" spans="1:7" ht="22.5" customHeight="1" x14ac:dyDescent="0.2">
      <c r="A29" s="426" t="s">
        <v>12</v>
      </c>
      <c r="B29" s="504"/>
      <c r="C29" s="504"/>
      <c r="D29" s="504"/>
      <c r="E29" s="504"/>
      <c r="F29" s="427"/>
    </row>
    <row r="30" spans="1:7" ht="33" customHeight="1" x14ac:dyDescent="0.2">
      <c r="A30" s="189" t="s">
        <v>10</v>
      </c>
      <c r="B30" s="189" t="s">
        <v>5</v>
      </c>
      <c r="C30" s="189" t="s">
        <v>6</v>
      </c>
      <c r="D30" s="189" t="s">
        <v>7</v>
      </c>
      <c r="E30" s="189" t="s">
        <v>8</v>
      </c>
      <c r="F30" s="189" t="s">
        <v>9</v>
      </c>
    </row>
    <row r="31" spans="1:7" ht="22.5" customHeight="1" x14ac:dyDescent="0.2">
      <c r="A31" s="107"/>
      <c r="B31" s="193"/>
      <c r="C31" s="193"/>
      <c r="D31" s="193"/>
      <c r="E31" s="193"/>
      <c r="F31" s="211"/>
    </row>
    <row r="32" spans="1:7" x14ac:dyDescent="0.2">
      <c r="A32" s="212"/>
      <c r="B32" s="205"/>
      <c r="C32" s="205"/>
      <c r="D32" s="205"/>
      <c r="E32" s="205"/>
      <c r="F32" s="188"/>
    </row>
    <row r="33" spans="1:6" x14ac:dyDescent="0.2">
      <c r="A33" s="212"/>
      <c r="B33" s="205"/>
      <c r="C33" s="205"/>
      <c r="D33" s="205"/>
      <c r="E33" s="205"/>
      <c r="F33" s="188"/>
    </row>
  </sheetData>
  <mergeCells count="10">
    <mergeCell ref="A2:F2"/>
    <mergeCell ref="A23:F23"/>
    <mergeCell ref="A24:F24"/>
    <mergeCell ref="A28:F28"/>
    <mergeCell ref="A29:F29"/>
    <mergeCell ref="A3:E3"/>
    <mergeCell ref="A4:A5"/>
    <mergeCell ref="B10:E10"/>
    <mergeCell ref="A13:F13"/>
    <mergeCell ref="A14:F14"/>
  </mergeCells>
  <conditionalFormatting sqref="B6:E9">
    <cfRule type="cellIs" dxfId="11" priority="1" operator="equal">
      <formula>""</formula>
    </cfRule>
  </conditionalFormatting>
  <hyperlinks>
    <hyperlink ref="A1" location="Overview!A1" display="Back to Overview" xr:uid="{9C34B6C2-E72C-48C2-A5C4-5ED76B8BFCEE}"/>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C2490-C830-429D-932B-B37659E69048}">
  <sheetPr>
    <pageSetUpPr fitToPage="1"/>
  </sheetPr>
  <dimension ref="A1:I32"/>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5" t="s">
        <v>475</v>
      </c>
      <c r="B2" s="495"/>
      <c r="C2" s="495"/>
      <c r="D2" s="495"/>
      <c r="E2" s="495"/>
      <c r="F2" s="495"/>
    </row>
    <row r="3" spans="1:9" ht="47.25" customHeight="1" x14ac:dyDescent="0.2">
      <c r="A3" s="396" t="str">
        <f>Overview!B4&amp;" - Illustrative LLFs in SP Distribution Area (GSP Group _N) for year beginning "&amp;TEXT(Overview!$D$4,"d mmmm yyyy")&amp;""</f>
        <v>Leep Electricity Networks Limited - Illustrative LLFs in SP Distribution Area (GSP Group _N) for year beginning 1 April 2027</v>
      </c>
      <c r="B3" s="432"/>
      <c r="C3" s="432"/>
      <c r="D3" s="432"/>
      <c r="E3" s="433"/>
    </row>
    <row r="4" spans="1:9" ht="19.5" customHeight="1" x14ac:dyDescent="0.2">
      <c r="A4" s="510" t="s">
        <v>13</v>
      </c>
      <c r="B4" s="189" t="s">
        <v>5</v>
      </c>
      <c r="C4" s="189" t="s">
        <v>6</v>
      </c>
      <c r="D4" s="189" t="s">
        <v>7</v>
      </c>
      <c r="E4" s="189" t="s">
        <v>8</v>
      </c>
    </row>
    <row r="5" spans="1:9" ht="42.75" customHeight="1" x14ac:dyDescent="0.2">
      <c r="A5" s="511"/>
      <c r="B5" s="189" t="s">
        <v>2033</v>
      </c>
      <c r="C5" s="189" t="s">
        <v>2034</v>
      </c>
      <c r="D5" s="189" t="s">
        <v>2035</v>
      </c>
      <c r="E5" s="189" t="s">
        <v>2036</v>
      </c>
    </row>
    <row r="6" spans="1:9" ht="45" customHeight="1" x14ac:dyDescent="0.2">
      <c r="A6" s="306" t="s">
        <v>2056</v>
      </c>
      <c r="B6" s="334" t="s">
        <v>2057</v>
      </c>
      <c r="C6" s="334" t="s">
        <v>2058</v>
      </c>
      <c r="D6" s="334" t="s">
        <v>797</v>
      </c>
      <c r="E6" s="334" t="s">
        <v>797</v>
      </c>
    </row>
    <row r="7" spans="1:9" ht="45" customHeight="1" x14ac:dyDescent="0.2">
      <c r="A7" s="306" t="s">
        <v>811</v>
      </c>
      <c r="B7" s="334" t="s">
        <v>2057</v>
      </c>
      <c r="C7" s="334" t="s">
        <v>2059</v>
      </c>
      <c r="D7" s="334" t="s">
        <v>2060</v>
      </c>
      <c r="E7" s="334" t="s">
        <v>2041</v>
      </c>
    </row>
    <row r="8" spans="1:9" ht="45" customHeight="1" x14ac:dyDescent="0.2">
      <c r="A8" s="306" t="s">
        <v>798</v>
      </c>
      <c r="B8" s="334" t="s">
        <v>2057</v>
      </c>
      <c r="C8" s="334" t="s">
        <v>2058</v>
      </c>
      <c r="D8" s="334" t="s">
        <v>797</v>
      </c>
      <c r="E8" s="334" t="s">
        <v>797</v>
      </c>
    </row>
    <row r="9" spans="1:9" ht="25.5" customHeight="1" x14ac:dyDescent="0.2">
      <c r="A9" s="198" t="s">
        <v>14</v>
      </c>
      <c r="B9" s="515" t="s">
        <v>15</v>
      </c>
      <c r="C9" s="516"/>
      <c r="D9" s="516"/>
      <c r="E9" s="517"/>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26" t="s">
        <v>383</v>
      </c>
      <c r="B12" s="504"/>
      <c r="C12" s="504"/>
      <c r="D12" s="504"/>
      <c r="E12" s="504"/>
      <c r="F12" s="427"/>
    </row>
    <row r="13" spans="1:9" ht="22.5" customHeight="1" x14ac:dyDescent="0.2">
      <c r="A13" s="426" t="s">
        <v>4</v>
      </c>
      <c r="B13" s="504"/>
      <c r="C13" s="504"/>
      <c r="D13" s="504"/>
      <c r="E13" s="504"/>
      <c r="F13" s="427"/>
    </row>
    <row r="14" spans="1:9" ht="33" customHeight="1" x14ac:dyDescent="0.2">
      <c r="A14" s="189" t="s">
        <v>384</v>
      </c>
      <c r="B14" s="189" t="s">
        <v>5</v>
      </c>
      <c r="C14" s="189" t="s">
        <v>6</v>
      </c>
      <c r="D14" s="189" t="s">
        <v>7</v>
      </c>
      <c r="E14" s="189" t="s">
        <v>8</v>
      </c>
      <c r="F14" s="189" t="s">
        <v>9</v>
      </c>
    </row>
    <row r="15" spans="1:9" ht="127.5" x14ac:dyDescent="0.2">
      <c r="A15" s="202" t="s">
        <v>456</v>
      </c>
      <c r="B15" s="107"/>
      <c r="C15" s="107"/>
      <c r="D15" s="107"/>
      <c r="E15" s="107"/>
      <c r="F15" s="301" t="s">
        <v>2153</v>
      </c>
      <c r="G15" s="303">
        <v>1</v>
      </c>
    </row>
    <row r="16" spans="1:9" ht="25.5" x14ac:dyDescent="0.2">
      <c r="A16" s="202" t="s">
        <v>457</v>
      </c>
      <c r="B16" s="107"/>
      <c r="C16" s="107"/>
      <c r="D16" s="107"/>
      <c r="E16" s="107"/>
      <c r="F16" s="301" t="s">
        <v>2154</v>
      </c>
      <c r="G16" s="303">
        <v>2</v>
      </c>
    </row>
    <row r="17" spans="1:7" ht="38.25" x14ac:dyDescent="0.2">
      <c r="A17" s="202" t="s">
        <v>458</v>
      </c>
      <c r="B17" s="107"/>
      <c r="C17" s="107"/>
      <c r="D17" s="107"/>
      <c r="E17" s="107"/>
      <c r="F17" s="301" t="s">
        <v>2155</v>
      </c>
      <c r="G17" s="303">
        <v>3</v>
      </c>
    </row>
    <row r="18" spans="1:7" ht="22.5" customHeight="1" x14ac:dyDescent="0.2">
      <c r="A18" s="202" t="s">
        <v>459</v>
      </c>
      <c r="B18" s="107"/>
      <c r="C18" s="107"/>
      <c r="D18" s="107"/>
      <c r="E18" s="107"/>
      <c r="F18" s="301" t="s">
        <v>797</v>
      </c>
      <c r="G18" s="303">
        <v>4</v>
      </c>
    </row>
    <row r="19" spans="1:7" ht="22.5" customHeight="1" x14ac:dyDescent="0.2">
      <c r="A19" s="202" t="s">
        <v>447</v>
      </c>
      <c r="B19" s="107"/>
      <c r="C19" s="107"/>
      <c r="D19" s="107"/>
      <c r="E19" s="107"/>
      <c r="F19" s="301"/>
    </row>
    <row r="20" spans="1:7" ht="22.5" customHeight="1" x14ac:dyDescent="0.2">
      <c r="A20" s="202" t="s">
        <v>448</v>
      </c>
      <c r="B20" s="107"/>
      <c r="C20" s="107"/>
      <c r="D20" s="107"/>
      <c r="E20" s="107"/>
      <c r="F20" s="301"/>
    </row>
    <row r="21" spans="1:7" ht="22.5" customHeight="1" x14ac:dyDescent="0.2">
      <c r="A21" s="202" t="s">
        <v>462</v>
      </c>
      <c r="B21" s="300"/>
      <c r="C21" s="300"/>
      <c r="D21" s="300"/>
      <c r="E21" s="300"/>
      <c r="F21" s="250"/>
    </row>
    <row r="22" spans="1:7" ht="22.5" customHeight="1" x14ac:dyDescent="0.2">
      <c r="A22" s="202" t="s">
        <v>462</v>
      </c>
      <c r="B22" s="300"/>
      <c r="C22" s="300"/>
      <c r="D22" s="300"/>
      <c r="E22" s="300"/>
      <c r="F22" s="250"/>
    </row>
    <row r="23" spans="1:7" ht="12.75" customHeight="1" x14ac:dyDescent="0.2"/>
    <row r="24" spans="1:7" ht="22.5" customHeight="1" x14ac:dyDescent="0.2">
      <c r="A24" s="426" t="s">
        <v>277</v>
      </c>
      <c r="B24" s="504"/>
      <c r="C24" s="504"/>
      <c r="D24" s="504"/>
      <c r="E24" s="504"/>
      <c r="F24" s="427"/>
    </row>
    <row r="25" spans="1:7" ht="22.5" customHeight="1" x14ac:dyDescent="0.2">
      <c r="A25" s="426" t="s">
        <v>11</v>
      </c>
      <c r="B25" s="504"/>
      <c r="C25" s="504"/>
      <c r="D25" s="504"/>
      <c r="E25" s="504"/>
      <c r="F25" s="427"/>
    </row>
    <row r="26" spans="1:7" ht="33" customHeight="1" x14ac:dyDescent="0.2">
      <c r="A26" s="189" t="s">
        <v>10</v>
      </c>
      <c r="B26" s="189" t="s">
        <v>5</v>
      </c>
      <c r="C26" s="189" t="s">
        <v>6</v>
      </c>
      <c r="D26" s="189" t="s">
        <v>7</v>
      </c>
      <c r="E26" s="189" t="s">
        <v>8</v>
      </c>
      <c r="F26" s="189" t="s">
        <v>9</v>
      </c>
    </row>
    <row r="27" spans="1:7" ht="22.5" customHeight="1" x14ac:dyDescent="0.2">
      <c r="A27" s="203"/>
      <c r="B27" s="193"/>
      <c r="C27" s="193"/>
      <c r="D27" s="193"/>
      <c r="E27" s="193"/>
      <c r="F27" s="204"/>
    </row>
    <row r="28" spans="1:7" ht="12.75" customHeight="1" x14ac:dyDescent="0.2"/>
    <row r="29" spans="1:7" ht="22.5" customHeight="1" x14ac:dyDescent="0.2">
      <c r="A29" s="426" t="s">
        <v>277</v>
      </c>
      <c r="B29" s="504"/>
      <c r="C29" s="504"/>
      <c r="D29" s="504"/>
      <c r="E29" s="504"/>
      <c r="F29" s="427"/>
    </row>
    <row r="30" spans="1:7" ht="22.5" customHeight="1" x14ac:dyDescent="0.2">
      <c r="A30" s="426" t="s">
        <v>12</v>
      </c>
      <c r="B30" s="504"/>
      <c r="C30" s="504"/>
      <c r="D30" s="504"/>
      <c r="E30" s="504"/>
      <c r="F30" s="427"/>
    </row>
    <row r="31" spans="1:7" ht="33" customHeight="1" x14ac:dyDescent="0.2">
      <c r="A31" s="189" t="s">
        <v>10</v>
      </c>
      <c r="B31" s="189" t="s">
        <v>5</v>
      </c>
      <c r="C31" s="189" t="s">
        <v>6</v>
      </c>
      <c r="D31" s="189" t="s">
        <v>7</v>
      </c>
      <c r="E31" s="189" t="s">
        <v>8</v>
      </c>
      <c r="F31" s="189" t="s">
        <v>9</v>
      </c>
    </row>
    <row r="32" spans="1:7" ht="22.5" customHeight="1" x14ac:dyDescent="0.2">
      <c r="A32" s="203"/>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0" priority="1" operator="equal">
      <formula>""</formula>
    </cfRule>
  </conditionalFormatting>
  <hyperlinks>
    <hyperlink ref="A1" location="Overview!A1" display="Back to Overview" xr:uid="{73F404CC-3508-4FB1-8366-A46F0B2D190A}"/>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B646-61BB-4AA7-B16F-D5302D4F2E77}">
  <sheetPr>
    <pageSetUpPr fitToPage="1"/>
  </sheetPr>
  <dimension ref="A1:G31"/>
  <sheetViews>
    <sheetView zoomScale="70" zoomScaleNormal="70" workbookViewId="0"/>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495" t="s">
        <v>475</v>
      </c>
      <c r="B2" s="495"/>
      <c r="C2" s="495"/>
      <c r="D2" s="495"/>
      <c r="E2" s="495"/>
      <c r="F2" s="495"/>
    </row>
    <row r="3" spans="1:7" ht="47.25" customHeight="1" x14ac:dyDescent="0.2">
      <c r="A3" s="396" t="str">
        <f>Overview!B4&amp;" - Illustrative LLFs in SSE SHEPD Area (GSP Group_P) for year beginning "&amp;TEXT(Overview!$D$4,"d mmmm yyyy")&amp;""</f>
        <v>Leep Electricity Networks Limited - Illustrative LLFs in SSE SHEPD Area (GSP Group_P) for year beginning 1 April 2027</v>
      </c>
      <c r="B3" s="432"/>
      <c r="C3" s="432"/>
      <c r="D3" s="432"/>
      <c r="E3" s="433"/>
    </row>
    <row r="4" spans="1:7" ht="19.5" customHeight="1" x14ac:dyDescent="0.2">
      <c r="A4" s="510" t="s">
        <v>13</v>
      </c>
      <c r="B4" s="189" t="s">
        <v>5</v>
      </c>
      <c r="C4" s="189" t="s">
        <v>6</v>
      </c>
      <c r="D4" s="189" t="s">
        <v>7</v>
      </c>
      <c r="E4" s="189" t="s">
        <v>8</v>
      </c>
    </row>
    <row r="5" spans="1:7" ht="37.5" customHeight="1" x14ac:dyDescent="0.2">
      <c r="A5" s="511"/>
      <c r="B5" s="189" t="s">
        <v>2033</v>
      </c>
      <c r="C5" s="189" t="s">
        <v>2034</v>
      </c>
      <c r="D5" s="189" t="s">
        <v>2035</v>
      </c>
      <c r="E5" s="189" t="s">
        <v>2036</v>
      </c>
    </row>
    <row r="6" spans="1:7" ht="45" customHeight="1" x14ac:dyDescent="0.2">
      <c r="A6" s="198" t="s">
        <v>2114</v>
      </c>
      <c r="B6" s="334" t="s">
        <v>2115</v>
      </c>
      <c r="C6" s="334" t="s">
        <v>2115</v>
      </c>
      <c r="D6" s="334" t="s">
        <v>2115</v>
      </c>
      <c r="E6" s="334" t="s">
        <v>2115</v>
      </c>
    </row>
    <row r="7" spans="1:7" ht="45" customHeight="1" x14ac:dyDescent="0.2">
      <c r="A7" s="198" t="s">
        <v>2114</v>
      </c>
      <c r="B7" s="334" t="s">
        <v>2115</v>
      </c>
      <c r="C7" s="334" t="s">
        <v>2115</v>
      </c>
      <c r="D7" s="334" t="s">
        <v>2115</v>
      </c>
      <c r="E7" s="334" t="s">
        <v>2115</v>
      </c>
    </row>
    <row r="8" spans="1:7" ht="21.75" customHeight="1" x14ac:dyDescent="0.2">
      <c r="A8" s="170" t="s">
        <v>14</v>
      </c>
      <c r="B8" s="521" t="s">
        <v>15</v>
      </c>
      <c r="C8" s="521"/>
      <c r="D8" s="521"/>
      <c r="E8" s="521"/>
      <c r="F8" s="23" t="s">
        <v>385</v>
      </c>
    </row>
    <row r="9" spans="1:7" ht="12.75" customHeight="1" x14ac:dyDescent="0.2">
      <c r="A9" s="199"/>
      <c r="B9" s="200"/>
      <c r="C9" s="200"/>
      <c r="D9" s="200"/>
      <c r="E9" s="200"/>
    </row>
    <row r="10" spans="1:7" ht="12.75" customHeight="1" x14ac:dyDescent="0.2">
      <c r="B10" s="200"/>
      <c r="C10" s="200"/>
      <c r="D10" s="200"/>
      <c r="E10" s="200"/>
    </row>
    <row r="11" spans="1:7" ht="22.5" customHeight="1" x14ac:dyDescent="0.2">
      <c r="A11" s="426" t="s">
        <v>275</v>
      </c>
      <c r="B11" s="504"/>
      <c r="C11" s="504"/>
      <c r="D11" s="504"/>
      <c r="E11" s="504"/>
      <c r="F11" s="427"/>
    </row>
    <row r="12" spans="1:7" ht="22.5" customHeight="1" x14ac:dyDescent="0.2">
      <c r="A12" s="426" t="s">
        <v>4</v>
      </c>
      <c r="B12" s="504"/>
      <c r="C12" s="504"/>
      <c r="D12" s="504"/>
      <c r="E12" s="504"/>
      <c r="F12" s="427"/>
    </row>
    <row r="13" spans="1:7" ht="33" customHeight="1" x14ac:dyDescent="0.2">
      <c r="A13" s="189" t="s">
        <v>276</v>
      </c>
      <c r="B13" s="189" t="s">
        <v>5</v>
      </c>
      <c r="C13" s="189" t="s">
        <v>6</v>
      </c>
      <c r="D13" s="189" t="s">
        <v>7</v>
      </c>
      <c r="E13" s="189" t="s">
        <v>8</v>
      </c>
      <c r="F13" s="189" t="s">
        <v>9</v>
      </c>
    </row>
    <row r="14" spans="1:7" ht="89.25" x14ac:dyDescent="0.2">
      <c r="A14" s="202" t="s">
        <v>456</v>
      </c>
      <c r="B14" s="107"/>
      <c r="C14" s="107"/>
      <c r="D14" s="107"/>
      <c r="E14" s="107"/>
      <c r="F14" s="301" t="s">
        <v>2156</v>
      </c>
      <c r="G14" s="303">
        <v>1</v>
      </c>
    </row>
    <row r="15" spans="1:7" ht="25.5" x14ac:dyDescent="0.2">
      <c r="A15" s="202" t="s">
        <v>457</v>
      </c>
      <c r="B15" s="107"/>
      <c r="C15" s="107"/>
      <c r="D15" s="107"/>
      <c r="E15" s="107"/>
      <c r="F15" s="301" t="s">
        <v>2157</v>
      </c>
      <c r="G15" s="303">
        <v>2</v>
      </c>
    </row>
    <row r="16" spans="1:7" ht="25.5" x14ac:dyDescent="0.2">
      <c r="A16" s="202" t="s">
        <v>458</v>
      </c>
      <c r="B16" s="107"/>
      <c r="C16" s="107"/>
      <c r="D16" s="107"/>
      <c r="E16" s="107"/>
      <c r="F16" s="301" t="s">
        <v>2158</v>
      </c>
      <c r="G16" s="303">
        <v>3</v>
      </c>
    </row>
    <row r="17" spans="1:7" ht="22.5" customHeight="1" x14ac:dyDescent="0.2">
      <c r="A17" s="202" t="s">
        <v>459</v>
      </c>
      <c r="B17" s="107"/>
      <c r="C17" s="107"/>
      <c r="D17" s="107"/>
      <c r="E17" s="107"/>
      <c r="F17" s="301" t="s">
        <v>797</v>
      </c>
      <c r="G17" s="303">
        <v>4</v>
      </c>
    </row>
    <row r="18" spans="1:7" ht="30" customHeight="1" x14ac:dyDescent="0.2">
      <c r="A18" s="202" t="s">
        <v>460</v>
      </c>
      <c r="B18" s="107"/>
      <c r="C18" s="107"/>
      <c r="D18" s="107"/>
      <c r="E18" s="107"/>
      <c r="F18" s="301" t="s">
        <v>2159</v>
      </c>
      <c r="G18" s="303"/>
    </row>
    <row r="19" spans="1:7" ht="30" customHeight="1" x14ac:dyDescent="0.2">
      <c r="A19" s="202" t="s">
        <v>461</v>
      </c>
      <c r="B19" s="283"/>
      <c r="C19" s="283"/>
      <c r="D19" s="283"/>
      <c r="E19" s="283"/>
      <c r="F19" s="283"/>
    </row>
    <row r="20" spans="1:7" ht="12.75" customHeight="1" x14ac:dyDescent="0.2"/>
    <row r="21" spans="1:7" ht="22.5" customHeight="1" x14ac:dyDescent="0.2">
      <c r="A21" s="426" t="s">
        <v>277</v>
      </c>
      <c r="B21" s="504"/>
      <c r="C21" s="504"/>
      <c r="D21" s="504"/>
      <c r="E21" s="504"/>
      <c r="F21" s="427"/>
    </row>
    <row r="22" spans="1:7" ht="22.5" customHeight="1" x14ac:dyDescent="0.2">
      <c r="A22" s="426" t="s">
        <v>11</v>
      </c>
      <c r="B22" s="504"/>
      <c r="C22" s="504"/>
      <c r="D22" s="504"/>
      <c r="E22" s="504"/>
      <c r="F22" s="427"/>
    </row>
    <row r="23" spans="1:7" ht="33" customHeight="1" x14ac:dyDescent="0.2">
      <c r="A23" s="189" t="s">
        <v>10</v>
      </c>
      <c r="B23" s="189" t="s">
        <v>5</v>
      </c>
      <c r="C23" s="189" t="s">
        <v>6</v>
      </c>
      <c r="D23" s="189" t="s">
        <v>7</v>
      </c>
      <c r="E23" s="189" t="s">
        <v>8</v>
      </c>
      <c r="F23" s="189" t="s">
        <v>9</v>
      </c>
    </row>
    <row r="24" spans="1:7" ht="22.5" customHeight="1" x14ac:dyDescent="0.2">
      <c r="A24" s="207"/>
      <c r="B24" s="210"/>
      <c r="C24" s="210"/>
      <c r="D24" s="210"/>
      <c r="E24" s="210"/>
      <c r="F24" s="207"/>
    </row>
    <row r="25" spans="1:7" ht="12.75" customHeight="1" x14ac:dyDescent="0.2">
      <c r="A25" s="207"/>
    </row>
    <row r="26" spans="1:7" ht="22.5" customHeight="1" x14ac:dyDescent="0.2">
      <c r="A26" s="426" t="s">
        <v>277</v>
      </c>
      <c r="B26" s="504"/>
      <c r="C26" s="504"/>
      <c r="D26" s="504"/>
      <c r="E26" s="504"/>
      <c r="F26" s="427"/>
    </row>
    <row r="27" spans="1:7" ht="22.5" customHeight="1" x14ac:dyDescent="0.2">
      <c r="A27" s="426" t="s">
        <v>12</v>
      </c>
      <c r="B27" s="504"/>
      <c r="C27" s="504"/>
      <c r="D27" s="504"/>
      <c r="E27" s="504"/>
      <c r="F27" s="427"/>
    </row>
    <row r="28" spans="1:7" ht="33" customHeight="1" x14ac:dyDescent="0.2">
      <c r="A28" s="189" t="s">
        <v>10</v>
      </c>
      <c r="B28" s="189" t="s">
        <v>5</v>
      </c>
      <c r="C28" s="189" t="s">
        <v>6</v>
      </c>
      <c r="D28" s="189" t="s">
        <v>7</v>
      </c>
      <c r="E28" s="189" t="s">
        <v>8</v>
      </c>
      <c r="F28" s="189" t="s">
        <v>9</v>
      </c>
    </row>
    <row r="29" spans="1:7" ht="22.5" customHeight="1" x14ac:dyDescent="0.2">
      <c r="A29" s="107"/>
      <c r="B29" s="193"/>
      <c r="C29" s="193"/>
      <c r="D29" s="193"/>
      <c r="E29" s="193"/>
      <c r="F29" s="211"/>
    </row>
    <row r="30" spans="1:7" x14ac:dyDescent="0.2">
      <c r="A30" s="212"/>
      <c r="B30" s="205"/>
      <c r="C30" s="205"/>
      <c r="D30" s="205"/>
      <c r="E30" s="205"/>
      <c r="F30" s="188"/>
    </row>
    <row r="31" spans="1:7" x14ac:dyDescent="0.2">
      <c r="A31" s="212"/>
      <c r="B31" s="205"/>
      <c r="C31" s="205"/>
      <c r="D31" s="205"/>
      <c r="E31" s="205"/>
      <c r="F31" s="188"/>
    </row>
  </sheetData>
  <mergeCells count="10">
    <mergeCell ref="A2:F2"/>
    <mergeCell ref="A21:F21"/>
    <mergeCell ref="A22:F22"/>
    <mergeCell ref="A26:F26"/>
    <mergeCell ref="A27:F27"/>
    <mergeCell ref="A3:E3"/>
    <mergeCell ref="A4:A5"/>
    <mergeCell ref="B8:E8"/>
    <mergeCell ref="A11:F11"/>
    <mergeCell ref="A12:F12"/>
  </mergeCells>
  <conditionalFormatting sqref="B6:E7">
    <cfRule type="cellIs" dxfId="9" priority="1" operator="equal">
      <formula>""</formula>
    </cfRule>
  </conditionalFormatting>
  <hyperlinks>
    <hyperlink ref="A1" location="Overview!A1" display="Back to Overview" xr:uid="{B19ACF07-F2B6-4B13-99C4-614AF473A113}"/>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P128"/>
  <sheetViews>
    <sheetView zoomScale="80" zoomScaleNormal="80" workbookViewId="0"/>
  </sheetViews>
  <sheetFormatPr defaultColWidth="9.140625" defaultRowHeight="27.75" customHeight="1" x14ac:dyDescent="0.2"/>
  <cols>
    <col min="1" max="1" width="16" style="1" bestFit="1" customWidth="1"/>
    <col min="2" max="2" width="20.7109375" style="1" customWidth="1"/>
    <col min="3" max="3" width="22.28515625" style="2" customWidth="1"/>
    <col min="4" max="4" width="20.7109375" style="1" customWidth="1"/>
    <col min="5" max="5" width="21.5703125" style="2" customWidth="1"/>
    <col min="6" max="7" width="15.7109375" style="2" customWidth="1"/>
    <col min="8" max="8" width="15.7109375" style="7" customWidth="1"/>
    <col min="9" max="10" width="15.7109375" style="3" customWidth="1"/>
    <col min="11" max="12" width="15.7109375" style="1" customWidth="1"/>
    <col min="13" max="13" width="16.5703125" style="1" customWidth="1"/>
    <col min="14" max="15" width="15.5703125" style="1" customWidth="1"/>
    <col min="16" max="16" width="14.85546875" style="1" customWidth="1"/>
    <col min="17" max="16384" width="9.140625" style="1"/>
  </cols>
  <sheetData>
    <row r="1" spans="1:16" ht="56.25" customHeight="1" x14ac:dyDescent="0.2">
      <c r="A1" s="31" t="s">
        <v>19</v>
      </c>
      <c r="B1" s="31"/>
      <c r="D1" s="14"/>
      <c r="E1" s="243"/>
      <c r="F1" s="243"/>
    </row>
    <row r="2" spans="1:16" ht="27.75" customHeight="1" x14ac:dyDescent="0.2">
      <c r="A2" s="523" t="s">
        <v>397</v>
      </c>
      <c r="B2" s="523"/>
      <c r="C2" s="523"/>
      <c r="D2" s="523"/>
      <c r="E2" s="523"/>
      <c r="F2" s="523"/>
      <c r="G2" s="523"/>
      <c r="H2" s="523"/>
      <c r="I2" s="523"/>
      <c r="J2" s="523"/>
      <c r="K2" s="523"/>
      <c r="L2" s="523"/>
      <c r="M2" s="523"/>
      <c r="N2" s="523"/>
      <c r="O2" s="523"/>
      <c r="P2" s="523"/>
    </row>
    <row r="3" spans="1:16" ht="17.25" customHeight="1" x14ac:dyDescent="0.2">
      <c r="A3" s="31"/>
      <c r="B3" s="31"/>
      <c r="D3" s="14"/>
    </row>
    <row r="4" spans="1:16" s="8" customFormat="1" ht="39.950000000000003" customHeight="1" x14ac:dyDescent="0.2">
      <c r="A4" s="384" t="str">
        <f>Overview!B4&amp;" - Effective from "&amp;TEXT(Overview!$D$4,"d mmmm yyyy")&amp;" - Final new or amended EHV charges in UKPN EPN Area (GSP Group_A)"</f>
        <v>Leep Electricity Networks Limited - Effective from 1 April 2027 - Final new or amended EHV charges in UKPN EPN Area (GSP Group_A)</v>
      </c>
      <c r="B4" s="384"/>
      <c r="C4" s="384"/>
      <c r="D4" s="384"/>
      <c r="E4" s="384"/>
      <c r="F4" s="384"/>
      <c r="G4" s="384"/>
      <c r="H4" s="384"/>
      <c r="I4" s="384"/>
      <c r="J4" s="384"/>
      <c r="K4" s="384"/>
      <c r="L4" s="384"/>
      <c r="M4" s="384"/>
      <c r="N4" s="384"/>
      <c r="O4" s="213"/>
    </row>
    <row r="5" spans="1:16" ht="65.099999999999994" customHeight="1" x14ac:dyDescent="0.2">
      <c r="A5" s="19" t="s">
        <v>400</v>
      </c>
      <c r="B5" s="19" t="s">
        <v>376</v>
      </c>
      <c r="C5" s="19" t="s">
        <v>268</v>
      </c>
      <c r="D5" s="19" t="s">
        <v>377</v>
      </c>
      <c r="E5" s="19" t="s">
        <v>269</v>
      </c>
      <c r="F5" s="214" t="s">
        <v>29</v>
      </c>
      <c r="G5" s="128" t="s">
        <v>350</v>
      </c>
      <c r="H5" s="127" t="s">
        <v>279</v>
      </c>
      <c r="I5" s="127" t="s">
        <v>348</v>
      </c>
      <c r="J5" s="127" t="s">
        <v>361</v>
      </c>
      <c r="K5" s="127" t="s">
        <v>351</v>
      </c>
      <c r="L5" s="127" t="s">
        <v>280</v>
      </c>
      <c r="M5" s="127" t="s">
        <v>349</v>
      </c>
      <c r="N5" s="127" t="s">
        <v>362</v>
      </c>
      <c r="O5" s="213"/>
      <c r="P5" s="213"/>
    </row>
    <row r="6" spans="1:16" ht="22.5" customHeight="1" x14ac:dyDescent="0.2">
      <c r="A6" s="215"/>
      <c r="B6" s="215"/>
      <c r="C6" s="215"/>
      <c r="D6" s="215"/>
      <c r="E6" s="216"/>
      <c r="F6" s="217"/>
      <c r="G6" s="218"/>
      <c r="H6" s="219"/>
      <c r="I6" s="219"/>
      <c r="J6" s="219"/>
      <c r="K6" s="220"/>
      <c r="L6" s="221"/>
      <c r="M6" s="221"/>
      <c r="N6" s="221"/>
      <c r="O6" s="213"/>
    </row>
    <row r="7" spans="1:16" ht="22.5" customHeight="1" x14ac:dyDescent="0.2">
      <c r="A7" s="213"/>
      <c r="B7" s="213"/>
      <c r="C7" s="213"/>
      <c r="D7" s="222"/>
      <c r="E7" s="222"/>
      <c r="F7" s="222"/>
      <c r="G7" s="222"/>
      <c r="H7" s="223"/>
      <c r="I7" s="224"/>
      <c r="J7" s="224"/>
      <c r="K7" s="213"/>
      <c r="L7" s="213"/>
      <c r="M7" s="213"/>
      <c r="N7" s="213"/>
      <c r="O7" s="213"/>
    </row>
    <row r="8" spans="1:16" ht="39.950000000000003" customHeight="1" x14ac:dyDescent="0.2">
      <c r="A8" s="384" t="str">
        <f>Overview!B4&amp;" - Effective from "&amp;TEXT(Overview!$D$4,"d mmmm yyyy")&amp;" - Final new or amended EHV line loss factors in UKPN EPN Area (GSP Group_A)"</f>
        <v>Leep Electricity Networks Limited - Effective from 1 April 2027 - Final new or amended EHV line loss factors in UKPN EPN Area (GSP Group_A)</v>
      </c>
      <c r="B8" s="384"/>
      <c r="C8" s="384"/>
      <c r="D8" s="384"/>
      <c r="E8" s="384"/>
      <c r="F8" s="384"/>
      <c r="G8" s="384"/>
      <c r="H8" s="384"/>
      <c r="I8" s="384"/>
      <c r="J8" s="384"/>
      <c r="K8" s="384"/>
      <c r="L8" s="384"/>
      <c r="M8" s="384"/>
      <c r="N8" s="384"/>
      <c r="O8" s="384"/>
      <c r="P8" s="384"/>
    </row>
    <row r="9" spans="1:16" ht="65.099999999999994" customHeight="1" x14ac:dyDescent="0.2">
      <c r="A9" s="19" t="s">
        <v>400</v>
      </c>
      <c r="B9" s="19" t="s">
        <v>376</v>
      </c>
      <c r="C9" s="19" t="s">
        <v>268</v>
      </c>
      <c r="D9" s="19" t="s">
        <v>377</v>
      </c>
      <c r="E9" s="19" t="s">
        <v>269</v>
      </c>
      <c r="F9" s="214" t="s">
        <v>29</v>
      </c>
      <c r="G9" s="225" t="s">
        <v>386</v>
      </c>
      <c r="H9" s="225" t="s">
        <v>387</v>
      </c>
      <c r="I9" s="225" t="s">
        <v>388</v>
      </c>
      <c r="J9" s="225" t="s">
        <v>389</v>
      </c>
      <c r="K9" s="225" t="s">
        <v>390</v>
      </c>
      <c r="L9" s="226" t="s">
        <v>391</v>
      </c>
      <c r="M9" s="226" t="s">
        <v>392</v>
      </c>
      <c r="N9" s="226" t="s">
        <v>393</v>
      </c>
      <c r="O9" s="226" t="s">
        <v>394</v>
      </c>
      <c r="P9" s="226" t="s">
        <v>395</v>
      </c>
    </row>
    <row r="10" spans="1:16" ht="22.5" customHeight="1" x14ac:dyDescent="0.2">
      <c r="A10" s="215"/>
      <c r="B10" s="215"/>
      <c r="C10" s="215"/>
      <c r="D10" s="215"/>
      <c r="E10" s="216"/>
      <c r="F10" s="227"/>
      <c r="G10" s="228"/>
      <c r="H10" s="228"/>
      <c r="I10" s="229"/>
      <c r="J10" s="230"/>
      <c r="K10" s="230"/>
      <c r="L10" s="231"/>
      <c r="M10" s="231"/>
      <c r="N10" s="231"/>
      <c r="O10" s="231"/>
      <c r="P10" s="231"/>
    </row>
    <row r="11" spans="1:16" ht="22.5" customHeight="1" thickBot="1" x14ac:dyDescent="0.25">
      <c r="A11" s="232"/>
      <c r="B11" s="232"/>
      <c r="C11" s="232"/>
      <c r="D11" s="233"/>
      <c r="E11" s="233"/>
      <c r="F11" s="233"/>
      <c r="G11" s="233"/>
      <c r="H11" s="234"/>
      <c r="I11" s="235"/>
      <c r="J11" s="235"/>
      <c r="K11" s="232"/>
      <c r="L11" s="232"/>
      <c r="M11" s="232"/>
      <c r="N11" s="232"/>
      <c r="O11" s="232"/>
      <c r="P11" s="232"/>
    </row>
    <row r="12" spans="1:16" ht="22.5" customHeight="1" x14ac:dyDescent="0.2">
      <c r="A12" s="213"/>
      <c r="B12" s="213"/>
      <c r="C12" s="213"/>
      <c r="D12" s="222"/>
      <c r="E12" s="222"/>
      <c r="F12" s="222"/>
      <c r="G12" s="222"/>
      <c r="H12" s="223"/>
      <c r="I12" s="224"/>
      <c r="J12" s="224"/>
      <c r="K12" s="213"/>
      <c r="L12" s="213"/>
      <c r="M12" s="213"/>
      <c r="N12" s="213"/>
      <c r="O12" s="213"/>
    </row>
    <row r="13" spans="1:16" ht="39.950000000000003" customHeight="1" x14ac:dyDescent="0.2">
      <c r="A13" s="522" t="str">
        <f>Overview!B4&amp;" - Effective from "&amp;TEXT(Overview!$D$4,"d mmmm yyyy")&amp;" - Final new or amended EHV charges in WPD EM Area (GSP Group_B)"</f>
        <v>Leep Electricity Networks Limited - Effective from 1 April 2027 - Final new or amended EHV charges in WPD EM Area (GSP Group_B)</v>
      </c>
      <c r="B13" s="522"/>
      <c r="C13" s="522"/>
      <c r="D13" s="522"/>
      <c r="E13" s="522"/>
      <c r="F13" s="522"/>
      <c r="G13" s="522"/>
      <c r="H13" s="522"/>
      <c r="I13" s="522"/>
      <c r="J13" s="522"/>
      <c r="K13" s="522"/>
      <c r="L13" s="522"/>
      <c r="M13" s="522"/>
      <c r="N13" s="522"/>
      <c r="O13" s="213"/>
    </row>
    <row r="14" spans="1:16" ht="65.099999999999994" customHeight="1" x14ac:dyDescent="0.2">
      <c r="A14" s="19" t="s">
        <v>400</v>
      </c>
      <c r="B14" s="19" t="s">
        <v>376</v>
      </c>
      <c r="C14" s="19" t="s">
        <v>268</v>
      </c>
      <c r="D14" s="19" t="s">
        <v>377</v>
      </c>
      <c r="E14" s="19" t="s">
        <v>269</v>
      </c>
      <c r="F14" s="214" t="s">
        <v>29</v>
      </c>
      <c r="G14" s="128" t="s">
        <v>350</v>
      </c>
      <c r="H14" s="127" t="s">
        <v>279</v>
      </c>
      <c r="I14" s="127" t="s">
        <v>348</v>
      </c>
      <c r="J14" s="127" t="s">
        <v>361</v>
      </c>
      <c r="K14" s="127" t="s">
        <v>351</v>
      </c>
      <c r="L14" s="127" t="s">
        <v>280</v>
      </c>
      <c r="M14" s="127" t="s">
        <v>349</v>
      </c>
      <c r="N14" s="127" t="s">
        <v>362</v>
      </c>
      <c r="O14" s="213"/>
      <c r="P14" s="213"/>
    </row>
    <row r="15" spans="1:16" ht="22.5" customHeight="1" x14ac:dyDescent="0.2">
      <c r="A15" s="215"/>
      <c r="B15" s="215"/>
      <c r="C15" s="215"/>
      <c r="D15" s="215"/>
      <c r="E15" s="216"/>
      <c r="F15" s="217"/>
      <c r="G15" s="218"/>
      <c r="H15" s="219"/>
      <c r="I15" s="219"/>
      <c r="J15" s="219"/>
      <c r="K15" s="220"/>
      <c r="L15" s="221"/>
      <c r="M15" s="221"/>
      <c r="N15" s="221"/>
      <c r="O15" s="213"/>
      <c r="P15" s="213"/>
    </row>
    <row r="16" spans="1:16" ht="27.75" customHeight="1" x14ac:dyDescent="0.2">
      <c r="A16" s="213"/>
      <c r="B16" s="213"/>
      <c r="C16" s="213"/>
      <c r="D16" s="222"/>
      <c r="E16" s="222"/>
      <c r="F16" s="222"/>
      <c r="G16" s="222"/>
      <c r="H16" s="223"/>
      <c r="I16" s="224"/>
      <c r="J16" s="224"/>
      <c r="K16" s="213"/>
      <c r="L16" s="213"/>
      <c r="M16" s="213"/>
      <c r="N16" s="213"/>
      <c r="O16" s="213"/>
    </row>
    <row r="17" spans="1:16" ht="39.950000000000003" customHeight="1" x14ac:dyDescent="0.2">
      <c r="A17" s="384" t="str">
        <f>Overview!B4&amp;" - Effective from "&amp;TEXT(Overview!$D$4,"d mmmm yyyy")&amp;" - Final new or amended EHV line loss factors in WPD EM Area (GSP Group_B)"</f>
        <v>Leep Electricity Networks Limited - Effective from 1 April 2027 - Final new or amended EHV line loss factors in WPD EM Area (GSP Group_B)</v>
      </c>
      <c r="B17" s="384"/>
      <c r="C17" s="384"/>
      <c r="D17" s="384"/>
      <c r="E17" s="384"/>
      <c r="F17" s="384"/>
      <c r="G17" s="384"/>
      <c r="H17" s="384"/>
      <c r="I17" s="384"/>
      <c r="J17" s="384"/>
      <c r="K17" s="384"/>
      <c r="L17" s="384"/>
      <c r="M17" s="384"/>
      <c r="N17" s="384"/>
      <c r="O17" s="213"/>
    </row>
    <row r="18" spans="1:16" ht="65.099999999999994" customHeight="1" x14ac:dyDescent="0.2">
      <c r="A18" s="19" t="s">
        <v>400</v>
      </c>
      <c r="B18" s="19" t="s">
        <v>376</v>
      </c>
      <c r="C18" s="19" t="s">
        <v>268</v>
      </c>
      <c r="D18" s="19" t="s">
        <v>377</v>
      </c>
      <c r="E18" s="19" t="s">
        <v>269</v>
      </c>
      <c r="F18" s="214" t="s">
        <v>29</v>
      </c>
      <c r="G18" s="225" t="s">
        <v>386</v>
      </c>
      <c r="H18" s="225" t="s">
        <v>387</v>
      </c>
      <c r="I18" s="225" t="s">
        <v>388</v>
      </c>
      <c r="J18" s="225" t="s">
        <v>389</v>
      </c>
      <c r="K18" s="226" t="s">
        <v>391</v>
      </c>
      <c r="L18" s="226" t="s">
        <v>392</v>
      </c>
      <c r="M18" s="226" t="s">
        <v>393</v>
      </c>
      <c r="N18" s="226" t="s">
        <v>394</v>
      </c>
    </row>
    <row r="19" spans="1:16" ht="22.5" customHeight="1" x14ac:dyDescent="0.2">
      <c r="A19" s="215"/>
      <c r="B19" s="215"/>
      <c r="C19" s="215"/>
      <c r="D19" s="215"/>
      <c r="E19" s="216"/>
      <c r="F19" s="227"/>
      <c r="G19" s="228"/>
      <c r="H19" s="228"/>
      <c r="I19" s="229"/>
      <c r="J19" s="230"/>
      <c r="K19" s="231"/>
      <c r="L19" s="231"/>
      <c r="M19" s="231"/>
      <c r="N19" s="231"/>
    </row>
    <row r="20" spans="1:16" ht="22.5" customHeight="1" thickBot="1" x14ac:dyDescent="0.25">
      <c r="A20" s="232"/>
      <c r="B20" s="232"/>
      <c r="C20" s="232"/>
      <c r="D20" s="233"/>
      <c r="E20" s="233"/>
      <c r="F20" s="233"/>
      <c r="G20" s="233"/>
      <c r="H20" s="234"/>
      <c r="I20" s="235"/>
      <c r="J20" s="235"/>
      <c r="K20" s="232"/>
      <c r="L20" s="232"/>
      <c r="M20" s="232"/>
      <c r="N20" s="236"/>
      <c r="O20" s="236"/>
      <c r="P20" s="236"/>
    </row>
    <row r="21" spans="1:16" ht="22.5" customHeight="1" x14ac:dyDescent="0.2">
      <c r="A21" s="213"/>
      <c r="B21" s="213"/>
      <c r="C21" s="213"/>
      <c r="D21" s="222"/>
      <c r="E21" s="222"/>
      <c r="F21" s="222"/>
      <c r="G21" s="222"/>
      <c r="H21" s="223"/>
      <c r="I21" s="224"/>
      <c r="J21" s="224"/>
      <c r="K21" s="213"/>
      <c r="L21" s="213"/>
      <c r="M21" s="213"/>
      <c r="N21" s="213"/>
      <c r="O21" s="213"/>
    </row>
    <row r="22" spans="1:16" ht="39.950000000000003" customHeight="1" x14ac:dyDescent="0.2">
      <c r="A22" s="384" t="str">
        <f>Overview!B4&amp;" - Effective from "&amp;TEXT(Overview!$D$4,"d mmmm yyyy")&amp;" - Final new or amended EHV charges in UKPN LPN Area (GSP Group_C)"</f>
        <v>Leep Electricity Networks Limited - Effective from 1 April 2027 - Final new or amended EHV charges in UKPN LPN Area (GSP Group_C)</v>
      </c>
      <c r="B22" s="384"/>
      <c r="C22" s="384"/>
      <c r="D22" s="384"/>
      <c r="E22" s="384"/>
      <c r="F22" s="384"/>
      <c r="G22" s="384"/>
      <c r="H22" s="384"/>
      <c r="I22" s="384"/>
      <c r="J22" s="384"/>
      <c r="K22" s="384"/>
      <c r="L22" s="384"/>
      <c r="M22" s="384"/>
      <c r="N22" s="384"/>
      <c r="O22" s="213"/>
    </row>
    <row r="23" spans="1:16" ht="65.099999999999994" customHeight="1" x14ac:dyDescent="0.2">
      <c r="A23" s="19" t="s">
        <v>400</v>
      </c>
      <c r="B23" s="19" t="s">
        <v>376</v>
      </c>
      <c r="C23" s="19" t="s">
        <v>268</v>
      </c>
      <c r="D23" s="19" t="s">
        <v>377</v>
      </c>
      <c r="E23" s="19" t="s">
        <v>269</v>
      </c>
      <c r="F23" s="214" t="s">
        <v>29</v>
      </c>
      <c r="G23" s="128" t="s">
        <v>350</v>
      </c>
      <c r="H23" s="127" t="s">
        <v>279</v>
      </c>
      <c r="I23" s="127" t="s">
        <v>348</v>
      </c>
      <c r="J23" s="127" t="s">
        <v>361</v>
      </c>
      <c r="K23" s="127" t="s">
        <v>351</v>
      </c>
      <c r="L23" s="127" t="s">
        <v>280</v>
      </c>
      <c r="M23" s="127" t="s">
        <v>349</v>
      </c>
      <c r="N23" s="127" t="s">
        <v>362</v>
      </c>
      <c r="O23" s="213"/>
      <c r="P23" s="213"/>
    </row>
    <row r="24" spans="1:16" ht="22.5" customHeight="1" x14ac:dyDescent="0.2">
      <c r="A24" s="215"/>
      <c r="B24" s="215"/>
      <c r="C24" s="215"/>
      <c r="D24" s="215"/>
      <c r="E24" s="216"/>
      <c r="F24" s="217"/>
      <c r="G24" s="218"/>
      <c r="H24" s="219"/>
      <c r="I24" s="219"/>
      <c r="J24" s="219"/>
      <c r="K24" s="220"/>
      <c r="L24" s="221"/>
      <c r="M24" s="221"/>
      <c r="N24" s="221"/>
      <c r="O24" s="213"/>
      <c r="P24" s="213"/>
    </row>
    <row r="25" spans="1:16" ht="22.5" customHeight="1" x14ac:dyDescent="0.2">
      <c r="A25" s="213"/>
      <c r="B25" s="213"/>
      <c r="C25" s="213"/>
      <c r="D25" s="222"/>
      <c r="E25" s="222"/>
      <c r="F25" s="222"/>
      <c r="G25" s="222"/>
      <c r="H25" s="223"/>
      <c r="I25" s="224"/>
      <c r="J25" s="224"/>
      <c r="K25" s="213"/>
      <c r="L25" s="213"/>
      <c r="M25" s="213"/>
      <c r="N25" s="213"/>
      <c r="O25" s="213"/>
    </row>
    <row r="26" spans="1:16" ht="39.950000000000003" customHeight="1" x14ac:dyDescent="0.2">
      <c r="A26" s="384" t="str">
        <f>Overview!B4&amp;" - Effective from "&amp;TEXT(Overview!$D$4,"d mmmm yyyy")&amp;" - Final new or amended EHV line loss factors in UKPN LPN Area (GSP Group_C)"</f>
        <v>Leep Electricity Networks Limited - Effective from 1 April 2027 - Final new or amended EHV line loss factors in UKPN LPN Area (GSP Group_C)</v>
      </c>
      <c r="B26" s="384"/>
      <c r="C26" s="384"/>
      <c r="D26" s="384"/>
      <c r="E26" s="384"/>
      <c r="F26" s="384"/>
      <c r="G26" s="384"/>
      <c r="H26" s="384"/>
      <c r="I26" s="384"/>
      <c r="J26" s="384"/>
      <c r="K26" s="384"/>
      <c r="L26" s="384"/>
      <c r="M26" s="384"/>
      <c r="N26" s="384"/>
      <c r="O26" s="384"/>
      <c r="P26" s="384"/>
    </row>
    <row r="27" spans="1:16" ht="65.099999999999994" customHeight="1" x14ac:dyDescent="0.2">
      <c r="A27" s="19" t="s">
        <v>400</v>
      </c>
      <c r="B27" s="19" t="s">
        <v>376</v>
      </c>
      <c r="C27" s="19" t="s">
        <v>268</v>
      </c>
      <c r="D27" s="19" t="s">
        <v>377</v>
      </c>
      <c r="E27" s="19" t="s">
        <v>269</v>
      </c>
      <c r="F27" s="214" t="s">
        <v>29</v>
      </c>
      <c r="G27" s="225" t="s">
        <v>386</v>
      </c>
      <c r="H27" s="225" t="s">
        <v>387</v>
      </c>
      <c r="I27" s="225" t="s">
        <v>388</v>
      </c>
      <c r="J27" s="225" t="s">
        <v>389</v>
      </c>
      <c r="K27" s="225" t="s">
        <v>390</v>
      </c>
      <c r="L27" s="226" t="s">
        <v>391</v>
      </c>
      <c r="M27" s="226" t="s">
        <v>392</v>
      </c>
      <c r="N27" s="226" t="s">
        <v>393</v>
      </c>
      <c r="O27" s="226" t="s">
        <v>394</v>
      </c>
      <c r="P27" s="226" t="s">
        <v>395</v>
      </c>
    </row>
    <row r="28" spans="1:16" ht="22.5" customHeight="1" x14ac:dyDescent="0.2">
      <c r="A28" s="215"/>
      <c r="B28" s="215"/>
      <c r="C28" s="215"/>
      <c r="D28" s="215"/>
      <c r="E28" s="216"/>
      <c r="F28" s="227"/>
      <c r="G28" s="228"/>
      <c r="H28" s="228"/>
      <c r="I28" s="229"/>
      <c r="J28" s="230"/>
      <c r="K28" s="230"/>
      <c r="L28" s="231"/>
      <c r="M28" s="231"/>
      <c r="N28" s="231"/>
      <c r="O28" s="231"/>
      <c r="P28" s="231"/>
    </row>
    <row r="29" spans="1:16" ht="27.75" customHeight="1" thickBot="1" x14ac:dyDescent="0.25">
      <c r="A29" s="232"/>
      <c r="B29" s="232"/>
      <c r="C29" s="232"/>
      <c r="D29" s="233"/>
      <c r="E29" s="233"/>
      <c r="F29" s="233"/>
      <c r="G29" s="233"/>
      <c r="H29" s="234"/>
      <c r="I29" s="235"/>
      <c r="J29" s="235"/>
      <c r="K29" s="232"/>
      <c r="L29" s="232"/>
      <c r="M29" s="232"/>
      <c r="N29" s="232"/>
      <c r="O29" s="232"/>
      <c r="P29" s="232"/>
    </row>
    <row r="30" spans="1:16" ht="27.75" customHeight="1" x14ac:dyDescent="0.2">
      <c r="A30" s="213"/>
      <c r="B30" s="213"/>
      <c r="C30" s="213"/>
      <c r="D30" s="222"/>
      <c r="E30" s="222"/>
      <c r="F30" s="222"/>
      <c r="G30" s="222"/>
      <c r="H30" s="223"/>
      <c r="I30" s="224"/>
      <c r="J30" s="224"/>
      <c r="K30" s="213"/>
      <c r="L30" s="213"/>
      <c r="M30" s="213"/>
      <c r="N30" s="213"/>
      <c r="O30" s="213"/>
    </row>
    <row r="31" spans="1:16" ht="39.950000000000003" customHeight="1" x14ac:dyDescent="0.2">
      <c r="A31" s="384" t="str">
        <f>Overview!B4&amp;" - Effective from "&amp;TEXT(Overview!$D$4,"d mmmm yyyy")&amp;" - Final new or amended EHV charges in SP Manweb Area (GSP Group_D)"</f>
        <v>Leep Electricity Networks Limited - Effective from 1 April 2027 - Final new or amended EHV charges in SP Manweb Area (GSP Group_D)</v>
      </c>
      <c r="B31" s="384"/>
      <c r="C31" s="384"/>
      <c r="D31" s="384"/>
      <c r="E31" s="384"/>
      <c r="F31" s="384"/>
      <c r="G31" s="384"/>
      <c r="H31" s="384"/>
      <c r="I31" s="384"/>
      <c r="J31" s="384"/>
      <c r="K31" s="384"/>
      <c r="L31" s="384"/>
      <c r="M31" s="384"/>
      <c r="N31" s="384"/>
      <c r="O31" s="213"/>
    </row>
    <row r="32" spans="1:16" ht="65.099999999999994" customHeight="1" x14ac:dyDescent="0.2">
      <c r="A32" s="19" t="s">
        <v>400</v>
      </c>
      <c r="B32" s="19" t="s">
        <v>376</v>
      </c>
      <c r="C32" s="19" t="s">
        <v>268</v>
      </c>
      <c r="D32" s="19" t="s">
        <v>377</v>
      </c>
      <c r="E32" s="19" t="s">
        <v>269</v>
      </c>
      <c r="F32" s="214" t="s">
        <v>29</v>
      </c>
      <c r="G32" s="128" t="s">
        <v>350</v>
      </c>
      <c r="H32" s="127" t="s">
        <v>279</v>
      </c>
      <c r="I32" s="127" t="s">
        <v>348</v>
      </c>
      <c r="J32" s="127" t="s">
        <v>361</v>
      </c>
      <c r="K32" s="127" t="s">
        <v>351</v>
      </c>
      <c r="L32" s="127" t="s">
        <v>280</v>
      </c>
      <c r="M32" s="127" t="s">
        <v>349</v>
      </c>
      <c r="N32" s="127" t="s">
        <v>362</v>
      </c>
      <c r="O32" s="213"/>
      <c r="P32" s="213"/>
    </row>
    <row r="33" spans="1:16" ht="22.5" customHeight="1" x14ac:dyDescent="0.2">
      <c r="A33" s="215"/>
      <c r="B33" s="215"/>
      <c r="C33" s="215"/>
      <c r="D33" s="215"/>
      <c r="E33" s="216"/>
      <c r="F33" s="217"/>
      <c r="G33" s="218"/>
      <c r="H33" s="219"/>
      <c r="I33" s="219"/>
      <c r="J33" s="219"/>
      <c r="K33" s="220"/>
      <c r="L33" s="221"/>
      <c r="M33" s="221"/>
      <c r="N33" s="221"/>
      <c r="O33" s="213"/>
      <c r="P33" s="213"/>
    </row>
    <row r="34" spans="1:16" ht="27.75" customHeight="1" x14ac:dyDescent="0.2">
      <c r="A34" s="213"/>
      <c r="B34" s="213"/>
      <c r="C34" s="213"/>
      <c r="D34" s="222"/>
      <c r="E34" s="222"/>
      <c r="F34" s="222"/>
      <c r="G34" s="222"/>
      <c r="H34" s="223"/>
      <c r="I34" s="224"/>
      <c r="J34" s="224"/>
      <c r="K34" s="213"/>
      <c r="L34" s="213"/>
      <c r="M34" s="213"/>
      <c r="N34" s="213"/>
      <c r="O34" s="213"/>
    </row>
    <row r="35" spans="1:16" ht="39.950000000000003" customHeight="1" x14ac:dyDescent="0.2">
      <c r="A35" s="384" t="str">
        <f>Overview!B4&amp;" - Effective from "&amp;TEXT(Overview!$D$4,"d mmmm yyyy")&amp;" - Final new or amended EHV line loss factors in SP Manweb Area (GSP Group_D)"</f>
        <v>Leep Electricity Networks Limited - Effective from 1 April 2027 - Final new or amended EHV line loss factors in SP Manweb Area (GSP Group_D)</v>
      </c>
      <c r="B35" s="384"/>
      <c r="C35" s="384"/>
      <c r="D35" s="384"/>
      <c r="E35" s="384"/>
      <c r="F35" s="384"/>
      <c r="G35" s="384"/>
      <c r="H35" s="384"/>
      <c r="I35" s="384"/>
      <c r="J35" s="384"/>
      <c r="K35" s="384"/>
      <c r="L35" s="384"/>
      <c r="M35" s="384"/>
      <c r="N35" s="384"/>
    </row>
    <row r="36" spans="1:16" ht="65.099999999999994" customHeight="1" x14ac:dyDescent="0.2">
      <c r="A36" s="19" t="s">
        <v>400</v>
      </c>
      <c r="B36" s="19" t="s">
        <v>376</v>
      </c>
      <c r="C36" s="19" t="s">
        <v>268</v>
      </c>
      <c r="D36" s="19" t="s">
        <v>377</v>
      </c>
      <c r="E36" s="19" t="s">
        <v>269</v>
      </c>
      <c r="F36" s="214" t="s">
        <v>29</v>
      </c>
      <c r="G36" s="225" t="s">
        <v>386</v>
      </c>
      <c r="H36" s="225" t="s">
        <v>387</v>
      </c>
      <c r="I36" s="225" t="s">
        <v>388</v>
      </c>
      <c r="J36" s="225" t="s">
        <v>389</v>
      </c>
      <c r="K36" s="226" t="s">
        <v>391</v>
      </c>
      <c r="L36" s="226" t="s">
        <v>392</v>
      </c>
      <c r="M36" s="226" t="s">
        <v>393</v>
      </c>
      <c r="N36" s="226" t="s">
        <v>394</v>
      </c>
    </row>
    <row r="37" spans="1:16" ht="22.5" customHeight="1" x14ac:dyDescent="0.2">
      <c r="A37" s="215"/>
      <c r="B37" s="215"/>
      <c r="C37" s="215"/>
      <c r="D37" s="215"/>
      <c r="E37" s="216"/>
      <c r="F37" s="227"/>
      <c r="G37" s="228"/>
      <c r="H37" s="228"/>
      <c r="I37" s="229"/>
      <c r="J37" s="230"/>
      <c r="K37" s="231"/>
      <c r="L37" s="231"/>
      <c r="M37" s="231"/>
      <c r="N37" s="231"/>
    </row>
    <row r="38" spans="1:16" ht="27.75" customHeight="1" thickBot="1" x14ac:dyDescent="0.25">
      <c r="A38" s="232"/>
      <c r="B38" s="232"/>
      <c r="C38" s="232"/>
      <c r="D38" s="233"/>
      <c r="E38" s="233"/>
      <c r="F38" s="233"/>
      <c r="G38" s="233"/>
      <c r="H38" s="234"/>
      <c r="I38" s="235"/>
      <c r="J38" s="235"/>
      <c r="K38" s="232"/>
      <c r="L38" s="232"/>
      <c r="M38" s="232"/>
      <c r="N38" s="236"/>
      <c r="O38" s="236"/>
      <c r="P38" s="236"/>
    </row>
    <row r="39" spans="1:16" ht="27.75" customHeight="1" x14ac:dyDescent="0.2">
      <c r="A39" s="213"/>
      <c r="B39" s="213"/>
      <c r="C39" s="213"/>
      <c r="D39" s="222"/>
      <c r="E39" s="222"/>
      <c r="F39" s="222"/>
      <c r="G39" s="222"/>
      <c r="H39" s="223"/>
      <c r="I39" s="224"/>
      <c r="J39" s="224"/>
      <c r="K39" s="213"/>
      <c r="L39" s="213"/>
      <c r="M39" s="213"/>
      <c r="N39" s="213"/>
      <c r="O39" s="213"/>
    </row>
    <row r="40" spans="1:16" ht="39.950000000000003" customHeight="1" x14ac:dyDescent="0.2">
      <c r="A40" s="384" t="str">
        <f>Overview!B4&amp;" - Effective from "&amp;TEXT(Overview!$D$4,"d mmmm yyyy")&amp;" - Final new or amended EHV charges in WPD West Midlands Area (GSP Group_E)"</f>
        <v>Leep Electricity Networks Limited - Effective from 1 April 2027 - Final new or amended EHV charges in WPD West Midlands Area (GSP Group_E)</v>
      </c>
      <c r="B40" s="384"/>
      <c r="C40" s="384"/>
      <c r="D40" s="384"/>
      <c r="E40" s="384"/>
      <c r="F40" s="384"/>
      <c r="G40" s="384"/>
      <c r="H40" s="384"/>
      <c r="I40" s="384"/>
      <c r="J40" s="384"/>
      <c r="K40" s="384"/>
      <c r="L40" s="384"/>
      <c r="M40" s="384"/>
      <c r="N40" s="384"/>
      <c r="O40" s="213"/>
    </row>
    <row r="41" spans="1:16" ht="65.099999999999994" customHeight="1" x14ac:dyDescent="0.2">
      <c r="A41" s="19" t="s">
        <v>400</v>
      </c>
      <c r="B41" s="19" t="s">
        <v>376</v>
      </c>
      <c r="C41" s="19" t="s">
        <v>268</v>
      </c>
      <c r="D41" s="19" t="s">
        <v>377</v>
      </c>
      <c r="E41" s="19" t="s">
        <v>269</v>
      </c>
      <c r="F41" s="214" t="s">
        <v>29</v>
      </c>
      <c r="G41" s="128" t="s">
        <v>350</v>
      </c>
      <c r="H41" s="127" t="s">
        <v>279</v>
      </c>
      <c r="I41" s="127" t="s">
        <v>348</v>
      </c>
      <c r="J41" s="127" t="s">
        <v>361</v>
      </c>
      <c r="K41" s="127" t="s">
        <v>351</v>
      </c>
      <c r="L41" s="127" t="s">
        <v>280</v>
      </c>
      <c r="M41" s="127" t="s">
        <v>349</v>
      </c>
      <c r="N41" s="127" t="s">
        <v>362</v>
      </c>
      <c r="O41" s="213"/>
      <c r="P41" s="213"/>
    </row>
    <row r="42" spans="1:16" ht="22.5" customHeight="1" x14ac:dyDescent="0.2">
      <c r="A42" s="215"/>
      <c r="B42" s="215"/>
      <c r="C42" s="215"/>
      <c r="D42" s="215"/>
      <c r="E42" s="216"/>
      <c r="F42" s="217"/>
      <c r="G42" s="218"/>
      <c r="H42" s="219"/>
      <c r="I42" s="219"/>
      <c r="J42" s="219"/>
      <c r="K42" s="220"/>
      <c r="L42" s="221"/>
      <c r="M42" s="221"/>
      <c r="N42" s="221"/>
      <c r="O42" s="213"/>
      <c r="P42" s="213"/>
    </row>
    <row r="43" spans="1:16" ht="27.75" customHeight="1" x14ac:dyDescent="0.2">
      <c r="A43" s="213"/>
      <c r="B43" s="213"/>
      <c r="C43" s="213"/>
      <c r="D43" s="222"/>
      <c r="E43" s="222"/>
      <c r="F43" s="222"/>
      <c r="G43" s="222"/>
      <c r="H43" s="223"/>
      <c r="I43" s="224"/>
      <c r="J43" s="224"/>
      <c r="K43" s="213"/>
      <c r="L43" s="213"/>
      <c r="M43" s="213"/>
      <c r="N43" s="213"/>
      <c r="O43" s="213"/>
    </row>
    <row r="44" spans="1:16" ht="39.950000000000003" customHeight="1" x14ac:dyDescent="0.2">
      <c r="A44" s="384" t="str">
        <f>Overview!B4&amp;" - Effective from "&amp;TEXT(Overview!$D$4,"d mmmm yyyy")&amp;" - Final new or amended EHV line loss factors in WPD West Midlands Area (GSP Group_E)"</f>
        <v>Leep Electricity Networks Limited - Effective from 1 April 2027 - Final new or amended EHV line loss factors in WPD West Midlands Area (GSP Group_E)</v>
      </c>
      <c r="B44" s="384"/>
      <c r="C44" s="384"/>
      <c r="D44" s="384"/>
      <c r="E44" s="384"/>
      <c r="F44" s="384"/>
      <c r="G44" s="384"/>
      <c r="H44" s="384"/>
      <c r="I44" s="384"/>
      <c r="J44" s="384"/>
      <c r="K44" s="384"/>
      <c r="L44" s="384"/>
      <c r="M44" s="384"/>
      <c r="N44" s="384"/>
    </row>
    <row r="45" spans="1:16" ht="65.099999999999994" customHeight="1" x14ac:dyDescent="0.2">
      <c r="A45" s="19" t="s">
        <v>400</v>
      </c>
      <c r="B45" s="19" t="s">
        <v>376</v>
      </c>
      <c r="C45" s="19" t="s">
        <v>268</v>
      </c>
      <c r="D45" s="19" t="s">
        <v>377</v>
      </c>
      <c r="E45" s="19" t="s">
        <v>269</v>
      </c>
      <c r="F45" s="214" t="s">
        <v>29</v>
      </c>
      <c r="G45" s="225" t="s">
        <v>386</v>
      </c>
      <c r="H45" s="225" t="s">
        <v>387</v>
      </c>
      <c r="I45" s="225" t="s">
        <v>388</v>
      </c>
      <c r="J45" s="225" t="s">
        <v>389</v>
      </c>
      <c r="K45" s="226" t="s">
        <v>391</v>
      </c>
      <c r="L45" s="226" t="s">
        <v>392</v>
      </c>
      <c r="M45" s="226" t="s">
        <v>393</v>
      </c>
      <c r="N45" s="226" t="s">
        <v>394</v>
      </c>
    </row>
    <row r="46" spans="1:16" ht="22.5" customHeight="1" x14ac:dyDescent="0.2">
      <c r="A46" s="215"/>
      <c r="B46" s="215"/>
      <c r="C46" s="215"/>
      <c r="D46" s="215"/>
      <c r="E46" s="216"/>
      <c r="F46" s="227"/>
      <c r="G46" s="228"/>
      <c r="H46" s="228"/>
      <c r="I46" s="229"/>
      <c r="J46" s="230"/>
      <c r="K46" s="231"/>
      <c r="L46" s="231"/>
      <c r="M46" s="231"/>
      <c r="N46" s="231"/>
    </row>
    <row r="47" spans="1:16" ht="27.75" customHeight="1" thickBot="1" x14ac:dyDescent="0.25">
      <c r="A47" s="232"/>
      <c r="B47" s="232"/>
      <c r="C47" s="232"/>
      <c r="D47" s="233"/>
      <c r="E47" s="233"/>
      <c r="F47" s="233"/>
      <c r="G47" s="233"/>
      <c r="H47" s="234"/>
      <c r="I47" s="235"/>
      <c r="J47" s="235"/>
      <c r="K47" s="232"/>
      <c r="L47" s="232"/>
      <c r="M47" s="232"/>
      <c r="N47" s="236"/>
      <c r="O47" s="236"/>
      <c r="P47" s="236"/>
    </row>
    <row r="48" spans="1:16" ht="27.75" customHeight="1" x14ac:dyDescent="0.2">
      <c r="A48" s="213"/>
      <c r="B48" s="213"/>
      <c r="C48" s="213"/>
      <c r="D48" s="222"/>
      <c r="E48" s="222"/>
      <c r="F48" s="222"/>
      <c r="G48" s="222"/>
      <c r="H48" s="223"/>
      <c r="I48" s="224"/>
      <c r="J48" s="224"/>
      <c r="K48" s="213"/>
      <c r="L48" s="213"/>
      <c r="M48" s="213"/>
      <c r="N48" s="213"/>
      <c r="O48" s="213"/>
    </row>
    <row r="49" spans="1:16" ht="39.950000000000003" customHeight="1" x14ac:dyDescent="0.2">
      <c r="A49" s="384" t="str">
        <f>Overview!B4&amp;" - Effective from "&amp;TEXT(Overview!$D$4,"d mmmm yyyy")&amp;" - Final new or amended EHV charges in NPG Northeast Area (GSP Group_F)"</f>
        <v>Leep Electricity Networks Limited - Effective from 1 April 2027 - Final new or amended EHV charges in NPG Northeast Area (GSP Group_F)</v>
      </c>
      <c r="B49" s="384"/>
      <c r="C49" s="384"/>
      <c r="D49" s="384"/>
      <c r="E49" s="384"/>
      <c r="F49" s="384"/>
      <c r="G49" s="384"/>
      <c r="H49" s="384"/>
      <c r="I49" s="384"/>
      <c r="J49" s="384"/>
      <c r="K49" s="384"/>
      <c r="L49" s="384"/>
      <c r="M49" s="384"/>
      <c r="N49" s="384"/>
      <c r="O49" s="213"/>
    </row>
    <row r="50" spans="1:16" ht="65.099999999999994" customHeight="1" x14ac:dyDescent="0.2">
      <c r="A50" s="19" t="s">
        <v>400</v>
      </c>
      <c r="B50" s="19" t="s">
        <v>376</v>
      </c>
      <c r="C50" s="19" t="s">
        <v>268</v>
      </c>
      <c r="D50" s="19" t="s">
        <v>377</v>
      </c>
      <c r="E50" s="19" t="s">
        <v>269</v>
      </c>
      <c r="F50" s="214" t="s">
        <v>29</v>
      </c>
      <c r="G50" s="128" t="s">
        <v>350</v>
      </c>
      <c r="H50" s="127" t="s">
        <v>279</v>
      </c>
      <c r="I50" s="127" t="s">
        <v>348</v>
      </c>
      <c r="J50" s="127" t="s">
        <v>361</v>
      </c>
      <c r="K50" s="127" t="s">
        <v>351</v>
      </c>
      <c r="L50" s="127" t="s">
        <v>280</v>
      </c>
      <c r="M50" s="127" t="s">
        <v>349</v>
      </c>
      <c r="N50" s="127" t="s">
        <v>362</v>
      </c>
      <c r="O50" s="213"/>
      <c r="P50" s="213"/>
    </row>
    <row r="51" spans="1:16" ht="22.5" customHeight="1" x14ac:dyDescent="0.2">
      <c r="A51" s="215"/>
      <c r="B51" s="215"/>
      <c r="C51" s="215"/>
      <c r="D51" s="215"/>
      <c r="E51" s="216"/>
      <c r="F51" s="217"/>
      <c r="G51" s="218"/>
      <c r="H51" s="219"/>
      <c r="I51" s="219"/>
      <c r="J51" s="219"/>
      <c r="K51" s="220"/>
      <c r="L51" s="221"/>
      <c r="M51" s="221"/>
      <c r="N51" s="221"/>
      <c r="O51" s="213"/>
      <c r="P51" s="213"/>
    </row>
    <row r="52" spans="1:16" ht="27.75" customHeight="1" x14ac:dyDescent="0.2">
      <c r="A52" s="213"/>
      <c r="B52" s="213"/>
      <c r="C52" s="213"/>
      <c r="D52" s="222"/>
      <c r="E52" s="222"/>
      <c r="F52" s="222"/>
      <c r="G52" s="222"/>
      <c r="H52" s="223"/>
      <c r="I52" s="224"/>
      <c r="J52" s="224"/>
      <c r="K52" s="213"/>
      <c r="L52" s="213"/>
      <c r="M52" s="213"/>
      <c r="N52" s="213"/>
      <c r="O52" s="213"/>
    </row>
    <row r="53" spans="1:16" ht="39.950000000000003" customHeight="1" x14ac:dyDescent="0.2">
      <c r="A53" s="384" t="str">
        <f>Overview!B4&amp;" - Effective from "&amp;TEXT(Overview!$D$4,"d mmmm yyyy")&amp;" - Final new or amended EHV line loss factors in NPG Northeast Area (GSP Group_F)"</f>
        <v>Leep Electricity Networks Limited - Effective from 1 April 2027 - Final new or amended EHV line loss factors in NPG Northeast Area (GSP Group_F)</v>
      </c>
      <c r="B53" s="384"/>
      <c r="C53" s="384"/>
      <c r="D53" s="384"/>
      <c r="E53" s="384"/>
      <c r="F53" s="384"/>
      <c r="G53" s="384"/>
      <c r="H53" s="384"/>
      <c r="I53" s="384"/>
      <c r="J53" s="384"/>
      <c r="K53" s="384"/>
      <c r="L53" s="384"/>
      <c r="M53" s="384"/>
      <c r="N53" s="384"/>
    </row>
    <row r="54" spans="1:16" ht="65.099999999999994" customHeight="1" x14ac:dyDescent="0.2">
      <c r="A54" s="19" t="s">
        <v>400</v>
      </c>
      <c r="B54" s="19" t="s">
        <v>376</v>
      </c>
      <c r="C54" s="19" t="s">
        <v>268</v>
      </c>
      <c r="D54" s="19" t="s">
        <v>377</v>
      </c>
      <c r="E54" s="19" t="s">
        <v>269</v>
      </c>
      <c r="F54" s="214" t="s">
        <v>29</v>
      </c>
      <c r="G54" s="225" t="s">
        <v>386</v>
      </c>
      <c r="H54" s="225" t="s">
        <v>387</v>
      </c>
      <c r="I54" s="225" t="s">
        <v>388</v>
      </c>
      <c r="J54" s="225" t="s">
        <v>389</v>
      </c>
      <c r="K54" s="226" t="s">
        <v>391</v>
      </c>
      <c r="L54" s="226" t="s">
        <v>392</v>
      </c>
      <c r="M54" s="226" t="s">
        <v>393</v>
      </c>
      <c r="N54" s="226" t="s">
        <v>394</v>
      </c>
    </row>
    <row r="55" spans="1:16" ht="22.5" customHeight="1" x14ac:dyDescent="0.2">
      <c r="A55" s="215"/>
      <c r="B55" s="215"/>
      <c r="C55" s="215"/>
      <c r="D55" s="215"/>
      <c r="E55" s="216"/>
      <c r="F55" s="227"/>
      <c r="G55" s="228"/>
      <c r="H55" s="228"/>
      <c r="I55" s="229"/>
      <c r="J55" s="230"/>
      <c r="K55" s="231"/>
      <c r="L55" s="231"/>
      <c r="M55" s="231"/>
      <c r="N55" s="231"/>
    </row>
    <row r="56" spans="1:16" ht="27.75" customHeight="1" thickBot="1" x14ac:dyDescent="0.25">
      <c r="A56" s="232"/>
      <c r="B56" s="232"/>
      <c r="C56" s="232"/>
      <c r="D56" s="233"/>
      <c r="E56" s="233"/>
      <c r="F56" s="233"/>
      <c r="G56" s="233"/>
      <c r="H56" s="234"/>
      <c r="I56" s="235"/>
      <c r="J56" s="235"/>
      <c r="K56" s="232"/>
      <c r="L56" s="232"/>
      <c r="M56" s="232"/>
      <c r="N56" s="236"/>
      <c r="O56" s="236"/>
      <c r="P56" s="236"/>
    </row>
    <row r="57" spans="1:16" ht="27.75" customHeight="1" x14ac:dyDescent="0.2">
      <c r="A57" s="213"/>
      <c r="B57" s="213"/>
      <c r="C57" s="213"/>
      <c r="D57" s="222"/>
      <c r="E57" s="222"/>
      <c r="F57" s="222"/>
      <c r="G57" s="222"/>
      <c r="H57" s="223"/>
      <c r="I57" s="224"/>
      <c r="J57" s="224"/>
      <c r="K57" s="213"/>
      <c r="L57" s="213"/>
      <c r="M57" s="213"/>
      <c r="N57" s="213"/>
      <c r="O57" s="213"/>
    </row>
    <row r="58" spans="1:16" ht="39.950000000000003" customHeight="1" x14ac:dyDescent="0.2">
      <c r="A58" s="384" t="str">
        <f>Overview!B4&amp;" - Effective from "&amp;TEXT(Overview!$D$4,"d mmmm yyyy")&amp;" - Final new or amended EHV charges in Electricity North West Area (GSP Group_G)"</f>
        <v>Leep Electricity Networks Limited - Effective from 1 April 2027 - Final new or amended EHV charges in Electricity North West Area (GSP Group_G)</v>
      </c>
      <c r="B58" s="384"/>
      <c r="C58" s="384"/>
      <c r="D58" s="384"/>
      <c r="E58" s="384"/>
      <c r="F58" s="384"/>
      <c r="G58" s="384"/>
      <c r="H58" s="384"/>
      <c r="I58" s="384"/>
      <c r="J58" s="384"/>
      <c r="K58" s="384"/>
      <c r="L58" s="384"/>
      <c r="M58" s="384"/>
      <c r="N58" s="384"/>
      <c r="O58" s="213"/>
    </row>
    <row r="59" spans="1:16" ht="65.099999999999994" customHeight="1" x14ac:dyDescent="0.2">
      <c r="A59" s="19" t="s">
        <v>400</v>
      </c>
      <c r="B59" s="19" t="s">
        <v>376</v>
      </c>
      <c r="C59" s="19" t="s">
        <v>268</v>
      </c>
      <c r="D59" s="19" t="s">
        <v>377</v>
      </c>
      <c r="E59" s="19" t="s">
        <v>269</v>
      </c>
      <c r="F59" s="214" t="s">
        <v>29</v>
      </c>
      <c r="G59" s="128" t="s">
        <v>350</v>
      </c>
      <c r="H59" s="127" t="s">
        <v>279</v>
      </c>
      <c r="I59" s="127" t="s">
        <v>348</v>
      </c>
      <c r="J59" s="127" t="s">
        <v>361</v>
      </c>
      <c r="K59" s="127" t="s">
        <v>351</v>
      </c>
      <c r="L59" s="127" t="s">
        <v>280</v>
      </c>
      <c r="M59" s="127" t="s">
        <v>349</v>
      </c>
      <c r="N59" s="127" t="s">
        <v>362</v>
      </c>
      <c r="O59" s="213"/>
      <c r="P59" s="213"/>
    </row>
    <row r="60" spans="1:16" ht="22.5" customHeight="1" x14ac:dyDescent="0.2">
      <c r="A60" s="215"/>
      <c r="B60" s="215"/>
      <c r="C60" s="215"/>
      <c r="D60" s="215"/>
      <c r="E60" s="216"/>
      <c r="F60" s="217"/>
      <c r="G60" s="218"/>
      <c r="H60" s="219"/>
      <c r="I60" s="219"/>
      <c r="J60" s="219"/>
      <c r="K60" s="220"/>
      <c r="L60" s="221"/>
      <c r="M60" s="221"/>
      <c r="N60" s="221"/>
      <c r="O60" s="213"/>
      <c r="P60" s="213"/>
    </row>
    <row r="61" spans="1:16" ht="27.75" customHeight="1" x14ac:dyDescent="0.2">
      <c r="A61" s="213"/>
      <c r="B61" s="213"/>
      <c r="C61" s="213"/>
      <c r="D61" s="222"/>
      <c r="E61" s="222"/>
      <c r="F61" s="222"/>
      <c r="G61" s="222"/>
      <c r="H61" s="223"/>
      <c r="I61" s="224"/>
      <c r="J61" s="224"/>
      <c r="K61" s="213"/>
      <c r="L61" s="213"/>
      <c r="M61" s="213"/>
      <c r="N61" s="213"/>
      <c r="O61" s="213"/>
    </row>
    <row r="62" spans="1:16" ht="39.950000000000003" customHeight="1" x14ac:dyDescent="0.2">
      <c r="A62" s="384" t="str">
        <f>Overview!B4&amp;" - Effective from "&amp;TEXT(Overview!$D$4,"d mmmm yyyy")&amp;" - Final new or amended EHV line loss factors in Electricity North West Area (GSP Group_G)"</f>
        <v>Leep Electricity Networks Limited - Effective from 1 April 2027 - Final new or amended EHV line loss factors in Electricity North West Area (GSP Group_G)</v>
      </c>
      <c r="B62" s="384"/>
      <c r="C62" s="384"/>
      <c r="D62" s="384"/>
      <c r="E62" s="384"/>
      <c r="F62" s="384"/>
      <c r="G62" s="384"/>
      <c r="H62" s="384"/>
      <c r="I62" s="384"/>
      <c r="J62" s="384"/>
      <c r="K62" s="384"/>
      <c r="L62" s="384"/>
      <c r="M62" s="384"/>
      <c r="N62" s="384"/>
    </row>
    <row r="63" spans="1:16" ht="65.099999999999994" customHeight="1" x14ac:dyDescent="0.2">
      <c r="A63" s="19" t="s">
        <v>400</v>
      </c>
      <c r="B63" s="19" t="s">
        <v>376</v>
      </c>
      <c r="C63" s="19" t="s">
        <v>268</v>
      </c>
      <c r="D63" s="19" t="s">
        <v>377</v>
      </c>
      <c r="E63" s="19" t="s">
        <v>269</v>
      </c>
      <c r="F63" s="214" t="s">
        <v>29</v>
      </c>
      <c r="G63" s="225" t="s">
        <v>386</v>
      </c>
      <c r="H63" s="225" t="s">
        <v>387</v>
      </c>
      <c r="I63" s="225" t="s">
        <v>388</v>
      </c>
      <c r="J63" s="225" t="s">
        <v>389</v>
      </c>
      <c r="K63" s="226" t="s">
        <v>391</v>
      </c>
      <c r="L63" s="226" t="s">
        <v>392</v>
      </c>
      <c r="M63" s="226" t="s">
        <v>393</v>
      </c>
      <c r="N63" s="226" t="s">
        <v>394</v>
      </c>
    </row>
    <row r="64" spans="1:16" ht="22.5" customHeight="1" x14ac:dyDescent="0.2">
      <c r="A64" s="215"/>
      <c r="B64" s="215"/>
      <c r="C64" s="215"/>
      <c r="D64" s="215"/>
      <c r="E64" s="216"/>
      <c r="F64" s="227"/>
      <c r="G64" s="228"/>
      <c r="H64" s="228"/>
      <c r="I64" s="229"/>
      <c r="J64" s="230"/>
      <c r="K64" s="231"/>
      <c r="L64" s="231"/>
      <c r="M64" s="231"/>
      <c r="N64" s="231"/>
    </row>
    <row r="65" spans="1:16" ht="27.75" customHeight="1" thickBot="1" x14ac:dyDescent="0.25">
      <c r="A65" s="232"/>
      <c r="B65" s="232"/>
      <c r="C65" s="232"/>
      <c r="D65" s="233"/>
      <c r="E65" s="233"/>
      <c r="F65" s="233"/>
      <c r="G65" s="233"/>
      <c r="H65" s="234"/>
      <c r="I65" s="235"/>
      <c r="J65" s="235"/>
      <c r="K65" s="232"/>
      <c r="L65" s="232"/>
      <c r="M65" s="232"/>
      <c r="N65" s="236"/>
      <c r="O65" s="236"/>
      <c r="P65" s="236"/>
    </row>
    <row r="66" spans="1:16" ht="27.75" customHeight="1" x14ac:dyDescent="0.2">
      <c r="A66" s="237"/>
      <c r="B66" s="237"/>
      <c r="C66" s="237"/>
      <c r="D66" s="238"/>
      <c r="E66" s="238"/>
      <c r="F66" s="238"/>
      <c r="G66" s="238"/>
      <c r="H66" s="239"/>
      <c r="I66" s="240"/>
      <c r="J66" s="240"/>
      <c r="K66" s="237"/>
      <c r="L66" s="237"/>
      <c r="M66" s="237"/>
      <c r="N66" s="213"/>
      <c r="O66" s="213"/>
      <c r="P66" s="213"/>
    </row>
    <row r="67" spans="1:16" ht="42" customHeight="1" x14ac:dyDescent="0.2">
      <c r="A67" s="384" t="str">
        <f>Overview!B4&amp;" - Effective from "&amp;TEXT(Overview!$D$4,"d mmmm yyyy")&amp;" - Final new or amended EHV charges in SSE SEPD Area (GSP Group_H)"</f>
        <v>Leep Electricity Networks Limited - Effective from 1 April 2027 - Final new or amended EHV charges in SSE SEPD Area (GSP Group_H)</v>
      </c>
      <c r="B67" s="384"/>
      <c r="C67" s="384"/>
      <c r="D67" s="384"/>
      <c r="E67" s="384"/>
      <c r="F67" s="384"/>
      <c r="G67" s="384"/>
      <c r="H67" s="384"/>
      <c r="I67" s="384"/>
      <c r="J67" s="384"/>
      <c r="K67" s="384"/>
      <c r="L67" s="384"/>
      <c r="M67" s="384"/>
      <c r="N67" s="384"/>
      <c r="O67" s="213"/>
    </row>
    <row r="68" spans="1:16" ht="68.25" customHeight="1" x14ac:dyDescent="0.2">
      <c r="A68" s="19" t="s">
        <v>400</v>
      </c>
      <c r="B68" s="19" t="s">
        <v>376</v>
      </c>
      <c r="C68" s="19" t="s">
        <v>268</v>
      </c>
      <c r="D68" s="19" t="s">
        <v>377</v>
      </c>
      <c r="E68" s="19" t="s">
        <v>269</v>
      </c>
      <c r="F68" s="214" t="s">
        <v>29</v>
      </c>
      <c r="G68" s="128" t="s">
        <v>350</v>
      </c>
      <c r="H68" s="127" t="s">
        <v>279</v>
      </c>
      <c r="I68" s="127" t="s">
        <v>348</v>
      </c>
      <c r="J68" s="127" t="s">
        <v>361</v>
      </c>
      <c r="K68" s="127" t="s">
        <v>351</v>
      </c>
      <c r="L68" s="127" t="s">
        <v>280</v>
      </c>
      <c r="M68" s="127" t="s">
        <v>349</v>
      </c>
      <c r="N68" s="127" t="s">
        <v>362</v>
      </c>
      <c r="O68" s="213"/>
      <c r="P68" s="213"/>
    </row>
    <row r="69" spans="1:16" ht="27.75" customHeight="1" x14ac:dyDescent="0.2">
      <c r="A69" s="215"/>
      <c r="B69" s="215"/>
      <c r="C69" s="215"/>
      <c r="D69" s="215"/>
      <c r="E69" s="216"/>
      <c r="F69" s="217"/>
      <c r="G69" s="218"/>
      <c r="H69" s="219"/>
      <c r="I69" s="219"/>
      <c r="J69" s="219"/>
      <c r="K69" s="220"/>
      <c r="L69" s="221"/>
      <c r="M69" s="221"/>
      <c r="N69" s="221"/>
      <c r="O69" s="213"/>
      <c r="P69" s="213"/>
    </row>
    <row r="70" spans="1:16" ht="27.75" customHeight="1" x14ac:dyDescent="0.2">
      <c r="A70" s="213"/>
      <c r="B70" s="213"/>
      <c r="C70" s="213"/>
      <c r="D70" s="222"/>
      <c r="E70" s="222"/>
      <c r="F70" s="222"/>
      <c r="G70" s="222"/>
      <c r="H70" s="223"/>
      <c r="I70" s="224"/>
      <c r="J70" s="224"/>
      <c r="K70" s="213"/>
      <c r="L70" s="213"/>
      <c r="M70" s="213"/>
      <c r="N70" s="213"/>
      <c r="O70" s="213"/>
    </row>
    <row r="71" spans="1:16" ht="48" customHeight="1" x14ac:dyDescent="0.2">
      <c r="A71" s="384" t="str">
        <f>Overview!B4&amp;" - Effective from "&amp;TEXT(Overview!$D$4,"d mmmm yyyy")&amp;" - Final new or amended EHV line loss factors in SSE SEPD Area (GSP Group_H)"</f>
        <v>Leep Electricity Networks Limited - Effective from 1 April 2027 - Final new or amended EHV line loss factors in SSE SEPD Area (GSP Group_H)</v>
      </c>
      <c r="B71" s="384"/>
      <c r="C71" s="384"/>
      <c r="D71" s="384"/>
      <c r="E71" s="384"/>
      <c r="F71" s="384"/>
      <c r="G71" s="384"/>
      <c r="H71" s="384"/>
      <c r="I71" s="384"/>
      <c r="J71" s="384"/>
      <c r="K71" s="384"/>
      <c r="L71" s="384"/>
      <c r="M71" s="384"/>
      <c r="N71" s="384"/>
      <c r="O71" s="384"/>
      <c r="P71" s="384"/>
    </row>
    <row r="72" spans="1:16" ht="45.75" customHeight="1" x14ac:dyDescent="0.2">
      <c r="A72" s="19" t="s">
        <v>400</v>
      </c>
      <c r="B72" s="19" t="s">
        <v>376</v>
      </c>
      <c r="C72" s="19" t="s">
        <v>268</v>
      </c>
      <c r="D72" s="19" t="s">
        <v>377</v>
      </c>
      <c r="E72" s="19" t="s">
        <v>269</v>
      </c>
      <c r="F72" s="214" t="s">
        <v>29</v>
      </c>
      <c r="G72" s="225" t="s">
        <v>386</v>
      </c>
      <c r="H72" s="225" t="s">
        <v>387</v>
      </c>
      <c r="I72" s="225" t="s">
        <v>388</v>
      </c>
      <c r="J72" s="225" t="s">
        <v>389</v>
      </c>
      <c r="K72" s="225" t="s">
        <v>390</v>
      </c>
      <c r="L72" s="226" t="s">
        <v>391</v>
      </c>
      <c r="M72" s="226" t="s">
        <v>392</v>
      </c>
      <c r="N72" s="226" t="s">
        <v>393</v>
      </c>
      <c r="O72" s="226" t="s">
        <v>394</v>
      </c>
      <c r="P72" s="226" t="s">
        <v>395</v>
      </c>
    </row>
    <row r="73" spans="1:16" ht="27.75" customHeight="1" x14ac:dyDescent="0.2">
      <c r="A73" s="215"/>
      <c r="B73" s="215"/>
      <c r="C73" s="215"/>
      <c r="D73" s="215"/>
      <c r="E73" s="216"/>
      <c r="F73" s="227"/>
      <c r="G73" s="228"/>
      <c r="H73" s="228"/>
      <c r="I73" s="229"/>
      <c r="J73" s="230"/>
      <c r="K73" s="230"/>
      <c r="L73" s="231"/>
      <c r="M73" s="231"/>
      <c r="N73" s="231"/>
      <c r="O73" s="231"/>
      <c r="P73" s="231"/>
    </row>
    <row r="74" spans="1:16" ht="27.75" customHeight="1" thickBot="1" x14ac:dyDescent="0.25">
      <c r="A74" s="232"/>
      <c r="B74" s="232"/>
      <c r="C74" s="232"/>
      <c r="D74" s="233"/>
      <c r="E74" s="233"/>
      <c r="F74" s="233"/>
      <c r="G74" s="233"/>
      <c r="H74" s="234"/>
      <c r="I74" s="235"/>
      <c r="J74" s="235"/>
      <c r="K74" s="232"/>
      <c r="L74" s="232"/>
      <c r="M74" s="232"/>
      <c r="N74" s="232"/>
      <c r="O74" s="232"/>
      <c r="P74" s="236"/>
    </row>
    <row r="75" spans="1:16" ht="27.75" customHeight="1" x14ac:dyDescent="0.2">
      <c r="A75" s="237"/>
      <c r="B75" s="237"/>
      <c r="C75" s="237"/>
      <c r="D75" s="238"/>
      <c r="E75" s="238"/>
      <c r="F75" s="238"/>
      <c r="G75" s="238"/>
      <c r="H75" s="239"/>
      <c r="I75" s="240"/>
      <c r="J75" s="240"/>
      <c r="K75" s="237"/>
      <c r="L75" s="237"/>
      <c r="M75" s="237"/>
      <c r="N75" s="213"/>
      <c r="O75" s="213"/>
    </row>
    <row r="76" spans="1:16" ht="39.950000000000003" customHeight="1" x14ac:dyDescent="0.2">
      <c r="A76" s="384" t="str">
        <f>Overview!B4&amp;" - Effective from "&amp;TEXT(Overview!$D$4,"d mmmm yyyy")&amp;" - Final new or amended EHV charges in UKPN SPN Area (GSP Group_J)"</f>
        <v>Leep Electricity Networks Limited - Effective from 1 April 2027 - Final new or amended EHV charges in UKPN SPN Area (GSP Group_J)</v>
      </c>
      <c r="B76" s="384"/>
      <c r="C76" s="384"/>
      <c r="D76" s="384"/>
      <c r="E76" s="384"/>
      <c r="F76" s="384"/>
      <c r="G76" s="384"/>
      <c r="H76" s="384"/>
      <c r="I76" s="384"/>
      <c r="J76" s="384"/>
      <c r="K76" s="384"/>
      <c r="L76" s="384"/>
      <c r="M76" s="384"/>
      <c r="N76" s="384"/>
      <c r="O76" s="213"/>
    </row>
    <row r="77" spans="1:16" ht="65.099999999999994" customHeight="1" x14ac:dyDescent="0.2">
      <c r="A77" s="19" t="s">
        <v>400</v>
      </c>
      <c r="B77" s="19" t="s">
        <v>376</v>
      </c>
      <c r="C77" s="19" t="s">
        <v>268</v>
      </c>
      <c r="D77" s="19" t="s">
        <v>377</v>
      </c>
      <c r="E77" s="19" t="s">
        <v>269</v>
      </c>
      <c r="F77" s="214" t="s">
        <v>29</v>
      </c>
      <c r="G77" s="128" t="s">
        <v>350</v>
      </c>
      <c r="H77" s="127" t="s">
        <v>279</v>
      </c>
      <c r="I77" s="127" t="s">
        <v>348</v>
      </c>
      <c r="J77" s="127" t="s">
        <v>361</v>
      </c>
      <c r="K77" s="127" t="s">
        <v>351</v>
      </c>
      <c r="L77" s="127" t="s">
        <v>280</v>
      </c>
      <c r="M77" s="127" t="s">
        <v>349</v>
      </c>
      <c r="N77" s="127" t="s">
        <v>362</v>
      </c>
      <c r="O77" s="213"/>
      <c r="P77" s="213"/>
    </row>
    <row r="78" spans="1:16" ht="22.5" customHeight="1" x14ac:dyDescent="0.2">
      <c r="A78" s="215"/>
      <c r="B78" s="215"/>
      <c r="C78" s="215"/>
      <c r="D78" s="215"/>
      <c r="E78" s="216"/>
      <c r="F78" s="217"/>
      <c r="G78" s="218"/>
      <c r="H78" s="219"/>
      <c r="I78" s="219"/>
      <c r="J78" s="219"/>
      <c r="K78" s="220"/>
      <c r="L78" s="221"/>
      <c r="M78" s="221"/>
      <c r="N78" s="221"/>
      <c r="O78" s="213"/>
      <c r="P78" s="213"/>
    </row>
    <row r="79" spans="1:16" ht="27.75" customHeight="1" x14ac:dyDescent="0.2">
      <c r="A79" s="213"/>
      <c r="B79" s="213"/>
      <c r="C79" s="213"/>
      <c r="D79" s="222"/>
      <c r="E79" s="222"/>
      <c r="F79" s="222"/>
      <c r="G79" s="222"/>
      <c r="H79" s="223"/>
      <c r="I79" s="224"/>
      <c r="J79" s="224"/>
      <c r="K79" s="213"/>
      <c r="L79" s="213"/>
      <c r="M79" s="213"/>
      <c r="N79" s="213"/>
      <c r="O79" s="213"/>
    </row>
    <row r="80" spans="1:16" ht="39.950000000000003" customHeight="1" x14ac:dyDescent="0.2">
      <c r="A80" s="384" t="str">
        <f>Overview!B4&amp;" - Effective from "&amp;TEXT(Overview!$D$4,"d mmmm yyyy")&amp;" - Final new or amended EHV line loss factors in UKPN SPN Area (GSP Group_J)"</f>
        <v>Leep Electricity Networks Limited - Effective from 1 April 2027 - Final new or amended EHV line loss factors in UKPN SPN Area (GSP Group_J)</v>
      </c>
      <c r="B80" s="384"/>
      <c r="C80" s="384"/>
      <c r="D80" s="384"/>
      <c r="E80" s="384"/>
      <c r="F80" s="384"/>
      <c r="G80" s="384"/>
      <c r="H80" s="384"/>
      <c r="I80" s="384"/>
      <c r="J80" s="384"/>
      <c r="K80" s="384"/>
      <c r="L80" s="384"/>
      <c r="M80" s="384"/>
      <c r="N80" s="384"/>
      <c r="O80" s="384"/>
      <c r="P80" s="384"/>
    </row>
    <row r="81" spans="1:16" ht="65.099999999999994" customHeight="1" x14ac:dyDescent="0.2">
      <c r="A81" s="19" t="s">
        <v>400</v>
      </c>
      <c r="B81" s="19" t="s">
        <v>376</v>
      </c>
      <c r="C81" s="19" t="s">
        <v>268</v>
      </c>
      <c r="D81" s="19" t="s">
        <v>377</v>
      </c>
      <c r="E81" s="19" t="s">
        <v>269</v>
      </c>
      <c r="F81" s="214" t="s">
        <v>29</v>
      </c>
      <c r="G81" s="225" t="s">
        <v>386</v>
      </c>
      <c r="H81" s="225" t="s">
        <v>387</v>
      </c>
      <c r="I81" s="225" t="s">
        <v>388</v>
      </c>
      <c r="J81" s="225" t="s">
        <v>389</v>
      </c>
      <c r="K81" s="225" t="s">
        <v>390</v>
      </c>
      <c r="L81" s="226" t="s">
        <v>391</v>
      </c>
      <c r="M81" s="226" t="s">
        <v>392</v>
      </c>
      <c r="N81" s="226" t="s">
        <v>393</v>
      </c>
      <c r="O81" s="226" t="s">
        <v>394</v>
      </c>
      <c r="P81" s="226" t="s">
        <v>395</v>
      </c>
    </row>
    <row r="82" spans="1:16" ht="22.5" customHeight="1" x14ac:dyDescent="0.2">
      <c r="A82" s="215"/>
      <c r="B82" s="215"/>
      <c r="C82" s="215"/>
      <c r="D82" s="215"/>
      <c r="E82" s="216"/>
      <c r="F82" s="227"/>
      <c r="G82" s="228"/>
      <c r="H82" s="228"/>
      <c r="I82" s="229"/>
      <c r="J82" s="230"/>
      <c r="K82" s="230"/>
      <c r="L82" s="231"/>
      <c r="M82" s="231"/>
      <c r="N82" s="231"/>
      <c r="O82" s="231"/>
      <c r="P82" s="231"/>
    </row>
    <row r="83" spans="1:16" ht="27.75" customHeight="1" thickBot="1" x14ac:dyDescent="0.25">
      <c r="A83" s="232"/>
      <c r="B83" s="232"/>
      <c r="C83" s="232"/>
      <c r="D83" s="233"/>
      <c r="E83" s="233"/>
      <c r="F83" s="233"/>
      <c r="G83" s="233"/>
      <c r="H83" s="234"/>
      <c r="I83" s="235"/>
      <c r="J83" s="235"/>
      <c r="K83" s="232"/>
      <c r="L83" s="232"/>
      <c r="M83" s="232"/>
      <c r="N83" s="232"/>
      <c r="O83" s="232"/>
      <c r="P83" s="236"/>
    </row>
    <row r="84" spans="1:16" ht="27.75" customHeight="1" x14ac:dyDescent="0.2">
      <c r="A84" s="237"/>
      <c r="B84" s="237"/>
      <c r="C84" s="237"/>
      <c r="D84" s="238"/>
      <c r="E84" s="238"/>
      <c r="F84" s="238"/>
      <c r="G84" s="238"/>
      <c r="H84" s="239"/>
      <c r="I84" s="240"/>
      <c r="J84" s="240"/>
      <c r="K84" s="237"/>
      <c r="L84" s="237"/>
      <c r="M84" s="237"/>
      <c r="N84" s="213"/>
      <c r="O84" s="213"/>
    </row>
    <row r="85" spans="1:16" ht="39.950000000000003" customHeight="1" x14ac:dyDescent="0.2">
      <c r="A85" s="384" t="str">
        <f>Overview!B4&amp;" - Effective from "&amp;TEXT(Overview!$D$4,"d mmmm yyyy")&amp;" - Final new or amended EHV charges in WPD South Wales Area (GSP Group_K)"</f>
        <v>Leep Electricity Networks Limited - Effective from 1 April 2027 - Final new or amended EHV charges in WPD South Wales Area (GSP Group_K)</v>
      </c>
      <c r="B85" s="384"/>
      <c r="C85" s="384"/>
      <c r="D85" s="384"/>
      <c r="E85" s="384"/>
      <c r="F85" s="384"/>
      <c r="G85" s="384"/>
      <c r="H85" s="384"/>
      <c r="I85" s="384"/>
      <c r="J85" s="384"/>
      <c r="K85" s="384"/>
      <c r="L85" s="384"/>
      <c r="M85" s="384"/>
      <c r="N85" s="384"/>
      <c r="O85" s="213"/>
    </row>
    <row r="86" spans="1:16" ht="65.099999999999994" customHeight="1" x14ac:dyDescent="0.2">
      <c r="A86" s="19" t="s">
        <v>400</v>
      </c>
      <c r="B86" s="19" t="s">
        <v>376</v>
      </c>
      <c r="C86" s="19" t="s">
        <v>268</v>
      </c>
      <c r="D86" s="19" t="s">
        <v>377</v>
      </c>
      <c r="E86" s="19" t="s">
        <v>269</v>
      </c>
      <c r="F86" s="214" t="s">
        <v>29</v>
      </c>
      <c r="G86" s="128" t="s">
        <v>350</v>
      </c>
      <c r="H86" s="127" t="s">
        <v>279</v>
      </c>
      <c r="I86" s="127" t="s">
        <v>348</v>
      </c>
      <c r="J86" s="127" t="s">
        <v>361</v>
      </c>
      <c r="K86" s="127" t="s">
        <v>351</v>
      </c>
      <c r="L86" s="127" t="s">
        <v>280</v>
      </c>
      <c r="M86" s="127" t="s">
        <v>349</v>
      </c>
      <c r="N86" s="127" t="s">
        <v>362</v>
      </c>
      <c r="O86" s="213"/>
      <c r="P86" s="213"/>
    </row>
    <row r="87" spans="1:16" ht="22.5" customHeight="1" x14ac:dyDescent="0.2">
      <c r="A87" s="215"/>
      <c r="B87" s="215"/>
      <c r="C87" s="215"/>
      <c r="D87" s="215"/>
      <c r="E87" s="216"/>
      <c r="F87" s="217"/>
      <c r="G87" s="218"/>
      <c r="H87" s="219"/>
      <c r="I87" s="219"/>
      <c r="J87" s="219"/>
      <c r="K87" s="220"/>
      <c r="L87" s="221"/>
      <c r="M87" s="221"/>
      <c r="N87" s="221"/>
      <c r="O87" s="213"/>
      <c r="P87" s="213"/>
    </row>
    <row r="88" spans="1:16" ht="27.75" customHeight="1" x14ac:dyDescent="0.2">
      <c r="A88" s="213"/>
      <c r="B88" s="213"/>
      <c r="C88" s="213"/>
      <c r="D88" s="222"/>
      <c r="E88" s="222"/>
      <c r="F88" s="222"/>
      <c r="G88" s="222"/>
      <c r="H88" s="223"/>
      <c r="I88" s="224"/>
      <c r="J88" s="224"/>
      <c r="K88" s="213"/>
      <c r="L88" s="213"/>
      <c r="M88" s="213"/>
      <c r="N88" s="213"/>
      <c r="O88" s="213"/>
    </row>
    <row r="89" spans="1:16" ht="39.950000000000003" customHeight="1" x14ac:dyDescent="0.2">
      <c r="A89" s="384" t="str">
        <f>Overview!B4&amp;" - Effective from "&amp;TEXT(Overview!$D$4,"d mmmm yyyy")&amp;" - Final new or amended EHV line loss factors in WPD South Wales Area (GSP Group_K)"</f>
        <v>Leep Electricity Networks Limited - Effective from 1 April 2027 - Final new or amended EHV line loss factors in WPD South Wales Area (GSP Group_K)</v>
      </c>
      <c r="B89" s="384"/>
      <c r="C89" s="384"/>
      <c r="D89" s="384"/>
      <c r="E89" s="384"/>
      <c r="F89" s="384"/>
      <c r="G89" s="384"/>
      <c r="H89" s="384"/>
      <c r="I89" s="384"/>
      <c r="J89" s="384"/>
      <c r="K89" s="384"/>
      <c r="L89" s="384"/>
      <c r="M89" s="384"/>
      <c r="N89" s="384"/>
    </row>
    <row r="90" spans="1:16" ht="65.099999999999994" customHeight="1" x14ac:dyDescent="0.2">
      <c r="A90" s="19" t="s">
        <v>400</v>
      </c>
      <c r="B90" s="19" t="s">
        <v>376</v>
      </c>
      <c r="C90" s="19" t="s">
        <v>268</v>
      </c>
      <c r="D90" s="19" t="s">
        <v>377</v>
      </c>
      <c r="E90" s="19" t="s">
        <v>269</v>
      </c>
      <c r="F90" s="214" t="s">
        <v>29</v>
      </c>
      <c r="G90" s="225" t="s">
        <v>386</v>
      </c>
      <c r="H90" s="225" t="s">
        <v>387</v>
      </c>
      <c r="I90" s="225" t="s">
        <v>388</v>
      </c>
      <c r="J90" s="225" t="s">
        <v>389</v>
      </c>
      <c r="K90" s="226" t="s">
        <v>391</v>
      </c>
      <c r="L90" s="226" t="s">
        <v>392</v>
      </c>
      <c r="M90" s="226" t="s">
        <v>393</v>
      </c>
      <c r="N90" s="226" t="s">
        <v>394</v>
      </c>
    </row>
    <row r="91" spans="1:16" ht="22.5" customHeight="1" x14ac:dyDescent="0.2">
      <c r="A91" s="215"/>
      <c r="B91" s="215"/>
      <c r="C91" s="215"/>
      <c r="D91" s="215"/>
      <c r="E91" s="216"/>
      <c r="F91" s="227"/>
      <c r="G91" s="228"/>
      <c r="H91" s="228"/>
      <c r="I91" s="229"/>
      <c r="J91" s="230"/>
      <c r="K91" s="231"/>
      <c r="L91" s="231"/>
      <c r="M91" s="231"/>
      <c r="N91" s="231"/>
    </row>
    <row r="92" spans="1:16" ht="27.75" customHeight="1" thickBot="1" x14ac:dyDescent="0.25">
      <c r="A92" s="232"/>
      <c r="B92" s="232"/>
      <c r="C92" s="232"/>
      <c r="D92" s="233"/>
      <c r="E92" s="233"/>
      <c r="F92" s="233"/>
      <c r="G92" s="233"/>
      <c r="H92" s="234"/>
      <c r="I92" s="235"/>
      <c r="J92" s="235"/>
      <c r="K92" s="232"/>
      <c r="L92" s="232"/>
      <c r="M92" s="232"/>
      <c r="N92" s="236"/>
      <c r="O92" s="236"/>
      <c r="P92" s="236"/>
    </row>
    <row r="93" spans="1:16" ht="27.75" customHeight="1" x14ac:dyDescent="0.2">
      <c r="A93" s="237"/>
      <c r="B93" s="237"/>
      <c r="C93" s="237"/>
      <c r="D93" s="238"/>
      <c r="E93" s="238"/>
      <c r="F93" s="238"/>
      <c r="G93" s="238"/>
      <c r="H93" s="239"/>
      <c r="I93" s="240"/>
      <c r="J93" s="240"/>
      <c r="K93" s="237"/>
      <c r="L93" s="237"/>
      <c r="M93" s="237"/>
      <c r="N93" s="213"/>
      <c r="O93" s="213"/>
    </row>
    <row r="94" spans="1:16" ht="39.950000000000003" customHeight="1" x14ac:dyDescent="0.2">
      <c r="A94" s="384" t="str">
        <f>Overview!B4&amp;" - Effective from "&amp;TEXT(Overview!$D$4,"d mmmm yyyy")&amp;" - Final new or amended EHV charges in WPD South West Area (GSP Group_L)"</f>
        <v>Leep Electricity Networks Limited - Effective from 1 April 2027 - Final new or amended EHV charges in WPD South West Area (GSP Group_L)</v>
      </c>
      <c r="B94" s="384"/>
      <c r="C94" s="384"/>
      <c r="D94" s="384"/>
      <c r="E94" s="384"/>
      <c r="F94" s="384"/>
      <c r="G94" s="384"/>
      <c r="H94" s="384"/>
      <c r="I94" s="384"/>
      <c r="J94" s="384"/>
      <c r="K94" s="384"/>
      <c r="L94" s="384"/>
      <c r="M94" s="384"/>
      <c r="N94" s="384"/>
      <c r="O94" s="213"/>
    </row>
    <row r="95" spans="1:16" ht="65.099999999999994" customHeight="1" x14ac:dyDescent="0.2">
      <c r="A95" s="19" t="s">
        <v>400</v>
      </c>
      <c r="B95" s="19" t="s">
        <v>376</v>
      </c>
      <c r="C95" s="19" t="s">
        <v>268</v>
      </c>
      <c r="D95" s="19" t="s">
        <v>377</v>
      </c>
      <c r="E95" s="19" t="s">
        <v>269</v>
      </c>
      <c r="F95" s="214" t="s">
        <v>29</v>
      </c>
      <c r="G95" s="128" t="s">
        <v>350</v>
      </c>
      <c r="H95" s="127" t="s">
        <v>279</v>
      </c>
      <c r="I95" s="127" t="s">
        <v>348</v>
      </c>
      <c r="J95" s="127" t="s">
        <v>361</v>
      </c>
      <c r="K95" s="127" t="s">
        <v>351</v>
      </c>
      <c r="L95" s="127" t="s">
        <v>280</v>
      </c>
      <c r="M95" s="127" t="s">
        <v>349</v>
      </c>
      <c r="N95" s="127" t="s">
        <v>362</v>
      </c>
      <c r="O95" s="213"/>
      <c r="P95" s="213"/>
    </row>
    <row r="96" spans="1:16" ht="22.5" customHeight="1" x14ac:dyDescent="0.2">
      <c r="A96" s="215"/>
      <c r="B96" s="215"/>
      <c r="C96" s="215"/>
      <c r="D96" s="215"/>
      <c r="E96" s="216"/>
      <c r="F96" s="217"/>
      <c r="G96" s="218"/>
      <c r="H96" s="219"/>
      <c r="I96" s="219"/>
      <c r="J96" s="219"/>
      <c r="K96" s="220"/>
      <c r="L96" s="221"/>
      <c r="M96" s="221"/>
      <c r="N96" s="221"/>
      <c r="O96" s="213"/>
      <c r="P96" s="213"/>
    </row>
    <row r="97" spans="1:16" ht="27.75" customHeight="1" x14ac:dyDescent="0.2">
      <c r="A97" s="213"/>
      <c r="B97" s="213"/>
      <c r="C97" s="213"/>
      <c r="D97" s="222"/>
      <c r="E97" s="222"/>
      <c r="F97" s="222"/>
      <c r="G97" s="222"/>
      <c r="H97" s="223"/>
      <c r="I97" s="224"/>
      <c r="J97" s="224"/>
      <c r="K97" s="213"/>
      <c r="L97" s="213"/>
      <c r="M97" s="213"/>
      <c r="N97" s="213"/>
      <c r="O97" s="213"/>
    </row>
    <row r="98" spans="1:16" ht="39.950000000000003" customHeight="1" x14ac:dyDescent="0.2">
      <c r="A98" s="384" t="str">
        <f>Overview!B4&amp;" - Effective from "&amp;TEXT(Overview!$D$4,"d mmmm yyyy")&amp;" - Final new or amended EHV line loss factors in WPD South West Area (GSP Group_L)"</f>
        <v>Leep Electricity Networks Limited - Effective from 1 April 2027 - Final new or amended EHV line loss factors in WPD South West Area (GSP Group_L)</v>
      </c>
      <c r="B98" s="384"/>
      <c r="C98" s="384"/>
      <c r="D98" s="384"/>
      <c r="E98" s="384"/>
      <c r="F98" s="384"/>
      <c r="G98" s="384"/>
      <c r="H98" s="384"/>
      <c r="I98" s="384"/>
      <c r="J98" s="384"/>
      <c r="K98" s="384"/>
      <c r="L98" s="384"/>
      <c r="M98" s="384"/>
      <c r="N98" s="384"/>
    </row>
    <row r="99" spans="1:16" ht="65.099999999999994" customHeight="1" x14ac:dyDescent="0.2">
      <c r="A99" s="19" t="s">
        <v>400</v>
      </c>
      <c r="B99" s="19" t="s">
        <v>376</v>
      </c>
      <c r="C99" s="19" t="s">
        <v>268</v>
      </c>
      <c r="D99" s="19" t="s">
        <v>377</v>
      </c>
      <c r="E99" s="19" t="s">
        <v>269</v>
      </c>
      <c r="F99" s="214" t="s">
        <v>29</v>
      </c>
      <c r="G99" s="225" t="s">
        <v>386</v>
      </c>
      <c r="H99" s="225" t="s">
        <v>387</v>
      </c>
      <c r="I99" s="225" t="s">
        <v>388</v>
      </c>
      <c r="J99" s="225" t="s">
        <v>389</v>
      </c>
      <c r="K99" s="226" t="s">
        <v>391</v>
      </c>
      <c r="L99" s="226" t="s">
        <v>392</v>
      </c>
      <c r="M99" s="226" t="s">
        <v>393</v>
      </c>
      <c r="N99" s="226" t="s">
        <v>394</v>
      </c>
    </row>
    <row r="100" spans="1:16" ht="22.5" customHeight="1" x14ac:dyDescent="0.2">
      <c r="A100" s="215"/>
      <c r="B100" s="215"/>
      <c r="C100" s="215"/>
      <c r="D100" s="215"/>
      <c r="E100" s="216"/>
      <c r="F100" s="227"/>
      <c r="G100" s="228"/>
      <c r="H100" s="228"/>
      <c r="I100" s="229"/>
      <c r="J100" s="230"/>
      <c r="K100" s="231"/>
      <c r="L100" s="231"/>
      <c r="M100" s="231"/>
      <c r="N100" s="231"/>
    </row>
    <row r="101" spans="1:16" ht="27.75" customHeight="1" thickBot="1" x14ac:dyDescent="0.25">
      <c r="A101" s="232"/>
      <c r="B101" s="232"/>
      <c r="C101" s="232"/>
      <c r="D101" s="233"/>
      <c r="E101" s="233"/>
      <c r="F101" s="233"/>
      <c r="G101" s="233"/>
      <c r="H101" s="234"/>
      <c r="I101" s="235"/>
      <c r="J101" s="235"/>
      <c r="K101" s="232"/>
      <c r="L101" s="232"/>
      <c r="M101" s="232"/>
      <c r="N101" s="236"/>
      <c r="O101" s="236"/>
      <c r="P101" s="236"/>
    </row>
    <row r="102" spans="1:16" ht="27.75" customHeight="1" x14ac:dyDescent="0.2">
      <c r="A102" s="213"/>
      <c r="B102" s="213"/>
      <c r="C102" s="213"/>
      <c r="D102" s="222"/>
      <c r="E102" s="222"/>
      <c r="F102" s="222"/>
      <c r="G102" s="222"/>
      <c r="H102" s="223"/>
      <c r="I102" s="224"/>
      <c r="J102" s="224"/>
      <c r="K102" s="213"/>
      <c r="L102" s="213"/>
      <c r="M102" s="213"/>
      <c r="N102" s="213"/>
      <c r="O102" s="213"/>
    </row>
    <row r="103" spans="1:16" ht="39.950000000000003" customHeight="1" x14ac:dyDescent="0.2">
      <c r="A103" s="384" t="str">
        <f>Overview!B4&amp;" - Effective from "&amp;TEXT(Overview!$D$4,"d mmmm yyyy")&amp;" - Final new or amended EHV charges in NPG Yorkshire Area (GSP Group_M)"</f>
        <v>Leep Electricity Networks Limited - Effective from 1 April 2027 - Final new or amended EHV charges in NPG Yorkshire Area (GSP Group_M)</v>
      </c>
      <c r="B103" s="384"/>
      <c r="C103" s="384"/>
      <c r="D103" s="384"/>
      <c r="E103" s="384"/>
      <c r="F103" s="384"/>
      <c r="G103" s="384"/>
      <c r="H103" s="384"/>
      <c r="I103" s="384"/>
      <c r="J103" s="384"/>
      <c r="K103" s="384"/>
      <c r="L103" s="384"/>
      <c r="M103" s="384"/>
      <c r="N103" s="384"/>
      <c r="O103" s="213"/>
    </row>
    <row r="104" spans="1:16" ht="65.099999999999994" customHeight="1" x14ac:dyDescent="0.2">
      <c r="A104" s="19" t="s">
        <v>400</v>
      </c>
      <c r="B104" s="19" t="s">
        <v>376</v>
      </c>
      <c r="C104" s="19" t="s">
        <v>268</v>
      </c>
      <c r="D104" s="19" t="s">
        <v>377</v>
      </c>
      <c r="E104" s="19" t="s">
        <v>269</v>
      </c>
      <c r="F104" s="214" t="s">
        <v>29</v>
      </c>
      <c r="G104" s="128" t="s">
        <v>350</v>
      </c>
      <c r="H104" s="127" t="s">
        <v>279</v>
      </c>
      <c r="I104" s="127" t="s">
        <v>348</v>
      </c>
      <c r="J104" s="127" t="s">
        <v>361</v>
      </c>
      <c r="K104" s="127" t="s">
        <v>351</v>
      </c>
      <c r="L104" s="127" t="s">
        <v>280</v>
      </c>
      <c r="M104" s="127" t="s">
        <v>349</v>
      </c>
      <c r="N104" s="127" t="s">
        <v>362</v>
      </c>
      <c r="O104" s="213"/>
      <c r="P104" s="213"/>
    </row>
    <row r="105" spans="1:16" ht="22.5" customHeight="1" x14ac:dyDescent="0.2">
      <c r="A105" s="215"/>
      <c r="B105" s="215"/>
      <c r="C105" s="215"/>
      <c r="D105" s="215"/>
      <c r="E105" s="216"/>
      <c r="F105" s="217"/>
      <c r="G105" s="218"/>
      <c r="H105" s="219"/>
      <c r="I105" s="219"/>
      <c r="J105" s="219"/>
      <c r="K105" s="220"/>
      <c r="L105" s="221"/>
      <c r="M105" s="221"/>
      <c r="N105" s="221"/>
      <c r="O105" s="213"/>
      <c r="P105" s="213"/>
    </row>
    <row r="106" spans="1:16" ht="27.75" customHeight="1" x14ac:dyDescent="0.2">
      <c r="A106" s="213"/>
      <c r="B106" s="213"/>
      <c r="C106" s="213"/>
      <c r="D106" s="222"/>
      <c r="E106" s="222"/>
      <c r="F106" s="222"/>
      <c r="G106" s="222"/>
      <c r="H106" s="223"/>
      <c r="I106" s="224"/>
      <c r="J106" s="224"/>
      <c r="K106" s="213"/>
      <c r="L106" s="213"/>
      <c r="M106" s="213"/>
      <c r="N106" s="213"/>
      <c r="O106" s="213"/>
    </row>
    <row r="107" spans="1:16" ht="39.950000000000003" customHeight="1" x14ac:dyDescent="0.2">
      <c r="A107" s="384" t="str">
        <f>Overview!B4&amp;" - Effective from "&amp;TEXT(Overview!$D$4,"d mmmm yyyy")&amp;" - Final new or amended EHV line loss factors in NPG Yorkshire Area (GSP Group_M)"</f>
        <v>Leep Electricity Networks Limited - Effective from 1 April 2027 - Final new or amended EHV line loss factors in NPG Yorkshire Area (GSP Group_M)</v>
      </c>
      <c r="B107" s="384"/>
      <c r="C107" s="384"/>
      <c r="D107" s="384"/>
      <c r="E107" s="384"/>
      <c r="F107" s="384"/>
      <c r="G107" s="384"/>
      <c r="H107" s="384"/>
      <c r="I107" s="384"/>
      <c r="J107" s="384"/>
      <c r="K107" s="384"/>
      <c r="L107" s="384"/>
      <c r="M107" s="384"/>
      <c r="N107" s="384"/>
    </row>
    <row r="108" spans="1:16" ht="65.099999999999994" customHeight="1" x14ac:dyDescent="0.2">
      <c r="A108" s="19" t="s">
        <v>400</v>
      </c>
      <c r="B108" s="19" t="s">
        <v>376</v>
      </c>
      <c r="C108" s="19" t="s">
        <v>268</v>
      </c>
      <c r="D108" s="19" t="s">
        <v>377</v>
      </c>
      <c r="E108" s="19" t="s">
        <v>269</v>
      </c>
      <c r="F108" s="214" t="s">
        <v>29</v>
      </c>
      <c r="G108" s="225" t="s">
        <v>386</v>
      </c>
      <c r="H108" s="225" t="s">
        <v>387</v>
      </c>
      <c r="I108" s="225" t="s">
        <v>388</v>
      </c>
      <c r="J108" s="225" t="s">
        <v>389</v>
      </c>
      <c r="K108" s="226" t="s">
        <v>391</v>
      </c>
      <c r="L108" s="226" t="s">
        <v>392</v>
      </c>
      <c r="M108" s="226" t="s">
        <v>393</v>
      </c>
      <c r="N108" s="226" t="s">
        <v>394</v>
      </c>
    </row>
    <row r="109" spans="1:16" ht="22.5" customHeight="1" x14ac:dyDescent="0.2">
      <c r="A109" s="215"/>
      <c r="B109" s="215"/>
      <c r="C109" s="215"/>
      <c r="D109" s="215"/>
      <c r="E109" s="216"/>
      <c r="F109" s="227"/>
      <c r="G109" s="228"/>
      <c r="H109" s="228"/>
      <c r="I109" s="229"/>
      <c r="J109" s="230"/>
      <c r="K109" s="231"/>
      <c r="L109" s="231"/>
      <c r="M109" s="231"/>
      <c r="N109" s="231"/>
    </row>
    <row r="110" spans="1:16" ht="27.75" customHeight="1" thickBot="1" x14ac:dyDescent="0.25">
      <c r="A110" s="232"/>
      <c r="B110" s="232"/>
      <c r="C110" s="232"/>
      <c r="D110" s="233"/>
      <c r="E110" s="233"/>
      <c r="F110" s="233"/>
      <c r="G110" s="233"/>
      <c r="H110" s="234"/>
      <c r="I110" s="235"/>
      <c r="J110" s="235"/>
      <c r="K110" s="232"/>
      <c r="L110" s="232"/>
      <c r="M110" s="232"/>
      <c r="N110" s="236"/>
      <c r="O110" s="236"/>
      <c r="P110" s="236"/>
    </row>
    <row r="111" spans="1:16" ht="27.75" customHeight="1" x14ac:dyDescent="0.2">
      <c r="A111" s="213"/>
      <c r="B111" s="213"/>
      <c r="C111" s="213"/>
      <c r="D111" s="222"/>
      <c r="E111" s="222"/>
      <c r="F111" s="222"/>
      <c r="G111" s="222"/>
      <c r="H111" s="223"/>
      <c r="I111" s="224"/>
      <c r="J111" s="224"/>
      <c r="K111" s="213"/>
      <c r="L111" s="213"/>
      <c r="M111" s="213"/>
      <c r="N111" s="213"/>
      <c r="O111" s="213"/>
    </row>
    <row r="112" spans="1:16" ht="39.950000000000003" customHeight="1" x14ac:dyDescent="0.2">
      <c r="A112" s="384" t="str">
        <f>Overview!B98&amp;" - Effective from "&amp;Overview!D98&amp;" - Final new or amended EHV charges in SP Distribution Area (GSP Group_N)"</f>
        <v xml:space="preserve"> - Effective from  - Final new or amended EHV charges in SP Distribution Area (GSP Group_N)</v>
      </c>
      <c r="B112" s="384"/>
      <c r="C112" s="384"/>
      <c r="D112" s="384"/>
      <c r="E112" s="384"/>
      <c r="F112" s="384"/>
      <c r="G112" s="384"/>
      <c r="H112" s="384"/>
      <c r="I112" s="384"/>
      <c r="J112" s="384"/>
      <c r="K112" s="384"/>
      <c r="L112" s="384"/>
      <c r="M112" s="384"/>
      <c r="N112" s="384"/>
      <c r="O112" s="213"/>
    </row>
    <row r="113" spans="1:16" ht="65.099999999999994" customHeight="1" x14ac:dyDescent="0.2">
      <c r="A113" s="19" t="s">
        <v>400</v>
      </c>
      <c r="B113" s="19" t="s">
        <v>376</v>
      </c>
      <c r="C113" s="19" t="s">
        <v>268</v>
      </c>
      <c r="D113" s="19" t="s">
        <v>377</v>
      </c>
      <c r="E113" s="19" t="s">
        <v>269</v>
      </c>
      <c r="F113" s="214" t="s">
        <v>29</v>
      </c>
      <c r="G113" s="128" t="s">
        <v>350</v>
      </c>
      <c r="H113" s="127" t="s">
        <v>279</v>
      </c>
      <c r="I113" s="127" t="s">
        <v>348</v>
      </c>
      <c r="J113" s="127" t="s">
        <v>361</v>
      </c>
      <c r="K113" s="127" t="s">
        <v>351</v>
      </c>
      <c r="L113" s="127" t="s">
        <v>280</v>
      </c>
      <c r="M113" s="127" t="s">
        <v>349</v>
      </c>
      <c r="N113" s="127" t="s">
        <v>362</v>
      </c>
      <c r="O113" s="213"/>
      <c r="P113" s="213"/>
    </row>
    <row r="114" spans="1:16" ht="22.5" customHeight="1" x14ac:dyDescent="0.2">
      <c r="A114" s="215"/>
      <c r="B114" s="215"/>
      <c r="C114" s="215"/>
      <c r="D114" s="215"/>
      <c r="E114" s="216"/>
      <c r="F114" s="217"/>
      <c r="G114" s="218"/>
      <c r="H114" s="219"/>
      <c r="I114" s="219"/>
      <c r="J114" s="219"/>
      <c r="K114" s="220"/>
      <c r="L114" s="221"/>
      <c r="M114" s="221"/>
      <c r="N114" s="221"/>
      <c r="O114" s="213"/>
      <c r="P114" s="213"/>
    </row>
    <row r="115" spans="1:16" ht="27.75" customHeight="1" x14ac:dyDescent="0.2">
      <c r="A115" s="213"/>
      <c r="B115" s="213"/>
      <c r="C115" s="213"/>
      <c r="D115" s="222"/>
      <c r="E115" s="222"/>
      <c r="F115" s="222"/>
      <c r="G115" s="222"/>
      <c r="H115" s="223"/>
      <c r="I115" s="224"/>
      <c r="J115" s="224"/>
      <c r="K115" s="213"/>
      <c r="L115" s="213"/>
      <c r="M115" s="213"/>
      <c r="N115" s="213"/>
      <c r="O115" s="213"/>
    </row>
    <row r="116" spans="1:16" ht="39.950000000000003" customHeight="1" x14ac:dyDescent="0.2">
      <c r="A116" s="384" t="str">
        <f>Overview!B98&amp;" - Effective from "&amp;Overview!D98&amp;" - Final new or amended EHV line loss factors in SP Distribution Area (GSP Group_N)"</f>
        <v xml:space="preserve"> - Effective from  - Final new or amended EHV line loss factors in SP Distribution Area (GSP Group_N)</v>
      </c>
      <c r="B116" s="384"/>
      <c r="C116" s="384"/>
      <c r="D116" s="384"/>
      <c r="E116" s="384"/>
      <c r="F116" s="384"/>
      <c r="G116" s="384"/>
      <c r="H116" s="384"/>
      <c r="I116" s="384"/>
      <c r="J116" s="384"/>
      <c r="K116" s="384"/>
      <c r="L116" s="384"/>
      <c r="M116" s="384"/>
      <c r="N116" s="384"/>
    </row>
    <row r="117" spans="1:16" ht="65.099999999999994" customHeight="1" x14ac:dyDescent="0.2">
      <c r="A117" s="19" t="s">
        <v>400</v>
      </c>
      <c r="B117" s="19" t="s">
        <v>376</v>
      </c>
      <c r="C117" s="19" t="s">
        <v>268</v>
      </c>
      <c r="D117" s="19" t="s">
        <v>377</v>
      </c>
      <c r="E117" s="19" t="s">
        <v>269</v>
      </c>
      <c r="F117" s="214" t="s">
        <v>29</v>
      </c>
      <c r="G117" s="225" t="s">
        <v>386</v>
      </c>
      <c r="H117" s="225" t="s">
        <v>387</v>
      </c>
      <c r="I117" s="225" t="s">
        <v>388</v>
      </c>
      <c r="J117" s="225" t="s">
        <v>389</v>
      </c>
      <c r="K117" s="226" t="s">
        <v>391</v>
      </c>
      <c r="L117" s="226" t="s">
        <v>392</v>
      </c>
      <c r="M117" s="226" t="s">
        <v>393</v>
      </c>
      <c r="N117" s="226" t="s">
        <v>394</v>
      </c>
    </row>
    <row r="118" spans="1:16" ht="22.5" customHeight="1" x14ac:dyDescent="0.2">
      <c r="A118" s="215"/>
      <c r="B118" s="215"/>
      <c r="C118" s="215"/>
      <c r="D118" s="215"/>
      <c r="E118" s="216"/>
      <c r="F118" s="227"/>
      <c r="G118" s="228"/>
      <c r="H118" s="228"/>
      <c r="I118" s="229"/>
      <c r="J118" s="230"/>
      <c r="K118" s="231"/>
      <c r="L118" s="231"/>
      <c r="M118" s="231"/>
      <c r="N118" s="231"/>
    </row>
    <row r="119" spans="1:16" ht="27.75" customHeight="1" thickBot="1" x14ac:dyDescent="0.25">
      <c r="A119" s="232"/>
      <c r="B119" s="232"/>
      <c r="C119" s="232"/>
      <c r="D119" s="233"/>
      <c r="E119" s="233"/>
      <c r="F119" s="233"/>
      <c r="G119" s="233"/>
      <c r="H119" s="234"/>
      <c r="I119" s="235"/>
      <c r="J119" s="235"/>
      <c r="K119" s="232"/>
      <c r="L119" s="232"/>
      <c r="M119" s="232"/>
      <c r="N119" s="236"/>
      <c r="O119" s="236"/>
      <c r="P119" s="236"/>
    </row>
    <row r="120" spans="1:16" ht="27.75" customHeight="1" x14ac:dyDescent="0.2">
      <c r="A120" s="237"/>
      <c r="B120" s="237"/>
      <c r="C120" s="237"/>
      <c r="D120" s="238"/>
      <c r="E120" s="238"/>
      <c r="F120" s="238"/>
      <c r="G120" s="238"/>
      <c r="H120" s="239"/>
      <c r="I120" s="240"/>
      <c r="J120" s="240"/>
      <c r="K120" s="237"/>
      <c r="L120" s="237"/>
      <c r="M120" s="237"/>
      <c r="N120" s="213"/>
      <c r="O120" s="213"/>
      <c r="P120" s="213"/>
    </row>
    <row r="121" spans="1:16" ht="42" customHeight="1" x14ac:dyDescent="0.2">
      <c r="A121" s="384" t="str">
        <f>Overview!B74&amp;" - Effective from "&amp;Overview!D74&amp;" - Final new or amended EHV charges in SSE SHEPD Area (GSP Group_P)"</f>
        <v xml:space="preserve"> - Effective from  - Final new or amended EHV charges in SSE SHEPD Area (GSP Group_P)</v>
      </c>
      <c r="B121" s="384"/>
      <c r="C121" s="384"/>
      <c r="D121" s="384"/>
      <c r="E121" s="384"/>
      <c r="F121" s="384"/>
      <c r="G121" s="384"/>
      <c r="H121" s="384"/>
      <c r="I121" s="384"/>
      <c r="J121" s="384"/>
      <c r="K121" s="384"/>
      <c r="L121" s="384"/>
      <c r="M121" s="384"/>
      <c r="N121" s="384"/>
      <c r="O121" s="213"/>
    </row>
    <row r="122" spans="1:16" ht="68.25" customHeight="1" x14ac:dyDescent="0.2">
      <c r="A122" s="19" t="s">
        <v>400</v>
      </c>
      <c r="B122" s="19" t="s">
        <v>376</v>
      </c>
      <c r="C122" s="19" t="s">
        <v>268</v>
      </c>
      <c r="D122" s="19" t="s">
        <v>377</v>
      </c>
      <c r="E122" s="19" t="s">
        <v>269</v>
      </c>
      <c r="F122" s="214" t="s">
        <v>29</v>
      </c>
      <c r="G122" s="128" t="s">
        <v>350</v>
      </c>
      <c r="H122" s="127" t="s">
        <v>279</v>
      </c>
      <c r="I122" s="127" t="s">
        <v>348</v>
      </c>
      <c r="J122" s="127" t="s">
        <v>361</v>
      </c>
      <c r="K122" s="127" t="s">
        <v>351</v>
      </c>
      <c r="L122" s="127" t="s">
        <v>280</v>
      </c>
      <c r="M122" s="127" t="s">
        <v>349</v>
      </c>
      <c r="N122" s="127" t="s">
        <v>362</v>
      </c>
      <c r="O122" s="213"/>
      <c r="P122" s="213"/>
    </row>
    <row r="123" spans="1:16" ht="27.75" customHeight="1" x14ac:dyDescent="0.2">
      <c r="A123" s="215"/>
      <c r="B123" s="215"/>
      <c r="C123" s="215"/>
      <c r="D123" s="215"/>
      <c r="E123" s="216"/>
      <c r="F123" s="217"/>
      <c r="G123" s="218"/>
      <c r="H123" s="219"/>
      <c r="I123" s="219"/>
      <c r="J123" s="219"/>
      <c r="K123" s="220"/>
      <c r="L123" s="221"/>
      <c r="M123" s="221"/>
      <c r="N123" s="221"/>
      <c r="O123" s="213"/>
      <c r="P123" s="213"/>
    </row>
    <row r="124" spans="1:16" ht="27.75" customHeight="1" x14ac:dyDescent="0.2">
      <c r="A124" s="213"/>
      <c r="B124" s="213"/>
      <c r="C124" s="213"/>
      <c r="D124" s="222"/>
      <c r="E124" s="222"/>
      <c r="F124" s="222"/>
      <c r="G124" s="222"/>
      <c r="H124" s="223"/>
      <c r="I124" s="224"/>
      <c r="J124" s="224"/>
      <c r="K124" s="213"/>
      <c r="L124" s="213"/>
      <c r="M124" s="213"/>
      <c r="N124" s="213"/>
      <c r="O124" s="213"/>
    </row>
    <row r="125" spans="1:16" ht="48" customHeight="1" x14ac:dyDescent="0.2">
      <c r="A125" s="384" t="str">
        <f>Overview!B74&amp;" - Effective from "&amp;Overview!D74&amp;" - Final new or amended EHV line loss factors in SSE SHEPD Area (GSP Group_P)"</f>
        <v xml:space="preserve"> - Effective from  - Final new or amended EHV line loss factors in SSE SHEPD Area (GSP Group_P)</v>
      </c>
      <c r="B125" s="384"/>
      <c r="C125" s="384"/>
      <c r="D125" s="384"/>
      <c r="E125" s="384"/>
      <c r="F125" s="384"/>
      <c r="G125" s="384"/>
      <c r="H125" s="384"/>
      <c r="I125" s="384"/>
      <c r="J125" s="384"/>
      <c r="K125" s="384"/>
      <c r="L125" s="384"/>
      <c r="M125" s="384"/>
      <c r="N125" s="384"/>
      <c r="O125" s="384"/>
      <c r="P125" s="384"/>
    </row>
    <row r="126" spans="1:16" ht="45.75" customHeight="1" x14ac:dyDescent="0.2">
      <c r="A126" s="19" t="s">
        <v>400</v>
      </c>
      <c r="B126" s="19" t="s">
        <v>376</v>
      </c>
      <c r="C126" s="19" t="s">
        <v>268</v>
      </c>
      <c r="D126" s="19" t="s">
        <v>377</v>
      </c>
      <c r="E126" s="19" t="s">
        <v>269</v>
      </c>
      <c r="F126" s="214" t="s">
        <v>29</v>
      </c>
      <c r="G126" s="225" t="s">
        <v>386</v>
      </c>
      <c r="H126" s="225" t="s">
        <v>387</v>
      </c>
      <c r="I126" s="225" t="s">
        <v>388</v>
      </c>
      <c r="J126" s="225" t="s">
        <v>389</v>
      </c>
      <c r="K126" s="225" t="s">
        <v>390</v>
      </c>
      <c r="L126" s="226" t="s">
        <v>391</v>
      </c>
      <c r="M126" s="226" t="s">
        <v>392</v>
      </c>
      <c r="N126" s="226" t="s">
        <v>393</v>
      </c>
      <c r="O126" s="226" t="s">
        <v>394</v>
      </c>
      <c r="P126" s="226" t="s">
        <v>395</v>
      </c>
    </row>
    <row r="127" spans="1:16" ht="27.75" customHeight="1" x14ac:dyDescent="0.2">
      <c r="A127" s="215"/>
      <c r="B127" s="215"/>
      <c r="C127" s="215"/>
      <c r="D127" s="215"/>
      <c r="E127" s="216"/>
      <c r="F127" s="227"/>
      <c r="G127" s="228"/>
      <c r="H127" s="228"/>
      <c r="I127" s="229"/>
      <c r="J127" s="230"/>
      <c r="K127" s="230"/>
      <c r="L127" s="231"/>
      <c r="M127" s="231"/>
      <c r="N127" s="231"/>
      <c r="O127" s="231"/>
      <c r="P127" s="231"/>
    </row>
    <row r="128" spans="1:16" ht="27.75" customHeight="1" thickBot="1" x14ac:dyDescent="0.25">
      <c r="A128" s="232"/>
      <c r="B128" s="232"/>
      <c r="C128" s="232"/>
      <c r="D128" s="233"/>
      <c r="E128" s="233"/>
      <c r="F128" s="233"/>
      <c r="G128" s="233"/>
      <c r="H128" s="234"/>
      <c r="I128" s="235"/>
      <c r="J128" s="235"/>
      <c r="K128" s="232"/>
      <c r="L128" s="232"/>
      <c r="M128" s="232"/>
      <c r="N128" s="232"/>
      <c r="O128" s="232"/>
      <c r="P128" s="236"/>
    </row>
  </sheetData>
  <mergeCells count="29">
    <mergeCell ref="A2:P2"/>
    <mergeCell ref="A17:N17"/>
    <mergeCell ref="A22:N22"/>
    <mergeCell ref="A26:P26"/>
    <mergeCell ref="A31:N31"/>
    <mergeCell ref="A58:N58"/>
    <mergeCell ref="A62:N62"/>
    <mergeCell ref="A80:P80"/>
    <mergeCell ref="A4:N4"/>
    <mergeCell ref="A8:P8"/>
    <mergeCell ref="A13:N13"/>
    <mergeCell ref="A76:N76"/>
    <mergeCell ref="A35:N35"/>
    <mergeCell ref="A40:N40"/>
    <mergeCell ref="A44:N44"/>
    <mergeCell ref="A49:N49"/>
    <mergeCell ref="A53:N53"/>
    <mergeCell ref="A67:N67"/>
    <mergeCell ref="A71:P71"/>
    <mergeCell ref="A112:N112"/>
    <mergeCell ref="A116:N116"/>
    <mergeCell ref="A121:N121"/>
    <mergeCell ref="A125:P125"/>
    <mergeCell ref="A85:N85"/>
    <mergeCell ref="A94:N94"/>
    <mergeCell ref="A98:N98"/>
    <mergeCell ref="A103:N103"/>
    <mergeCell ref="A107:N107"/>
    <mergeCell ref="A89:N89"/>
  </mergeCells>
  <hyperlinks>
    <hyperlink ref="A1" location="Overview!A1" display="Back to Overview" xr:uid="{E5B7E448-B7F4-4B65-99E6-D1E8170D7A21}"/>
  </hyperlinks>
  <pageMargins left="0.39370078740157483" right="0.35433070866141736" top="1.1023622047244095" bottom="0.55118110236220474" header="0.35433070866141736" footer="0.31496062992125984"/>
  <pageSetup paperSize="9" scale="42" fitToHeight="0" orientation="portrait" r:id="rId1"/>
  <headerFooter differentFirst="1" scaleWithDoc="0">
    <oddFooter>&amp;L&amp;8Note: The list of MPANs / MSIDs provided may be incomplete; the DNO reserves the right to apply the listed charges to any other MPANs / MSIDs associated with the site.&amp;R&amp;P of &amp;N</oddFooter>
    <firstHeader>&amp;L
Annex 6 - New EHV Properties. Addendum to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site.&amp;R&amp;P of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E2171-904A-49E7-868E-71EF985E375B}">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UKPN EPN Area (GSP Group_A)"</f>
        <v>Leep Electricity Networks Limited - Effective from 1 April 2027 - Final Supplier of Last Resort and Eligible Bad Debt Pass-Through Costs in UKPN EPN Area (GSP Group_A)</v>
      </c>
      <c r="B2" s="526"/>
      <c r="C2" s="526"/>
      <c r="D2" s="526"/>
      <c r="E2" s="527"/>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802</v>
      </c>
      <c r="D5" s="328" t="s">
        <v>797</v>
      </c>
      <c r="E5" s="328" t="s">
        <v>797</v>
      </c>
    </row>
    <row r="6" spans="1:6" ht="27" customHeight="1" x14ac:dyDescent="0.2">
      <c r="A6" s="10" t="s">
        <v>675</v>
      </c>
      <c r="B6" s="27"/>
      <c r="C6" s="311" t="s">
        <v>803</v>
      </c>
      <c r="D6" s="329" t="s">
        <v>797</v>
      </c>
      <c r="E6" s="328" t="s">
        <v>797</v>
      </c>
    </row>
    <row r="7" spans="1:6" ht="27" customHeight="1" x14ac:dyDescent="0.2">
      <c r="A7" s="10" t="s">
        <v>676</v>
      </c>
      <c r="B7" s="27"/>
      <c r="C7" s="311" t="s">
        <v>803</v>
      </c>
      <c r="D7" s="329" t="s">
        <v>797</v>
      </c>
      <c r="E7" s="328" t="s">
        <v>797</v>
      </c>
    </row>
    <row r="8" spans="1:6" ht="27" customHeight="1" x14ac:dyDescent="0.2">
      <c r="A8" s="10" t="s">
        <v>677</v>
      </c>
      <c r="B8" s="27"/>
      <c r="C8" s="311" t="s">
        <v>803</v>
      </c>
      <c r="D8" s="329" t="s">
        <v>797</v>
      </c>
      <c r="E8" s="328" t="s">
        <v>797</v>
      </c>
    </row>
    <row r="9" spans="1:6" ht="27" customHeight="1" x14ac:dyDescent="0.2">
      <c r="A9" s="10" t="s">
        <v>678</v>
      </c>
      <c r="B9" s="27"/>
      <c r="C9" s="311" t="s">
        <v>803</v>
      </c>
      <c r="D9" s="329" t="s">
        <v>797</v>
      </c>
      <c r="E9" s="328" t="s">
        <v>797</v>
      </c>
    </row>
    <row r="10" spans="1:6" ht="27" customHeight="1" x14ac:dyDescent="0.2">
      <c r="A10" s="10" t="s">
        <v>679</v>
      </c>
      <c r="B10" s="27"/>
      <c r="C10" s="311" t="s">
        <v>803</v>
      </c>
      <c r="D10" s="329" t="s">
        <v>797</v>
      </c>
      <c r="E10" s="328" t="s">
        <v>797</v>
      </c>
    </row>
    <row r="11" spans="1:6" ht="27" customHeight="1" x14ac:dyDescent="0.2">
      <c r="A11" s="322" t="s">
        <v>496</v>
      </c>
      <c r="B11" s="27"/>
      <c r="C11" s="311">
        <v>0</v>
      </c>
      <c r="D11" s="329" t="s">
        <v>797</v>
      </c>
      <c r="E11" s="328" t="s">
        <v>797</v>
      </c>
    </row>
    <row r="12" spans="1:6" ht="27" customHeight="1" x14ac:dyDescent="0.2">
      <c r="A12" s="322" t="s">
        <v>497</v>
      </c>
      <c r="B12" s="27"/>
      <c r="C12" s="311">
        <v>0</v>
      </c>
      <c r="D12" s="329" t="s">
        <v>797</v>
      </c>
      <c r="E12" s="328" t="s">
        <v>797</v>
      </c>
    </row>
    <row r="13" spans="1:6" ht="27.75" customHeight="1" x14ac:dyDescent="0.2">
      <c r="A13" s="322" t="s">
        <v>498</v>
      </c>
      <c r="B13" s="27"/>
      <c r="C13" s="311">
        <v>0</v>
      </c>
      <c r="D13" s="329" t="s">
        <v>797</v>
      </c>
      <c r="E13" s="328" t="s">
        <v>797</v>
      </c>
    </row>
    <row r="14" spans="1:6" ht="27.75" customHeight="1" x14ac:dyDescent="0.2">
      <c r="A14" s="323" t="s">
        <v>499</v>
      </c>
      <c r="B14" s="27"/>
      <c r="C14" s="311">
        <v>0</v>
      </c>
      <c r="D14" s="329" t="s">
        <v>797</v>
      </c>
      <c r="E14" s="328" t="s">
        <v>797</v>
      </c>
    </row>
    <row r="15" spans="1:6" ht="27.75" customHeight="1" x14ac:dyDescent="0.2">
      <c r="A15" s="323" t="s">
        <v>500</v>
      </c>
      <c r="B15" s="27"/>
      <c r="C15" s="311">
        <v>0</v>
      </c>
      <c r="D15" s="329" t="s">
        <v>797</v>
      </c>
      <c r="E15" s="328" t="s">
        <v>797</v>
      </c>
    </row>
    <row r="16" spans="1:6" ht="27.75" customHeight="1" x14ac:dyDescent="0.2">
      <c r="A16" s="323" t="s">
        <v>501</v>
      </c>
      <c r="B16" s="27"/>
      <c r="C16" s="311">
        <v>0</v>
      </c>
      <c r="D16" s="329" t="s">
        <v>797</v>
      </c>
      <c r="E16" s="328" t="s">
        <v>797</v>
      </c>
    </row>
    <row r="17" spans="1:5" ht="27.75" customHeight="1" x14ac:dyDescent="0.2">
      <c r="A17" s="323" t="s">
        <v>502</v>
      </c>
      <c r="B17" s="27"/>
      <c r="C17" s="311">
        <v>0</v>
      </c>
      <c r="D17" s="329" t="s">
        <v>797</v>
      </c>
      <c r="E17" s="328" t="s">
        <v>797</v>
      </c>
    </row>
    <row r="18" spans="1:5" ht="27.75" customHeight="1" x14ac:dyDescent="0.2">
      <c r="A18" s="323" t="s">
        <v>503</v>
      </c>
      <c r="B18" s="27"/>
      <c r="C18" s="311">
        <v>0</v>
      </c>
      <c r="D18" s="329" t="s">
        <v>797</v>
      </c>
      <c r="E18" s="328" t="s">
        <v>797</v>
      </c>
    </row>
    <row r="19" spans="1:5" ht="27.75" customHeight="1" x14ac:dyDescent="0.2">
      <c r="A19" s="323" t="s">
        <v>504</v>
      </c>
      <c r="B19" s="27"/>
      <c r="C19" s="311">
        <v>0</v>
      </c>
      <c r="D19" s="329" t="s">
        <v>797</v>
      </c>
      <c r="E19" s="328" t="s">
        <v>797</v>
      </c>
    </row>
    <row r="20" spans="1:5" ht="27.75" customHeight="1" x14ac:dyDescent="0.2">
      <c r="A20" s="323" t="s">
        <v>505</v>
      </c>
      <c r="B20" s="27"/>
      <c r="C20" s="311">
        <v>0</v>
      </c>
      <c r="D20" s="329" t="s">
        <v>797</v>
      </c>
      <c r="E20" s="328" t="s">
        <v>797</v>
      </c>
    </row>
    <row r="21" spans="1:5" ht="27.75" customHeight="1" x14ac:dyDescent="0.2">
      <c r="A21" s="323" t="s">
        <v>506</v>
      </c>
      <c r="B21" s="27"/>
      <c r="C21" s="311">
        <v>0</v>
      </c>
      <c r="D21" s="329" t="s">
        <v>797</v>
      </c>
      <c r="E21" s="328" t="s">
        <v>797</v>
      </c>
    </row>
    <row r="22" spans="1:5" ht="27.75" customHeight="1" x14ac:dyDescent="0.2">
      <c r="A22" s="322" t="s">
        <v>507</v>
      </c>
      <c r="B22" s="27"/>
      <c r="C22" s="311">
        <v>0</v>
      </c>
      <c r="D22" s="329" t="s">
        <v>797</v>
      </c>
      <c r="E22" s="328" t="s">
        <v>797</v>
      </c>
    </row>
    <row r="23" spans="1:5" ht="27.75" customHeight="1" x14ac:dyDescent="0.2">
      <c r="A23" s="322" t="s">
        <v>508</v>
      </c>
      <c r="B23" s="27"/>
      <c r="C23" s="311">
        <v>0</v>
      </c>
      <c r="D23" s="329" t="s">
        <v>797</v>
      </c>
      <c r="E23" s="328" t="s">
        <v>797</v>
      </c>
    </row>
    <row r="24" spans="1:5" ht="27.75" customHeight="1" x14ac:dyDescent="0.2">
      <c r="A24" s="322" t="s">
        <v>509</v>
      </c>
      <c r="B24" s="27"/>
      <c r="C24" s="311">
        <v>0</v>
      </c>
      <c r="D24" s="329" t="s">
        <v>797</v>
      </c>
      <c r="E24" s="328" t="s">
        <v>797</v>
      </c>
    </row>
    <row r="25" spans="1:5" ht="27.75" customHeight="1" x14ac:dyDescent="0.2">
      <c r="A25" s="322" t="s">
        <v>510</v>
      </c>
      <c r="B25" s="27"/>
      <c r="C25" s="311">
        <v>0</v>
      </c>
      <c r="D25" s="328" t="s">
        <v>797</v>
      </c>
      <c r="E25" s="328" t="s">
        <v>797</v>
      </c>
    </row>
    <row r="26" spans="1:5" ht="27.75" customHeight="1" x14ac:dyDescent="0.2">
      <c r="A26" s="322" t="s">
        <v>680</v>
      </c>
      <c r="B26" s="27" t="s">
        <v>1184</v>
      </c>
      <c r="C26" s="311" t="s">
        <v>802</v>
      </c>
      <c r="D26" s="329" t="s">
        <v>797</v>
      </c>
      <c r="E26" s="328" t="s">
        <v>797</v>
      </c>
    </row>
    <row r="27" spans="1:5" ht="27.75" customHeight="1" x14ac:dyDescent="0.2">
      <c r="A27" s="322" t="s">
        <v>687</v>
      </c>
      <c r="B27" s="27" t="s">
        <v>1185</v>
      </c>
      <c r="C27" s="311" t="s">
        <v>803</v>
      </c>
      <c r="D27" s="329" t="s">
        <v>797</v>
      </c>
      <c r="E27" s="328" t="s">
        <v>797</v>
      </c>
    </row>
    <row r="28" spans="1:5" ht="27.75" customHeight="1" x14ac:dyDescent="0.2">
      <c r="A28" s="322" t="s">
        <v>694</v>
      </c>
      <c r="B28" s="27" t="s">
        <v>1186</v>
      </c>
      <c r="C28" s="311" t="s">
        <v>803</v>
      </c>
      <c r="D28" s="329" t="s">
        <v>797</v>
      </c>
      <c r="E28" s="328" t="s">
        <v>797</v>
      </c>
    </row>
    <row r="29" spans="1:5" ht="27.75" customHeight="1" x14ac:dyDescent="0.2">
      <c r="A29" s="322" t="s">
        <v>701</v>
      </c>
      <c r="B29" s="27" t="s">
        <v>1187</v>
      </c>
      <c r="C29" s="311" t="s">
        <v>803</v>
      </c>
      <c r="D29" s="329" t="s">
        <v>797</v>
      </c>
      <c r="E29" s="328" t="s">
        <v>797</v>
      </c>
    </row>
    <row r="30" spans="1:5" ht="27.75" customHeight="1" x14ac:dyDescent="0.2">
      <c r="A30" s="322" t="s">
        <v>708</v>
      </c>
      <c r="B30" s="27" t="s">
        <v>1188</v>
      </c>
      <c r="C30" s="311" t="s">
        <v>803</v>
      </c>
      <c r="D30" s="329" t="s">
        <v>797</v>
      </c>
      <c r="E30" s="328" t="s">
        <v>797</v>
      </c>
    </row>
    <row r="31" spans="1:5" ht="27.75" customHeight="1" x14ac:dyDescent="0.2">
      <c r="A31" s="322" t="s">
        <v>715</v>
      </c>
      <c r="B31" s="27" t="s">
        <v>1189</v>
      </c>
      <c r="C31" s="311" t="s">
        <v>803</v>
      </c>
      <c r="D31" s="329" t="s">
        <v>797</v>
      </c>
      <c r="E31" s="328" t="s">
        <v>797</v>
      </c>
    </row>
    <row r="32" spans="1:5" ht="27.75" customHeight="1" x14ac:dyDescent="0.2">
      <c r="A32" s="322" t="s">
        <v>544</v>
      </c>
      <c r="B32" s="27" t="s">
        <v>797</v>
      </c>
      <c r="C32" s="311">
        <v>0</v>
      </c>
      <c r="D32" s="329" t="s">
        <v>797</v>
      </c>
      <c r="E32" s="328" t="s">
        <v>797</v>
      </c>
    </row>
    <row r="33" spans="1:5" ht="27.75" customHeight="1" x14ac:dyDescent="0.2">
      <c r="A33" s="322" t="s">
        <v>545</v>
      </c>
      <c r="B33" s="27" t="s">
        <v>1190</v>
      </c>
      <c r="C33" s="311">
        <v>0</v>
      </c>
      <c r="D33" s="329" t="s">
        <v>797</v>
      </c>
      <c r="E33" s="328" t="s">
        <v>797</v>
      </c>
    </row>
    <row r="34" spans="1:5" ht="27.75" customHeight="1" x14ac:dyDescent="0.2">
      <c r="A34" s="322" t="s">
        <v>546</v>
      </c>
      <c r="B34" s="27" t="s">
        <v>1191</v>
      </c>
      <c r="C34" s="311">
        <v>0</v>
      </c>
      <c r="D34" s="329" t="s">
        <v>797</v>
      </c>
      <c r="E34" s="328" t="s">
        <v>797</v>
      </c>
    </row>
    <row r="35" spans="1:5" ht="27.75" customHeight="1" x14ac:dyDescent="0.2">
      <c r="A35" s="322" t="s">
        <v>547</v>
      </c>
      <c r="B35" s="27" t="s">
        <v>1192</v>
      </c>
      <c r="C35" s="311">
        <v>0</v>
      </c>
      <c r="D35" s="329" t="s">
        <v>797</v>
      </c>
      <c r="E35" s="328" t="s">
        <v>797</v>
      </c>
    </row>
    <row r="36" spans="1:5" ht="27.75" customHeight="1" x14ac:dyDescent="0.2">
      <c r="A36" s="323" t="s">
        <v>548</v>
      </c>
      <c r="B36" s="27" t="s">
        <v>1193</v>
      </c>
      <c r="C36" s="311">
        <v>0</v>
      </c>
      <c r="D36" s="328" t="s">
        <v>797</v>
      </c>
      <c r="E36" s="328" t="s">
        <v>797</v>
      </c>
    </row>
    <row r="37" spans="1:5" ht="27.75" customHeight="1" x14ac:dyDescent="0.2">
      <c r="A37" s="322" t="s">
        <v>681</v>
      </c>
      <c r="B37" s="27" t="e">
        <v>#N/A</v>
      </c>
      <c r="C37" s="311" t="s">
        <v>802</v>
      </c>
      <c r="D37" s="329" t="s">
        <v>797</v>
      </c>
      <c r="E37" s="328" t="s">
        <v>797</v>
      </c>
    </row>
    <row r="38" spans="1:5" ht="27.75" customHeight="1" x14ac:dyDescent="0.2">
      <c r="A38" s="322" t="s">
        <v>688</v>
      </c>
      <c r="B38" s="27" t="s">
        <v>1194</v>
      </c>
      <c r="C38" s="311" t="s">
        <v>803</v>
      </c>
      <c r="D38" s="329" t="s">
        <v>797</v>
      </c>
      <c r="E38" s="328" t="s">
        <v>797</v>
      </c>
    </row>
    <row r="39" spans="1:5" ht="27.75" customHeight="1" x14ac:dyDescent="0.2">
      <c r="A39" s="322" t="s">
        <v>695</v>
      </c>
      <c r="B39" s="27" t="s">
        <v>1195</v>
      </c>
      <c r="C39" s="311" t="s">
        <v>803</v>
      </c>
      <c r="D39" s="329" t="s">
        <v>797</v>
      </c>
      <c r="E39" s="328" t="s">
        <v>797</v>
      </c>
    </row>
    <row r="40" spans="1:5" ht="27.75" customHeight="1" x14ac:dyDescent="0.2">
      <c r="A40" s="322" t="s">
        <v>702</v>
      </c>
      <c r="B40" s="27" t="s">
        <v>1196</v>
      </c>
      <c r="C40" s="311" t="s">
        <v>803</v>
      </c>
      <c r="D40" s="329" t="s">
        <v>797</v>
      </c>
      <c r="E40" s="328" t="s">
        <v>797</v>
      </c>
    </row>
    <row r="41" spans="1:5" ht="27.75" customHeight="1" x14ac:dyDescent="0.2">
      <c r="A41" s="322" t="s">
        <v>709</v>
      </c>
      <c r="B41" s="27" t="s">
        <v>1197</v>
      </c>
      <c r="C41" s="311" t="s">
        <v>803</v>
      </c>
      <c r="D41" s="329" t="s">
        <v>797</v>
      </c>
      <c r="E41" s="328" t="s">
        <v>797</v>
      </c>
    </row>
    <row r="42" spans="1:5" ht="27.75" customHeight="1" x14ac:dyDescent="0.2">
      <c r="A42" s="322" t="s">
        <v>716</v>
      </c>
      <c r="B42" s="27" t="s">
        <v>1198</v>
      </c>
      <c r="C42" s="311" t="s">
        <v>803</v>
      </c>
      <c r="D42" s="329" t="s">
        <v>797</v>
      </c>
      <c r="E42" s="328" t="s">
        <v>797</v>
      </c>
    </row>
    <row r="43" spans="1:5" ht="27.75" customHeight="1" x14ac:dyDescent="0.2">
      <c r="A43" s="322" t="s">
        <v>550</v>
      </c>
      <c r="B43" s="27" t="s">
        <v>797</v>
      </c>
      <c r="C43" s="311">
        <v>0</v>
      </c>
      <c r="D43" s="329" t="s">
        <v>797</v>
      </c>
      <c r="E43" s="328" t="s">
        <v>797</v>
      </c>
    </row>
    <row r="44" spans="1:5" ht="27.75" customHeight="1" x14ac:dyDescent="0.2">
      <c r="A44" s="322" t="s">
        <v>551</v>
      </c>
      <c r="B44" s="27" t="s">
        <v>1199</v>
      </c>
      <c r="C44" s="311">
        <v>0</v>
      </c>
      <c r="D44" s="329" t="s">
        <v>797</v>
      </c>
      <c r="E44" s="328" t="s">
        <v>797</v>
      </c>
    </row>
    <row r="45" spans="1:5" ht="27.75" customHeight="1" x14ac:dyDescent="0.2">
      <c r="A45" s="322" t="s">
        <v>552</v>
      </c>
      <c r="B45" s="27" t="s">
        <v>1200</v>
      </c>
      <c r="C45" s="311">
        <v>0</v>
      </c>
      <c r="D45" s="329" t="s">
        <v>797</v>
      </c>
      <c r="E45" s="328" t="s">
        <v>797</v>
      </c>
    </row>
    <row r="46" spans="1:5" ht="27.75" customHeight="1" x14ac:dyDescent="0.2">
      <c r="A46" s="322" t="s">
        <v>553</v>
      </c>
      <c r="B46" s="27" t="s">
        <v>1201</v>
      </c>
      <c r="C46" s="311">
        <v>0</v>
      </c>
      <c r="D46" s="329" t="s">
        <v>797</v>
      </c>
      <c r="E46" s="328" t="s">
        <v>797</v>
      </c>
    </row>
    <row r="47" spans="1:5" ht="27.75" customHeight="1" x14ac:dyDescent="0.2">
      <c r="A47" s="322" t="s">
        <v>554</v>
      </c>
      <c r="B47" s="27" t="s">
        <v>1202</v>
      </c>
      <c r="C47" s="311">
        <v>0</v>
      </c>
      <c r="D47" s="329" t="s">
        <v>797</v>
      </c>
      <c r="E47" s="328" t="s">
        <v>797</v>
      </c>
    </row>
    <row r="48" spans="1:5" ht="27.75" customHeight="1" x14ac:dyDescent="0.2">
      <c r="A48" s="322" t="s">
        <v>555</v>
      </c>
      <c r="B48" s="27" t="s">
        <v>797</v>
      </c>
      <c r="C48" s="311">
        <v>0</v>
      </c>
      <c r="D48" s="329" t="s">
        <v>797</v>
      </c>
      <c r="E48" s="328" t="s">
        <v>797</v>
      </c>
    </row>
    <row r="49" spans="1:5" ht="27.75" customHeight="1" x14ac:dyDescent="0.2">
      <c r="A49" s="322" t="s">
        <v>556</v>
      </c>
      <c r="B49" s="27" t="s">
        <v>1203</v>
      </c>
      <c r="C49" s="311">
        <v>0</v>
      </c>
      <c r="D49" s="329" t="s">
        <v>797</v>
      </c>
      <c r="E49" s="328" t="s">
        <v>797</v>
      </c>
    </row>
    <row r="50" spans="1:5" ht="27.75" customHeight="1" x14ac:dyDescent="0.2">
      <c r="A50" s="322" t="s">
        <v>557</v>
      </c>
      <c r="B50" s="27" t="s">
        <v>1204</v>
      </c>
      <c r="C50" s="311">
        <v>0</v>
      </c>
      <c r="D50" s="329" t="s">
        <v>797</v>
      </c>
      <c r="E50" s="328" t="s">
        <v>797</v>
      </c>
    </row>
    <row r="51" spans="1:5" ht="27.75" customHeight="1" x14ac:dyDescent="0.2">
      <c r="A51" s="322" t="s">
        <v>558</v>
      </c>
      <c r="B51" s="27" t="s">
        <v>1205</v>
      </c>
      <c r="C51" s="311">
        <v>0</v>
      </c>
      <c r="D51" s="329" t="s">
        <v>797</v>
      </c>
      <c r="E51" s="328" t="s">
        <v>797</v>
      </c>
    </row>
    <row r="52" spans="1:5" ht="27.75" customHeight="1" x14ac:dyDescent="0.2">
      <c r="A52" s="322" t="s">
        <v>559</v>
      </c>
      <c r="B52" s="27" t="s">
        <v>1206</v>
      </c>
      <c r="C52" s="311">
        <v>0</v>
      </c>
      <c r="D52" s="329" t="s">
        <v>797</v>
      </c>
      <c r="E52" s="328" t="s">
        <v>797</v>
      </c>
    </row>
    <row r="53" spans="1:5" ht="27.75" customHeight="1" x14ac:dyDescent="0.2">
      <c r="A53" s="322" t="s">
        <v>560</v>
      </c>
      <c r="B53" s="27" t="s">
        <v>797</v>
      </c>
      <c r="C53" s="311">
        <v>0</v>
      </c>
      <c r="D53" s="329" t="s">
        <v>797</v>
      </c>
      <c r="E53" s="328" t="s">
        <v>797</v>
      </c>
    </row>
    <row r="54" spans="1:5" ht="27.75" customHeight="1" x14ac:dyDescent="0.2">
      <c r="A54" s="322" t="s">
        <v>561</v>
      </c>
      <c r="B54" s="27" t="s">
        <v>1207</v>
      </c>
      <c r="C54" s="311">
        <v>0</v>
      </c>
      <c r="D54" s="329" t="s">
        <v>797</v>
      </c>
      <c r="E54" s="328" t="s">
        <v>797</v>
      </c>
    </row>
    <row r="55" spans="1:5" ht="27.75" customHeight="1" x14ac:dyDescent="0.2">
      <c r="A55" s="322" t="s">
        <v>562</v>
      </c>
      <c r="B55" s="27" t="s">
        <v>1208</v>
      </c>
      <c r="C55" s="311">
        <v>0</v>
      </c>
      <c r="D55" s="329" t="s">
        <v>797</v>
      </c>
      <c r="E55" s="328" t="s">
        <v>797</v>
      </c>
    </row>
    <row r="56" spans="1:5" ht="27.75" customHeight="1" x14ac:dyDescent="0.2">
      <c r="A56" s="322" t="s">
        <v>563</v>
      </c>
      <c r="B56" s="27" t="s">
        <v>1209</v>
      </c>
      <c r="C56" s="311">
        <v>0</v>
      </c>
      <c r="D56" s="329" t="s">
        <v>797</v>
      </c>
      <c r="E56" s="328" t="s">
        <v>797</v>
      </c>
    </row>
    <row r="57" spans="1:5" ht="27.75" customHeight="1" x14ac:dyDescent="0.2">
      <c r="A57" s="322" t="s">
        <v>564</v>
      </c>
      <c r="B57" s="27" t="s">
        <v>1210</v>
      </c>
      <c r="C57" s="311">
        <v>0</v>
      </c>
      <c r="D57" s="328" t="s">
        <v>797</v>
      </c>
      <c r="E57" s="328" t="s">
        <v>797</v>
      </c>
    </row>
    <row r="58" spans="1:5" ht="27.75" customHeight="1" x14ac:dyDescent="0.2">
      <c r="A58" s="322" t="s">
        <v>682</v>
      </c>
      <c r="B58" s="27" t="e">
        <v>#N/A</v>
      </c>
      <c r="C58" s="311" t="s">
        <v>802</v>
      </c>
      <c r="D58" s="329" t="s">
        <v>797</v>
      </c>
      <c r="E58" s="328" t="s">
        <v>797</v>
      </c>
    </row>
    <row r="59" spans="1:5" ht="27.75" customHeight="1" x14ac:dyDescent="0.2">
      <c r="A59" s="322" t="s">
        <v>689</v>
      </c>
      <c r="B59" s="27" t="s">
        <v>1211</v>
      </c>
      <c r="C59" s="311" t="s">
        <v>803</v>
      </c>
      <c r="D59" s="329" t="s">
        <v>797</v>
      </c>
      <c r="E59" s="328" t="s">
        <v>797</v>
      </c>
    </row>
    <row r="60" spans="1:5" ht="27.75" customHeight="1" x14ac:dyDescent="0.2">
      <c r="A60" s="322" t="s">
        <v>696</v>
      </c>
      <c r="B60" s="27" t="s">
        <v>1212</v>
      </c>
      <c r="C60" s="311" t="s">
        <v>803</v>
      </c>
      <c r="D60" s="329" t="s">
        <v>797</v>
      </c>
      <c r="E60" s="328" t="s">
        <v>797</v>
      </c>
    </row>
    <row r="61" spans="1:5" ht="27.75" customHeight="1" x14ac:dyDescent="0.2">
      <c r="A61" s="322" t="s">
        <v>703</v>
      </c>
      <c r="B61" s="27" t="s">
        <v>1213</v>
      </c>
      <c r="C61" s="311" t="s">
        <v>803</v>
      </c>
      <c r="D61" s="329" t="s">
        <v>797</v>
      </c>
      <c r="E61" s="328" t="s">
        <v>797</v>
      </c>
    </row>
    <row r="62" spans="1:5" ht="27.75" customHeight="1" x14ac:dyDescent="0.2">
      <c r="A62" s="322" t="s">
        <v>710</v>
      </c>
      <c r="B62" s="27" t="s">
        <v>1214</v>
      </c>
      <c r="C62" s="311" t="s">
        <v>803</v>
      </c>
      <c r="D62" s="329" t="s">
        <v>797</v>
      </c>
      <c r="E62" s="328" t="s">
        <v>797</v>
      </c>
    </row>
    <row r="63" spans="1:5" ht="27.75" customHeight="1" x14ac:dyDescent="0.2">
      <c r="A63" s="322" t="s">
        <v>717</v>
      </c>
      <c r="B63" s="27" t="s">
        <v>1215</v>
      </c>
      <c r="C63" s="311" t="s">
        <v>803</v>
      </c>
      <c r="D63" s="329" t="s">
        <v>797</v>
      </c>
      <c r="E63" s="328" t="s">
        <v>797</v>
      </c>
    </row>
    <row r="64" spans="1:5" ht="27.75" customHeight="1" x14ac:dyDescent="0.2">
      <c r="A64" s="322" t="s">
        <v>566</v>
      </c>
      <c r="B64" s="27" t="s">
        <v>797</v>
      </c>
      <c r="C64" s="311">
        <v>0</v>
      </c>
      <c r="D64" s="329" t="s">
        <v>797</v>
      </c>
      <c r="E64" s="328" t="s">
        <v>797</v>
      </c>
    </row>
    <row r="65" spans="1:5" ht="27.75" customHeight="1" x14ac:dyDescent="0.2">
      <c r="A65" s="322" t="s">
        <v>567</v>
      </c>
      <c r="B65" s="27" t="s">
        <v>1216</v>
      </c>
      <c r="C65" s="311">
        <v>0</v>
      </c>
      <c r="D65" s="329" t="s">
        <v>797</v>
      </c>
      <c r="E65" s="328" t="s">
        <v>797</v>
      </c>
    </row>
    <row r="66" spans="1:5" ht="27.75" customHeight="1" x14ac:dyDescent="0.2">
      <c r="A66" s="322" t="s">
        <v>568</v>
      </c>
      <c r="B66" s="27" t="s">
        <v>1217</v>
      </c>
      <c r="C66" s="311">
        <v>0</v>
      </c>
      <c r="D66" s="329" t="s">
        <v>797</v>
      </c>
      <c r="E66" s="328" t="s">
        <v>797</v>
      </c>
    </row>
    <row r="67" spans="1:5" ht="27.75" customHeight="1" x14ac:dyDescent="0.2">
      <c r="A67" s="322" t="s">
        <v>569</v>
      </c>
      <c r="B67" s="27" t="s">
        <v>1218</v>
      </c>
      <c r="C67" s="311">
        <v>0</v>
      </c>
      <c r="D67" s="329" t="s">
        <v>797</v>
      </c>
      <c r="E67" s="328" t="s">
        <v>797</v>
      </c>
    </row>
    <row r="68" spans="1:5" ht="27.75" customHeight="1" x14ac:dyDescent="0.2">
      <c r="A68" s="322" t="s">
        <v>570</v>
      </c>
      <c r="B68" s="27" t="s">
        <v>1219</v>
      </c>
      <c r="C68" s="311">
        <v>0</v>
      </c>
      <c r="D68" s="329" t="s">
        <v>797</v>
      </c>
      <c r="E68" s="328" t="s">
        <v>797</v>
      </c>
    </row>
    <row r="69" spans="1:5" ht="27.75" customHeight="1" x14ac:dyDescent="0.2">
      <c r="A69" s="322" t="s">
        <v>571</v>
      </c>
      <c r="B69" s="27" t="s">
        <v>797</v>
      </c>
      <c r="C69" s="311">
        <v>0</v>
      </c>
      <c r="D69" s="329" t="s">
        <v>797</v>
      </c>
      <c r="E69" s="328" t="s">
        <v>797</v>
      </c>
    </row>
    <row r="70" spans="1:5" ht="27.75" customHeight="1" x14ac:dyDescent="0.2">
      <c r="A70" s="322" t="s">
        <v>572</v>
      </c>
      <c r="B70" s="27" t="s">
        <v>1220</v>
      </c>
      <c r="C70" s="311">
        <v>0</v>
      </c>
      <c r="D70" s="329" t="s">
        <v>797</v>
      </c>
      <c r="E70" s="328" t="s">
        <v>797</v>
      </c>
    </row>
    <row r="71" spans="1:5" ht="27.75" customHeight="1" x14ac:dyDescent="0.2">
      <c r="A71" s="322" t="s">
        <v>573</v>
      </c>
      <c r="B71" s="27" t="s">
        <v>1221</v>
      </c>
      <c r="C71" s="311">
        <v>0</v>
      </c>
      <c r="D71" s="329" t="s">
        <v>797</v>
      </c>
      <c r="E71" s="328" t="s">
        <v>797</v>
      </c>
    </row>
    <row r="72" spans="1:5" ht="27.75" customHeight="1" x14ac:dyDescent="0.2">
      <c r="A72" s="322" t="s">
        <v>574</v>
      </c>
      <c r="B72" s="27" t="s">
        <v>1222</v>
      </c>
      <c r="C72" s="311">
        <v>0</v>
      </c>
      <c r="D72" s="329" t="s">
        <v>797</v>
      </c>
      <c r="E72" s="328" t="s">
        <v>797</v>
      </c>
    </row>
    <row r="73" spans="1:5" ht="27.75" customHeight="1" x14ac:dyDescent="0.2">
      <c r="A73" s="322" t="s">
        <v>575</v>
      </c>
      <c r="B73" s="27" t="s">
        <v>1223</v>
      </c>
      <c r="C73" s="311">
        <v>0</v>
      </c>
      <c r="D73" s="329" t="s">
        <v>797</v>
      </c>
      <c r="E73" s="328" t="s">
        <v>797</v>
      </c>
    </row>
    <row r="74" spans="1:5" ht="27.75" customHeight="1" x14ac:dyDescent="0.2">
      <c r="A74" s="322" t="s">
        <v>576</v>
      </c>
      <c r="B74" s="27" t="s">
        <v>797</v>
      </c>
      <c r="C74" s="311">
        <v>0</v>
      </c>
      <c r="D74" s="329" t="s">
        <v>797</v>
      </c>
      <c r="E74" s="328" t="s">
        <v>797</v>
      </c>
    </row>
    <row r="75" spans="1:5" ht="27.75" customHeight="1" x14ac:dyDescent="0.2">
      <c r="A75" s="322" t="s">
        <v>577</v>
      </c>
      <c r="B75" s="27" t="s">
        <v>1224</v>
      </c>
      <c r="C75" s="311">
        <v>0</v>
      </c>
      <c r="D75" s="329" t="s">
        <v>797</v>
      </c>
      <c r="E75" s="328" t="s">
        <v>797</v>
      </c>
    </row>
    <row r="76" spans="1:5" ht="27.75" customHeight="1" x14ac:dyDescent="0.2">
      <c r="A76" s="322" t="s">
        <v>578</v>
      </c>
      <c r="B76" s="27" t="s">
        <v>1225</v>
      </c>
      <c r="C76" s="311">
        <v>0</v>
      </c>
      <c r="D76" s="329" t="s">
        <v>797</v>
      </c>
      <c r="E76" s="328" t="s">
        <v>797</v>
      </c>
    </row>
    <row r="77" spans="1:5" ht="27.75" customHeight="1" x14ac:dyDescent="0.2">
      <c r="A77" s="322" t="s">
        <v>579</v>
      </c>
      <c r="B77" s="27" t="s">
        <v>1226</v>
      </c>
      <c r="C77" s="311">
        <v>0</v>
      </c>
      <c r="D77" s="329" t="s">
        <v>797</v>
      </c>
      <c r="E77" s="328" t="s">
        <v>797</v>
      </c>
    </row>
    <row r="78" spans="1:5" ht="27.75" customHeight="1" x14ac:dyDescent="0.2">
      <c r="A78" s="322" t="s">
        <v>580</v>
      </c>
      <c r="B78" s="27" t="s">
        <v>1227</v>
      </c>
      <c r="C78" s="311">
        <v>0</v>
      </c>
      <c r="D78" s="328" t="s">
        <v>797</v>
      </c>
      <c r="E78" s="328" t="s">
        <v>797</v>
      </c>
    </row>
    <row r="79" spans="1:5" ht="27.75" customHeight="1" x14ac:dyDescent="0.2">
      <c r="A79" s="322" t="s">
        <v>683</v>
      </c>
      <c r="B79" s="27" t="e">
        <v>#N/A</v>
      </c>
      <c r="C79" s="311" t="s">
        <v>802</v>
      </c>
      <c r="D79" s="329" t="s">
        <v>797</v>
      </c>
      <c r="E79" s="328" t="s">
        <v>797</v>
      </c>
    </row>
    <row r="80" spans="1:5" ht="27.75" customHeight="1" x14ac:dyDescent="0.2">
      <c r="A80" s="322" t="s">
        <v>690</v>
      </c>
      <c r="B80" s="27" t="s">
        <v>1228</v>
      </c>
      <c r="C80" s="311" t="s">
        <v>803</v>
      </c>
      <c r="D80" s="329" t="s">
        <v>797</v>
      </c>
      <c r="E80" s="328" t="s">
        <v>797</v>
      </c>
    </row>
    <row r="81" spans="1:5" ht="27.75" customHeight="1" x14ac:dyDescent="0.2">
      <c r="A81" s="322" t="s">
        <v>697</v>
      </c>
      <c r="B81" s="27" t="s">
        <v>1229</v>
      </c>
      <c r="C81" s="311" t="s">
        <v>803</v>
      </c>
      <c r="D81" s="329" t="s">
        <v>797</v>
      </c>
      <c r="E81" s="328" t="s">
        <v>797</v>
      </c>
    </row>
    <row r="82" spans="1:5" ht="27.75" customHeight="1" x14ac:dyDescent="0.2">
      <c r="A82" s="322" t="s">
        <v>704</v>
      </c>
      <c r="B82" s="27" t="s">
        <v>1230</v>
      </c>
      <c r="C82" s="311" t="s">
        <v>803</v>
      </c>
      <c r="D82" s="329" t="s">
        <v>797</v>
      </c>
      <c r="E82" s="328" t="s">
        <v>797</v>
      </c>
    </row>
    <row r="83" spans="1:5" ht="27.75" customHeight="1" x14ac:dyDescent="0.2">
      <c r="A83" s="322" t="s">
        <v>711</v>
      </c>
      <c r="B83" s="27" t="s">
        <v>1231</v>
      </c>
      <c r="C83" s="311" t="s">
        <v>803</v>
      </c>
      <c r="D83" s="329" t="s">
        <v>797</v>
      </c>
      <c r="E83" s="328" t="s">
        <v>797</v>
      </c>
    </row>
    <row r="84" spans="1:5" ht="27.75" customHeight="1" x14ac:dyDescent="0.2">
      <c r="A84" s="322" t="s">
        <v>718</v>
      </c>
      <c r="B84" s="27" t="s">
        <v>1232</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1233</v>
      </c>
      <c r="C86" s="311">
        <v>0</v>
      </c>
      <c r="D86" s="329" t="s">
        <v>797</v>
      </c>
      <c r="E86" s="328" t="s">
        <v>797</v>
      </c>
    </row>
    <row r="87" spans="1:5" ht="27.75" customHeight="1" x14ac:dyDescent="0.2">
      <c r="A87" s="322" t="s">
        <v>584</v>
      </c>
      <c r="B87" s="27" t="s">
        <v>1234</v>
      </c>
      <c r="C87" s="311">
        <v>0</v>
      </c>
      <c r="D87" s="329" t="s">
        <v>797</v>
      </c>
      <c r="E87" s="328" t="s">
        <v>797</v>
      </c>
    </row>
    <row r="88" spans="1:5" ht="27.75" customHeight="1" x14ac:dyDescent="0.2">
      <c r="A88" s="322" t="s">
        <v>585</v>
      </c>
      <c r="B88" s="27" t="s">
        <v>1235</v>
      </c>
      <c r="C88" s="311">
        <v>0</v>
      </c>
      <c r="D88" s="329" t="s">
        <v>797</v>
      </c>
      <c r="E88" s="328" t="s">
        <v>797</v>
      </c>
    </row>
    <row r="89" spans="1:5" ht="27.75" customHeight="1" x14ac:dyDescent="0.2">
      <c r="A89" s="322" t="s">
        <v>586</v>
      </c>
      <c r="B89" s="27" t="s">
        <v>1236</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1237</v>
      </c>
      <c r="C91" s="311">
        <v>0</v>
      </c>
      <c r="D91" s="329" t="s">
        <v>797</v>
      </c>
      <c r="E91" s="328" t="s">
        <v>797</v>
      </c>
    </row>
    <row r="92" spans="1:5" ht="27.75" customHeight="1" x14ac:dyDescent="0.2">
      <c r="A92" s="322" t="s">
        <v>589</v>
      </c>
      <c r="B92" s="27" t="s">
        <v>1238</v>
      </c>
      <c r="C92" s="311">
        <v>0</v>
      </c>
      <c r="D92" s="329" t="s">
        <v>797</v>
      </c>
      <c r="E92" s="328" t="s">
        <v>797</v>
      </c>
    </row>
    <row r="93" spans="1:5" ht="27.75" customHeight="1" x14ac:dyDescent="0.2">
      <c r="A93" s="322" t="s">
        <v>590</v>
      </c>
      <c r="B93" s="27" t="s">
        <v>1239</v>
      </c>
      <c r="C93" s="311">
        <v>0</v>
      </c>
      <c r="D93" s="329" t="s">
        <v>797</v>
      </c>
      <c r="E93" s="328" t="s">
        <v>797</v>
      </c>
    </row>
    <row r="94" spans="1:5" ht="27.75" customHeight="1" x14ac:dyDescent="0.2">
      <c r="A94" s="322" t="s">
        <v>591</v>
      </c>
      <c r="B94" s="27" t="s">
        <v>1240</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1241</v>
      </c>
      <c r="C96" s="311">
        <v>0</v>
      </c>
      <c r="D96" s="329" t="s">
        <v>797</v>
      </c>
      <c r="E96" s="328" t="s">
        <v>797</v>
      </c>
    </row>
    <row r="97" spans="1:5" ht="27.75" customHeight="1" x14ac:dyDescent="0.2">
      <c r="A97" s="322" t="s">
        <v>594</v>
      </c>
      <c r="B97" s="27" t="s">
        <v>1242</v>
      </c>
      <c r="C97" s="311">
        <v>0</v>
      </c>
      <c r="D97" s="329" t="s">
        <v>797</v>
      </c>
      <c r="E97" s="328" t="s">
        <v>797</v>
      </c>
    </row>
    <row r="98" spans="1:5" ht="27.75" customHeight="1" x14ac:dyDescent="0.2">
      <c r="A98" s="322" t="s">
        <v>595</v>
      </c>
      <c r="B98" s="27" t="s">
        <v>1243</v>
      </c>
      <c r="C98" s="311">
        <v>0</v>
      </c>
      <c r="D98" s="329" t="s">
        <v>797</v>
      </c>
      <c r="E98" s="328" t="s">
        <v>797</v>
      </c>
    </row>
    <row r="99" spans="1:5" ht="27.75" customHeight="1" x14ac:dyDescent="0.2">
      <c r="A99" s="322" t="s">
        <v>596</v>
      </c>
      <c r="B99" s="27"/>
      <c r="C99" s="311">
        <v>0</v>
      </c>
      <c r="D99" s="328" t="s">
        <v>797</v>
      </c>
      <c r="E99" s="328" t="s">
        <v>797</v>
      </c>
    </row>
    <row r="100" spans="1:5" ht="27.75" customHeight="1" x14ac:dyDescent="0.2">
      <c r="A100" s="322" t="s">
        <v>684</v>
      </c>
      <c r="B100" s="27"/>
      <c r="C100" s="311" t="s">
        <v>802</v>
      </c>
      <c r="D100" s="329"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8" t="s">
        <v>797</v>
      </c>
      <c r="E120" s="328" t="s">
        <v>797</v>
      </c>
    </row>
    <row r="121" spans="1:5" ht="27.75" customHeight="1" x14ac:dyDescent="0.2">
      <c r="A121" s="322" t="s">
        <v>685</v>
      </c>
      <c r="B121" s="27"/>
      <c r="C121" s="311" t="s">
        <v>802</v>
      </c>
      <c r="D121" s="329"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8" t="s">
        <v>797</v>
      </c>
      <c r="E141" s="328" t="s">
        <v>797</v>
      </c>
    </row>
    <row r="142" spans="1:5" ht="27.75" customHeight="1" x14ac:dyDescent="0.2">
      <c r="A142" s="322" t="s">
        <v>686</v>
      </c>
      <c r="B142" s="27"/>
      <c r="C142" s="311" t="s">
        <v>802</v>
      </c>
      <c r="D142" s="329"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48" t="s">
        <v>644</v>
      </c>
      <c r="B162" s="27"/>
      <c r="C162" s="311">
        <v>0</v>
      </c>
      <c r="D162" s="329" t="s">
        <v>797</v>
      </c>
      <c r="E162" s="328" t="s">
        <v>797</v>
      </c>
    </row>
    <row r="163" spans="1:5" x14ac:dyDescent="0.2">
      <c r="A163" s="1" t="s">
        <v>722</v>
      </c>
    </row>
    <row r="164" spans="1:5" x14ac:dyDescent="0.2">
      <c r="A164" s="1" t="s">
        <v>723</v>
      </c>
    </row>
    <row r="165" spans="1:5" ht="27.75" customHeight="1" x14ac:dyDescent="0.2"/>
  </sheetData>
  <mergeCells count="2">
    <mergeCell ref="B1:C1"/>
    <mergeCell ref="A2:E2"/>
  </mergeCells>
  <hyperlinks>
    <hyperlink ref="A1" location="Overview!A1" display="Back to Overview" xr:uid="{46753C37-3CCF-4D29-94A6-79AB3D4D37B9}"/>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0E5C-E3B1-45B9-8E39-AF2D7D742147}">
  <dimension ref="A1:E164"/>
  <sheetViews>
    <sheetView zoomScale="70" zoomScaleNormal="70" workbookViewId="0"/>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5" ht="27.75" customHeight="1" x14ac:dyDescent="0.2">
      <c r="A1" s="31" t="s">
        <v>19</v>
      </c>
      <c r="B1" s="524"/>
      <c r="C1" s="524"/>
      <c r="D1" s="327"/>
      <c r="E1" s="327"/>
    </row>
    <row r="2" spans="1:5" ht="35.1" customHeight="1" x14ac:dyDescent="0.2">
      <c r="A2" s="525" t="str">
        <f>Overview!B4&amp; " - Effective from "&amp;TEXT(Overview!D4,"d mmmm yyyy")&amp;" - "&amp;Overview!E4&amp;" Supplier of Last Resort and Eligible Bad Debt Pass-Through Costs"&amp;" in WPD EM Area (GSP Group_B)"</f>
        <v>Leep Electricity Networks Limited - Effective from 1 April 2027 - Final Supplier of Last Resort and Eligible Bad Debt Pass-Through Costs in WPD EM Area (GSP Group_B)</v>
      </c>
      <c r="B2" s="526"/>
      <c r="C2" s="526"/>
      <c r="D2" s="526"/>
      <c r="E2" s="527"/>
    </row>
    <row r="3" spans="1:5" s="40" customFormat="1" ht="21" customHeight="1" x14ac:dyDescent="0.2">
      <c r="A3" s="45"/>
      <c r="B3" s="45"/>
      <c r="C3" s="45"/>
      <c r="D3" s="45"/>
      <c r="E3" s="45"/>
    </row>
    <row r="4" spans="1:5" ht="78.75" customHeight="1" x14ac:dyDescent="0.2">
      <c r="A4" s="19" t="s">
        <v>359</v>
      </c>
      <c r="B4" s="16" t="s">
        <v>645</v>
      </c>
      <c r="C4" s="16" t="s">
        <v>24</v>
      </c>
      <c r="D4" s="16" t="s">
        <v>646</v>
      </c>
      <c r="E4" s="16" t="s">
        <v>647</v>
      </c>
    </row>
    <row r="5" spans="1:5" ht="30" customHeight="1" x14ac:dyDescent="0.2">
      <c r="A5" s="10" t="s">
        <v>674</v>
      </c>
      <c r="B5" s="335"/>
      <c r="C5" s="336" t="s">
        <v>802</v>
      </c>
      <c r="D5" s="328">
        <v>0</v>
      </c>
      <c r="E5" s="328">
        <v>0</v>
      </c>
    </row>
    <row r="6" spans="1:5" ht="30" customHeight="1" x14ac:dyDescent="0.2">
      <c r="A6" s="10" t="s">
        <v>675</v>
      </c>
      <c r="B6" s="335"/>
      <c r="C6" s="336" t="s">
        <v>803</v>
      </c>
      <c r="D6" s="339" t="s">
        <v>797</v>
      </c>
      <c r="E6" s="338" t="s">
        <v>797</v>
      </c>
    </row>
    <row r="7" spans="1:5" ht="30" customHeight="1" x14ac:dyDescent="0.2">
      <c r="A7" s="10" t="s">
        <v>676</v>
      </c>
      <c r="B7" s="335"/>
      <c r="C7" s="336" t="s">
        <v>803</v>
      </c>
      <c r="D7" s="339" t="s">
        <v>797</v>
      </c>
      <c r="E7" s="338" t="s">
        <v>797</v>
      </c>
    </row>
    <row r="8" spans="1:5" ht="30" customHeight="1" x14ac:dyDescent="0.2">
      <c r="A8" s="10" t="s">
        <v>677</v>
      </c>
      <c r="B8" s="335"/>
      <c r="C8" s="336" t="s">
        <v>803</v>
      </c>
      <c r="D8" s="339" t="s">
        <v>797</v>
      </c>
      <c r="E8" s="338" t="s">
        <v>797</v>
      </c>
    </row>
    <row r="9" spans="1:5" ht="30" customHeight="1" x14ac:dyDescent="0.2">
      <c r="A9" s="10" t="s">
        <v>678</v>
      </c>
      <c r="B9" s="335"/>
      <c r="C9" s="336" t="s">
        <v>803</v>
      </c>
      <c r="D9" s="339" t="s">
        <v>797</v>
      </c>
      <c r="E9" s="338" t="s">
        <v>797</v>
      </c>
    </row>
    <row r="10" spans="1:5" ht="30" customHeight="1" x14ac:dyDescent="0.2">
      <c r="A10" s="10" t="s">
        <v>679</v>
      </c>
      <c r="B10" s="335"/>
      <c r="C10" s="336" t="s">
        <v>803</v>
      </c>
      <c r="D10" s="339" t="s">
        <v>797</v>
      </c>
      <c r="E10" s="338" t="s">
        <v>797</v>
      </c>
    </row>
    <row r="11" spans="1:5" ht="30" customHeight="1" x14ac:dyDescent="0.2">
      <c r="A11" s="10" t="s">
        <v>496</v>
      </c>
      <c r="B11" s="335"/>
      <c r="C11" s="336">
        <v>0</v>
      </c>
      <c r="D11" s="339" t="s">
        <v>797</v>
      </c>
      <c r="E11" s="338" t="s">
        <v>797</v>
      </c>
    </row>
    <row r="12" spans="1:5" ht="30" customHeight="1" x14ac:dyDescent="0.2">
      <c r="A12" s="322" t="s">
        <v>497</v>
      </c>
      <c r="B12" s="335"/>
      <c r="C12" s="336">
        <v>0</v>
      </c>
      <c r="D12" s="339" t="s">
        <v>797</v>
      </c>
      <c r="E12" s="338" t="s">
        <v>797</v>
      </c>
    </row>
    <row r="13" spans="1:5" ht="30" customHeight="1" x14ac:dyDescent="0.2">
      <c r="A13" s="322" t="s">
        <v>498</v>
      </c>
      <c r="B13" s="335"/>
      <c r="C13" s="336">
        <v>0</v>
      </c>
      <c r="D13" s="339" t="s">
        <v>797</v>
      </c>
      <c r="E13" s="338" t="s">
        <v>797</v>
      </c>
    </row>
    <row r="14" spans="1:5" ht="30" customHeight="1" x14ac:dyDescent="0.2">
      <c r="A14" s="322" t="s">
        <v>499</v>
      </c>
      <c r="B14" s="335"/>
      <c r="C14" s="336">
        <v>0</v>
      </c>
      <c r="D14" s="339" t="s">
        <v>797</v>
      </c>
      <c r="E14" s="338" t="s">
        <v>797</v>
      </c>
    </row>
    <row r="15" spans="1:5" ht="30" customHeight="1" x14ac:dyDescent="0.2">
      <c r="A15" s="322" t="s">
        <v>500</v>
      </c>
      <c r="B15" s="335"/>
      <c r="C15" s="336">
        <v>0</v>
      </c>
      <c r="D15" s="339" t="s">
        <v>797</v>
      </c>
      <c r="E15" s="338" t="s">
        <v>797</v>
      </c>
    </row>
    <row r="16" spans="1:5" ht="30" customHeight="1" x14ac:dyDescent="0.2">
      <c r="A16" s="323" t="s">
        <v>501</v>
      </c>
      <c r="B16" s="335"/>
      <c r="C16" s="336">
        <v>0</v>
      </c>
      <c r="D16" s="339" t="s">
        <v>797</v>
      </c>
      <c r="E16" s="338" t="s">
        <v>797</v>
      </c>
    </row>
    <row r="17" spans="1:5" ht="30" customHeight="1" x14ac:dyDescent="0.2">
      <c r="A17" s="323" t="s">
        <v>502</v>
      </c>
      <c r="B17" s="335"/>
      <c r="C17" s="336">
        <v>0</v>
      </c>
      <c r="D17" s="339" t="s">
        <v>797</v>
      </c>
      <c r="E17" s="338" t="s">
        <v>797</v>
      </c>
    </row>
    <row r="18" spans="1:5" ht="30" customHeight="1" x14ac:dyDescent="0.2">
      <c r="A18" s="323" t="s">
        <v>503</v>
      </c>
      <c r="B18" s="335"/>
      <c r="C18" s="336">
        <v>0</v>
      </c>
      <c r="D18" s="339" t="s">
        <v>797</v>
      </c>
      <c r="E18" s="338" t="s">
        <v>797</v>
      </c>
    </row>
    <row r="19" spans="1:5" ht="30" customHeight="1" x14ac:dyDescent="0.2">
      <c r="A19" s="323" t="s">
        <v>504</v>
      </c>
      <c r="B19" s="335"/>
      <c r="C19" s="336">
        <v>0</v>
      </c>
      <c r="D19" s="339" t="s">
        <v>797</v>
      </c>
      <c r="E19" s="338" t="s">
        <v>797</v>
      </c>
    </row>
    <row r="20" spans="1:5" ht="30" customHeight="1" x14ac:dyDescent="0.2">
      <c r="A20" s="323" t="s">
        <v>505</v>
      </c>
      <c r="B20" s="335"/>
      <c r="C20" s="336">
        <v>0</v>
      </c>
      <c r="D20" s="339" t="s">
        <v>797</v>
      </c>
      <c r="E20" s="338" t="s">
        <v>797</v>
      </c>
    </row>
    <row r="21" spans="1:5" ht="30" customHeight="1" x14ac:dyDescent="0.2">
      <c r="A21" s="323" t="s">
        <v>506</v>
      </c>
      <c r="B21" s="335"/>
      <c r="C21" s="336">
        <v>0</v>
      </c>
      <c r="D21" s="339" t="s">
        <v>797</v>
      </c>
      <c r="E21" s="338" t="s">
        <v>797</v>
      </c>
    </row>
    <row r="22" spans="1:5" ht="30" customHeight="1" x14ac:dyDescent="0.2">
      <c r="A22" s="323" t="s">
        <v>507</v>
      </c>
      <c r="B22" s="335"/>
      <c r="C22" s="336">
        <v>0</v>
      </c>
      <c r="D22" s="339" t="s">
        <v>797</v>
      </c>
      <c r="E22" s="338" t="s">
        <v>797</v>
      </c>
    </row>
    <row r="23" spans="1:5" ht="30" customHeight="1" x14ac:dyDescent="0.2">
      <c r="A23" s="323" t="s">
        <v>508</v>
      </c>
      <c r="B23" s="335"/>
      <c r="C23" s="336">
        <v>0</v>
      </c>
      <c r="D23" s="339" t="s">
        <v>797</v>
      </c>
      <c r="E23" s="338" t="s">
        <v>797</v>
      </c>
    </row>
    <row r="24" spans="1:5" ht="30" customHeight="1" x14ac:dyDescent="0.2">
      <c r="A24" s="322" t="s">
        <v>509</v>
      </c>
      <c r="B24" s="335"/>
      <c r="C24" s="336">
        <v>0</v>
      </c>
      <c r="D24" s="339" t="s">
        <v>797</v>
      </c>
      <c r="E24" s="338" t="s">
        <v>797</v>
      </c>
    </row>
    <row r="25" spans="1:5" ht="30" customHeight="1" x14ac:dyDescent="0.2">
      <c r="A25" s="322" t="s">
        <v>510</v>
      </c>
      <c r="B25" s="335"/>
      <c r="C25" s="336">
        <v>0</v>
      </c>
      <c r="D25" s="339" t="s">
        <v>797</v>
      </c>
      <c r="E25" s="338" t="s">
        <v>797</v>
      </c>
    </row>
    <row r="26" spans="1:5" ht="30" customHeight="1" x14ac:dyDescent="0.2">
      <c r="A26" s="322" t="s">
        <v>680</v>
      </c>
      <c r="B26" s="335" t="s">
        <v>1244</v>
      </c>
      <c r="C26" s="336" t="s">
        <v>802</v>
      </c>
      <c r="D26" s="339" t="s">
        <v>797</v>
      </c>
      <c r="E26" s="338" t="s">
        <v>797</v>
      </c>
    </row>
    <row r="27" spans="1:5" ht="30" customHeight="1" x14ac:dyDescent="0.2">
      <c r="A27" s="322" t="s">
        <v>687</v>
      </c>
      <c r="B27" s="335" t="s">
        <v>1245</v>
      </c>
      <c r="C27" s="336" t="s">
        <v>803</v>
      </c>
      <c r="D27" s="339" t="s">
        <v>797</v>
      </c>
      <c r="E27" s="338" t="s">
        <v>797</v>
      </c>
    </row>
    <row r="28" spans="1:5" ht="30" customHeight="1" x14ac:dyDescent="0.2">
      <c r="A28" s="322" t="s">
        <v>694</v>
      </c>
      <c r="B28" s="335" t="s">
        <v>1246</v>
      </c>
      <c r="C28" s="336" t="s">
        <v>803</v>
      </c>
      <c r="D28" s="339" t="s">
        <v>797</v>
      </c>
      <c r="E28" s="338" t="s">
        <v>797</v>
      </c>
    </row>
    <row r="29" spans="1:5" ht="30" customHeight="1" x14ac:dyDescent="0.2">
      <c r="A29" s="322" t="s">
        <v>701</v>
      </c>
      <c r="B29" s="335" t="s">
        <v>1247</v>
      </c>
      <c r="C29" s="336" t="s">
        <v>803</v>
      </c>
      <c r="D29" s="339" t="s">
        <v>797</v>
      </c>
      <c r="E29" s="338" t="s">
        <v>797</v>
      </c>
    </row>
    <row r="30" spans="1:5" ht="30" customHeight="1" x14ac:dyDescent="0.2">
      <c r="A30" s="322" t="s">
        <v>708</v>
      </c>
      <c r="B30" s="335" t="s">
        <v>1248</v>
      </c>
      <c r="C30" s="336" t="s">
        <v>803</v>
      </c>
      <c r="D30" s="339" t="s">
        <v>797</v>
      </c>
      <c r="E30" s="338" t="s">
        <v>797</v>
      </c>
    </row>
    <row r="31" spans="1:5" ht="30" customHeight="1" x14ac:dyDescent="0.2">
      <c r="A31" s="322" t="s">
        <v>715</v>
      </c>
      <c r="B31" s="335" t="s">
        <v>1249</v>
      </c>
      <c r="C31" s="336" t="s">
        <v>803</v>
      </c>
      <c r="D31" s="339" t="s">
        <v>797</v>
      </c>
      <c r="E31" s="338" t="s">
        <v>797</v>
      </c>
    </row>
    <row r="32" spans="1:5" ht="30" customHeight="1" x14ac:dyDescent="0.2">
      <c r="A32" s="322" t="s">
        <v>544</v>
      </c>
      <c r="B32" s="335" t="s">
        <v>797</v>
      </c>
      <c r="C32" s="336">
        <v>0</v>
      </c>
      <c r="D32" s="339" t="s">
        <v>797</v>
      </c>
      <c r="E32" s="338" t="s">
        <v>797</v>
      </c>
    </row>
    <row r="33" spans="1:5" ht="30" customHeight="1" x14ac:dyDescent="0.2">
      <c r="A33" s="322" t="s">
        <v>545</v>
      </c>
      <c r="B33" s="335" t="s">
        <v>1250</v>
      </c>
      <c r="C33" s="336">
        <v>0</v>
      </c>
      <c r="D33" s="339" t="s">
        <v>797</v>
      </c>
      <c r="E33" s="338" t="s">
        <v>797</v>
      </c>
    </row>
    <row r="34" spans="1:5" ht="30" customHeight="1" x14ac:dyDescent="0.2">
      <c r="A34" s="322" t="s">
        <v>546</v>
      </c>
      <c r="B34" s="335" t="s">
        <v>1251</v>
      </c>
      <c r="C34" s="336">
        <v>0</v>
      </c>
      <c r="D34" s="339" t="s">
        <v>797</v>
      </c>
      <c r="E34" s="338" t="s">
        <v>797</v>
      </c>
    </row>
    <row r="35" spans="1:5" ht="30" customHeight="1" x14ac:dyDescent="0.2">
      <c r="A35" s="322" t="s">
        <v>547</v>
      </c>
      <c r="B35" s="335" t="s">
        <v>1252</v>
      </c>
      <c r="C35" s="336">
        <v>0</v>
      </c>
      <c r="D35" s="339" t="s">
        <v>797</v>
      </c>
      <c r="E35" s="338" t="s">
        <v>797</v>
      </c>
    </row>
    <row r="36" spans="1:5" ht="30" customHeight="1" x14ac:dyDescent="0.2">
      <c r="A36" s="322" t="s">
        <v>548</v>
      </c>
      <c r="B36" s="335" t="s">
        <v>1253</v>
      </c>
      <c r="C36" s="336">
        <v>0</v>
      </c>
      <c r="D36" s="338">
        <v>0</v>
      </c>
      <c r="E36" s="338">
        <v>0</v>
      </c>
    </row>
    <row r="37" spans="1:5" ht="30" customHeight="1" x14ac:dyDescent="0.2">
      <c r="A37" s="322" t="s">
        <v>681</v>
      </c>
      <c r="B37" s="335" t="s">
        <v>797</v>
      </c>
      <c r="C37" s="336" t="s">
        <v>802</v>
      </c>
      <c r="D37" s="338">
        <v>0</v>
      </c>
      <c r="E37" s="338">
        <v>0</v>
      </c>
    </row>
    <row r="38" spans="1:5" ht="30" customHeight="1" x14ac:dyDescent="0.2">
      <c r="A38" s="322" t="s">
        <v>688</v>
      </c>
      <c r="B38" s="335" t="s">
        <v>1254</v>
      </c>
      <c r="C38" s="336" t="s">
        <v>803</v>
      </c>
      <c r="D38" s="339" t="s">
        <v>797</v>
      </c>
      <c r="E38" s="338" t="s">
        <v>797</v>
      </c>
    </row>
    <row r="39" spans="1:5" ht="30" customHeight="1" x14ac:dyDescent="0.2">
      <c r="A39" s="322" t="s">
        <v>695</v>
      </c>
      <c r="B39" s="335" t="s">
        <v>1255</v>
      </c>
      <c r="C39" s="336" t="s">
        <v>803</v>
      </c>
      <c r="D39" s="339" t="s">
        <v>797</v>
      </c>
      <c r="E39" s="338" t="s">
        <v>797</v>
      </c>
    </row>
    <row r="40" spans="1:5" ht="30" customHeight="1" x14ac:dyDescent="0.2">
      <c r="A40" s="322" t="s">
        <v>702</v>
      </c>
      <c r="B40" s="335" t="s">
        <v>1256</v>
      </c>
      <c r="C40" s="336" t="s">
        <v>803</v>
      </c>
      <c r="D40" s="339" t="s">
        <v>797</v>
      </c>
      <c r="E40" s="338" t="s">
        <v>797</v>
      </c>
    </row>
    <row r="41" spans="1:5" ht="30" customHeight="1" x14ac:dyDescent="0.2">
      <c r="A41" s="322" t="s">
        <v>709</v>
      </c>
      <c r="B41" s="335" t="s">
        <v>1257</v>
      </c>
      <c r="C41" s="336" t="s">
        <v>803</v>
      </c>
      <c r="D41" s="339" t="s">
        <v>797</v>
      </c>
      <c r="E41" s="338" t="s">
        <v>797</v>
      </c>
    </row>
    <row r="42" spans="1:5" ht="30" customHeight="1" x14ac:dyDescent="0.2">
      <c r="A42" s="322" t="s">
        <v>716</v>
      </c>
      <c r="B42" s="335" t="s">
        <v>1258</v>
      </c>
      <c r="C42" s="336" t="s">
        <v>803</v>
      </c>
      <c r="D42" s="339" t="s">
        <v>797</v>
      </c>
      <c r="E42" s="338" t="s">
        <v>797</v>
      </c>
    </row>
    <row r="43" spans="1:5" ht="30" customHeight="1" x14ac:dyDescent="0.2">
      <c r="A43" s="322" t="s">
        <v>550</v>
      </c>
      <c r="B43" s="335" t="s">
        <v>797</v>
      </c>
      <c r="C43" s="336">
        <v>0</v>
      </c>
      <c r="D43" s="339" t="s">
        <v>797</v>
      </c>
      <c r="E43" s="338" t="s">
        <v>797</v>
      </c>
    </row>
    <row r="44" spans="1:5" ht="30" customHeight="1" x14ac:dyDescent="0.2">
      <c r="A44" s="322" t="s">
        <v>551</v>
      </c>
      <c r="B44" s="335" t="s">
        <v>1259</v>
      </c>
      <c r="C44" s="336">
        <v>0</v>
      </c>
      <c r="D44" s="339" t="s">
        <v>797</v>
      </c>
      <c r="E44" s="338" t="s">
        <v>797</v>
      </c>
    </row>
    <row r="45" spans="1:5" ht="30" customHeight="1" x14ac:dyDescent="0.2">
      <c r="A45" s="322" t="s">
        <v>552</v>
      </c>
      <c r="B45" s="335" t="s">
        <v>1260</v>
      </c>
      <c r="C45" s="336">
        <v>0</v>
      </c>
      <c r="D45" s="339" t="s">
        <v>797</v>
      </c>
      <c r="E45" s="338" t="s">
        <v>797</v>
      </c>
    </row>
    <row r="46" spans="1:5" ht="30" customHeight="1" x14ac:dyDescent="0.2">
      <c r="A46" s="322" t="s">
        <v>553</v>
      </c>
      <c r="B46" s="335" t="s">
        <v>1261</v>
      </c>
      <c r="C46" s="336">
        <v>0</v>
      </c>
      <c r="D46" s="339" t="s">
        <v>797</v>
      </c>
      <c r="E46" s="338" t="s">
        <v>797</v>
      </c>
    </row>
    <row r="47" spans="1:5" ht="30" customHeight="1" x14ac:dyDescent="0.2">
      <c r="A47" s="322" t="s">
        <v>554</v>
      </c>
      <c r="B47" s="335" t="s">
        <v>1262</v>
      </c>
      <c r="C47" s="336">
        <v>0</v>
      </c>
      <c r="D47" s="339" t="s">
        <v>797</v>
      </c>
      <c r="E47" s="338" t="s">
        <v>797</v>
      </c>
    </row>
    <row r="48" spans="1:5" ht="30" customHeight="1" x14ac:dyDescent="0.2">
      <c r="A48" s="322" t="s">
        <v>555</v>
      </c>
      <c r="B48" s="335" t="s">
        <v>797</v>
      </c>
      <c r="C48" s="336">
        <v>0</v>
      </c>
      <c r="D48" s="339" t="s">
        <v>797</v>
      </c>
      <c r="E48" s="338" t="s">
        <v>797</v>
      </c>
    </row>
    <row r="49" spans="1:5" ht="30" customHeight="1" x14ac:dyDescent="0.2">
      <c r="A49" s="322" t="s">
        <v>556</v>
      </c>
      <c r="B49" s="335" t="s">
        <v>1263</v>
      </c>
      <c r="C49" s="336">
        <v>0</v>
      </c>
      <c r="D49" s="339" t="s">
        <v>797</v>
      </c>
      <c r="E49" s="338" t="s">
        <v>797</v>
      </c>
    </row>
    <row r="50" spans="1:5" ht="30" customHeight="1" x14ac:dyDescent="0.2">
      <c r="A50" s="322" t="s">
        <v>557</v>
      </c>
      <c r="B50" s="335" t="s">
        <v>1264</v>
      </c>
      <c r="C50" s="336">
        <v>0</v>
      </c>
      <c r="D50" s="339" t="s">
        <v>797</v>
      </c>
      <c r="E50" s="338" t="s">
        <v>797</v>
      </c>
    </row>
    <row r="51" spans="1:5" ht="30" customHeight="1" x14ac:dyDescent="0.2">
      <c r="A51" s="322" t="s">
        <v>558</v>
      </c>
      <c r="B51" s="335" t="s">
        <v>1265</v>
      </c>
      <c r="C51" s="336">
        <v>0</v>
      </c>
      <c r="D51" s="339" t="s">
        <v>797</v>
      </c>
      <c r="E51" s="338" t="s">
        <v>797</v>
      </c>
    </row>
    <row r="52" spans="1:5" ht="30" customHeight="1" x14ac:dyDescent="0.2">
      <c r="A52" s="322" t="s">
        <v>559</v>
      </c>
      <c r="B52" s="335" t="s">
        <v>1266</v>
      </c>
      <c r="C52" s="336">
        <v>0</v>
      </c>
      <c r="D52" s="338">
        <v>0</v>
      </c>
      <c r="E52" s="338">
        <v>0</v>
      </c>
    </row>
    <row r="53" spans="1:5" ht="30" customHeight="1" x14ac:dyDescent="0.2">
      <c r="A53" s="322" t="s">
        <v>560</v>
      </c>
      <c r="B53" s="335" t="s">
        <v>797</v>
      </c>
      <c r="C53" s="336">
        <v>0</v>
      </c>
      <c r="D53" s="338">
        <v>0</v>
      </c>
      <c r="E53" s="338">
        <v>0</v>
      </c>
    </row>
    <row r="54" spans="1:5" ht="30" customHeight="1" x14ac:dyDescent="0.2">
      <c r="A54" s="322" t="s">
        <v>561</v>
      </c>
      <c r="B54" s="335" t="s">
        <v>1267</v>
      </c>
      <c r="C54" s="336">
        <v>0</v>
      </c>
      <c r="D54" s="339" t="s">
        <v>797</v>
      </c>
      <c r="E54" s="338" t="s">
        <v>797</v>
      </c>
    </row>
    <row r="55" spans="1:5" ht="30" customHeight="1" x14ac:dyDescent="0.2">
      <c r="A55" s="322" t="s">
        <v>562</v>
      </c>
      <c r="B55" s="335" t="s">
        <v>1268</v>
      </c>
      <c r="C55" s="336">
        <v>0</v>
      </c>
      <c r="D55" s="339" t="s">
        <v>797</v>
      </c>
      <c r="E55" s="338" t="s">
        <v>797</v>
      </c>
    </row>
    <row r="56" spans="1:5" ht="30" customHeight="1" x14ac:dyDescent="0.2">
      <c r="A56" s="322" t="s">
        <v>563</v>
      </c>
      <c r="B56" s="335" t="s">
        <v>1269</v>
      </c>
      <c r="C56" s="336">
        <v>0</v>
      </c>
      <c r="D56" s="339" t="s">
        <v>797</v>
      </c>
      <c r="E56" s="338" t="s">
        <v>797</v>
      </c>
    </row>
    <row r="57" spans="1:5" ht="30" customHeight="1" x14ac:dyDescent="0.2">
      <c r="A57" s="322" t="s">
        <v>564</v>
      </c>
      <c r="B57" s="335" t="s">
        <v>1270</v>
      </c>
      <c r="C57" s="336">
        <v>0</v>
      </c>
      <c r="D57" s="339" t="s">
        <v>797</v>
      </c>
      <c r="E57" s="338" t="s">
        <v>797</v>
      </c>
    </row>
    <row r="58" spans="1:5" ht="30" customHeight="1" x14ac:dyDescent="0.2">
      <c r="A58" s="322" t="s">
        <v>682</v>
      </c>
      <c r="B58" s="335" t="s">
        <v>797</v>
      </c>
      <c r="C58" s="336" t="s">
        <v>802</v>
      </c>
      <c r="D58" s="339" t="s">
        <v>797</v>
      </c>
      <c r="E58" s="338" t="s">
        <v>797</v>
      </c>
    </row>
    <row r="59" spans="1:5" ht="30" customHeight="1" x14ac:dyDescent="0.2">
      <c r="A59" s="322" t="s">
        <v>689</v>
      </c>
      <c r="B59" s="335" t="s">
        <v>1271</v>
      </c>
      <c r="C59" s="336" t="s">
        <v>803</v>
      </c>
      <c r="D59" s="339" t="s">
        <v>797</v>
      </c>
      <c r="E59" s="338" t="s">
        <v>797</v>
      </c>
    </row>
    <row r="60" spans="1:5" ht="30" customHeight="1" x14ac:dyDescent="0.2">
      <c r="A60" s="322" t="s">
        <v>696</v>
      </c>
      <c r="B60" s="335" t="s">
        <v>1272</v>
      </c>
      <c r="C60" s="336" t="s">
        <v>803</v>
      </c>
      <c r="D60" s="339" t="s">
        <v>797</v>
      </c>
      <c r="E60" s="338" t="s">
        <v>797</v>
      </c>
    </row>
    <row r="61" spans="1:5" ht="30" customHeight="1" x14ac:dyDescent="0.2">
      <c r="A61" s="322" t="s">
        <v>703</v>
      </c>
      <c r="B61" s="335" t="s">
        <v>1273</v>
      </c>
      <c r="C61" s="336" t="s">
        <v>803</v>
      </c>
      <c r="D61" s="339" t="s">
        <v>797</v>
      </c>
      <c r="E61" s="338" t="s">
        <v>797</v>
      </c>
    </row>
    <row r="62" spans="1:5" ht="30" customHeight="1" x14ac:dyDescent="0.2">
      <c r="A62" s="322" t="s">
        <v>710</v>
      </c>
      <c r="B62" s="335" t="s">
        <v>1274</v>
      </c>
      <c r="C62" s="336" t="s">
        <v>803</v>
      </c>
      <c r="D62" s="339" t="s">
        <v>797</v>
      </c>
      <c r="E62" s="338" t="s">
        <v>797</v>
      </c>
    </row>
    <row r="63" spans="1:5" ht="30" customHeight="1" x14ac:dyDescent="0.2">
      <c r="A63" s="322" t="s">
        <v>717</v>
      </c>
      <c r="B63" s="335" t="s">
        <v>1275</v>
      </c>
      <c r="C63" s="336" t="s">
        <v>803</v>
      </c>
      <c r="D63" s="339" t="s">
        <v>797</v>
      </c>
      <c r="E63" s="338" t="s">
        <v>797</v>
      </c>
    </row>
    <row r="64" spans="1:5" ht="30" customHeight="1" x14ac:dyDescent="0.2">
      <c r="A64" s="322" t="s">
        <v>566</v>
      </c>
      <c r="B64" s="335" t="s">
        <v>797</v>
      </c>
      <c r="C64" s="336">
        <v>0</v>
      </c>
      <c r="D64" s="339" t="s">
        <v>797</v>
      </c>
      <c r="E64" s="338" t="s">
        <v>797</v>
      </c>
    </row>
    <row r="65" spans="1:5" ht="30" customHeight="1" x14ac:dyDescent="0.2">
      <c r="A65" s="322" t="s">
        <v>567</v>
      </c>
      <c r="B65" s="335" t="s">
        <v>1276</v>
      </c>
      <c r="C65" s="336">
        <v>0</v>
      </c>
      <c r="D65" s="339" t="s">
        <v>797</v>
      </c>
      <c r="E65" s="338" t="s">
        <v>797</v>
      </c>
    </row>
    <row r="66" spans="1:5" ht="30" customHeight="1" x14ac:dyDescent="0.2">
      <c r="A66" s="322" t="s">
        <v>568</v>
      </c>
      <c r="B66" s="335" t="s">
        <v>1277</v>
      </c>
      <c r="C66" s="336">
        <v>0</v>
      </c>
      <c r="D66" s="339" t="s">
        <v>797</v>
      </c>
      <c r="E66" s="338" t="s">
        <v>797</v>
      </c>
    </row>
    <row r="67" spans="1:5" ht="30" customHeight="1" x14ac:dyDescent="0.2">
      <c r="A67" s="322" t="s">
        <v>569</v>
      </c>
      <c r="B67" s="335" t="s">
        <v>1278</v>
      </c>
      <c r="C67" s="336">
        <v>0</v>
      </c>
      <c r="D67" s="339" t="s">
        <v>797</v>
      </c>
      <c r="E67" s="338" t="s">
        <v>797</v>
      </c>
    </row>
    <row r="68" spans="1:5" ht="30" customHeight="1" x14ac:dyDescent="0.2">
      <c r="A68" s="322" t="s">
        <v>570</v>
      </c>
      <c r="B68" s="335" t="s">
        <v>1279</v>
      </c>
      <c r="C68" s="336">
        <v>0</v>
      </c>
      <c r="D68" s="339" t="s">
        <v>797</v>
      </c>
      <c r="E68" s="338" t="s">
        <v>797</v>
      </c>
    </row>
    <row r="69" spans="1:5" ht="30" customHeight="1" x14ac:dyDescent="0.2">
      <c r="A69" s="322" t="s">
        <v>571</v>
      </c>
      <c r="B69" s="335" t="s">
        <v>797</v>
      </c>
      <c r="C69" s="336">
        <v>0</v>
      </c>
      <c r="D69" s="339" t="s">
        <v>797</v>
      </c>
      <c r="E69" s="338" t="s">
        <v>797</v>
      </c>
    </row>
    <row r="70" spans="1:5" ht="30" customHeight="1" x14ac:dyDescent="0.2">
      <c r="A70" s="322" t="s">
        <v>572</v>
      </c>
      <c r="B70" s="335" t="s">
        <v>1280</v>
      </c>
      <c r="C70" s="336">
        <v>0</v>
      </c>
      <c r="D70" s="339" t="s">
        <v>797</v>
      </c>
      <c r="E70" s="338" t="s">
        <v>797</v>
      </c>
    </row>
    <row r="71" spans="1:5" ht="30" customHeight="1" x14ac:dyDescent="0.2">
      <c r="A71" s="322" t="s">
        <v>573</v>
      </c>
      <c r="B71" s="335" t="s">
        <v>1281</v>
      </c>
      <c r="C71" s="336">
        <v>0</v>
      </c>
      <c r="D71" s="339" t="s">
        <v>797</v>
      </c>
      <c r="E71" s="338" t="s">
        <v>797</v>
      </c>
    </row>
    <row r="72" spans="1:5" ht="30" customHeight="1" x14ac:dyDescent="0.2">
      <c r="A72" s="322" t="s">
        <v>574</v>
      </c>
      <c r="B72" s="335" t="s">
        <v>1282</v>
      </c>
      <c r="C72" s="336">
        <v>0</v>
      </c>
      <c r="D72" s="339" t="s">
        <v>797</v>
      </c>
      <c r="E72" s="338" t="s">
        <v>797</v>
      </c>
    </row>
    <row r="73" spans="1:5" ht="30" customHeight="1" x14ac:dyDescent="0.2">
      <c r="A73" s="322" t="s">
        <v>575</v>
      </c>
      <c r="B73" s="335" t="s">
        <v>1283</v>
      </c>
      <c r="C73" s="336">
        <v>0</v>
      </c>
      <c r="D73" s="339" t="s">
        <v>797</v>
      </c>
      <c r="E73" s="338" t="s">
        <v>797</v>
      </c>
    </row>
    <row r="74" spans="1:5" ht="30" customHeight="1" x14ac:dyDescent="0.2">
      <c r="A74" s="322" t="s">
        <v>576</v>
      </c>
      <c r="B74" s="335" t="s">
        <v>797</v>
      </c>
      <c r="C74" s="336">
        <v>0</v>
      </c>
      <c r="D74" s="339" t="s">
        <v>797</v>
      </c>
      <c r="E74" s="338" t="s">
        <v>797</v>
      </c>
    </row>
    <row r="75" spans="1:5" ht="30" customHeight="1" x14ac:dyDescent="0.2">
      <c r="A75" s="322" t="s">
        <v>577</v>
      </c>
      <c r="B75" s="335" t="s">
        <v>1284</v>
      </c>
      <c r="C75" s="336">
        <v>0</v>
      </c>
      <c r="D75" s="339" t="s">
        <v>797</v>
      </c>
      <c r="E75" s="338" t="s">
        <v>797</v>
      </c>
    </row>
    <row r="76" spans="1:5" ht="30" customHeight="1" x14ac:dyDescent="0.2">
      <c r="A76" s="322" t="s">
        <v>578</v>
      </c>
      <c r="B76" s="335" t="s">
        <v>1285</v>
      </c>
      <c r="C76" s="336">
        <v>0</v>
      </c>
      <c r="D76" s="339" t="s">
        <v>797</v>
      </c>
      <c r="E76" s="338" t="s">
        <v>797</v>
      </c>
    </row>
    <row r="77" spans="1:5" ht="30" customHeight="1" x14ac:dyDescent="0.2">
      <c r="A77" s="322" t="s">
        <v>579</v>
      </c>
      <c r="B77" s="335" t="s">
        <v>1286</v>
      </c>
      <c r="C77" s="336">
        <v>0</v>
      </c>
      <c r="D77" s="339" t="s">
        <v>797</v>
      </c>
      <c r="E77" s="338" t="s">
        <v>797</v>
      </c>
    </row>
    <row r="78" spans="1:5" ht="30" customHeight="1" x14ac:dyDescent="0.2">
      <c r="A78" s="322" t="s">
        <v>580</v>
      </c>
      <c r="B78" s="335" t="s">
        <v>1287</v>
      </c>
      <c r="C78" s="336">
        <v>0</v>
      </c>
      <c r="D78" s="339" t="s">
        <v>797</v>
      </c>
      <c r="E78" s="338" t="s">
        <v>797</v>
      </c>
    </row>
    <row r="79" spans="1:5" ht="30" customHeight="1" x14ac:dyDescent="0.2">
      <c r="A79" s="322" t="s">
        <v>683</v>
      </c>
      <c r="B79" s="335" t="s">
        <v>797</v>
      </c>
      <c r="C79" s="336" t="s">
        <v>802</v>
      </c>
      <c r="D79" s="339" t="s">
        <v>797</v>
      </c>
      <c r="E79" s="338" t="s">
        <v>797</v>
      </c>
    </row>
    <row r="80" spans="1:5" ht="30" customHeight="1" x14ac:dyDescent="0.2">
      <c r="A80" s="322" t="s">
        <v>690</v>
      </c>
      <c r="B80" s="335" t="s">
        <v>1288</v>
      </c>
      <c r="C80" s="336" t="s">
        <v>803</v>
      </c>
      <c r="D80" s="339" t="s">
        <v>797</v>
      </c>
      <c r="E80" s="338" t="s">
        <v>797</v>
      </c>
    </row>
    <row r="81" spans="1:5" ht="30" customHeight="1" x14ac:dyDescent="0.2">
      <c r="A81" s="322" t="s">
        <v>697</v>
      </c>
      <c r="B81" s="335" t="s">
        <v>1289</v>
      </c>
      <c r="C81" s="336" t="s">
        <v>803</v>
      </c>
      <c r="D81" s="338">
        <v>0</v>
      </c>
      <c r="E81" s="338">
        <v>0</v>
      </c>
    </row>
    <row r="82" spans="1:5" ht="30" customHeight="1" x14ac:dyDescent="0.2">
      <c r="A82" s="322" t="s">
        <v>704</v>
      </c>
      <c r="B82" s="335" t="s">
        <v>1290</v>
      </c>
      <c r="C82" s="336" t="s">
        <v>803</v>
      </c>
      <c r="D82" s="338">
        <v>0</v>
      </c>
      <c r="E82" s="338">
        <v>0</v>
      </c>
    </row>
    <row r="83" spans="1:5" ht="30" customHeight="1" x14ac:dyDescent="0.2">
      <c r="A83" s="322" t="s">
        <v>711</v>
      </c>
      <c r="B83" s="335" t="s">
        <v>1291</v>
      </c>
      <c r="C83" s="336" t="s">
        <v>803</v>
      </c>
      <c r="D83" s="339" t="s">
        <v>797</v>
      </c>
      <c r="E83" s="338" t="s">
        <v>797</v>
      </c>
    </row>
    <row r="84" spans="1:5" ht="30" customHeight="1" x14ac:dyDescent="0.2">
      <c r="A84" s="322" t="s">
        <v>718</v>
      </c>
      <c r="B84" s="335" t="s">
        <v>1292</v>
      </c>
      <c r="C84" s="336" t="s">
        <v>803</v>
      </c>
      <c r="D84" s="339" t="s">
        <v>797</v>
      </c>
      <c r="E84" s="338" t="s">
        <v>797</v>
      </c>
    </row>
    <row r="85" spans="1:5" ht="30" customHeight="1" x14ac:dyDescent="0.2">
      <c r="A85" s="322" t="s">
        <v>582</v>
      </c>
      <c r="B85" s="335" t="s">
        <v>797</v>
      </c>
      <c r="C85" s="336">
        <v>0</v>
      </c>
      <c r="D85" s="339" t="s">
        <v>797</v>
      </c>
      <c r="E85" s="338" t="s">
        <v>797</v>
      </c>
    </row>
    <row r="86" spans="1:5" ht="30" customHeight="1" x14ac:dyDescent="0.2">
      <c r="A86" s="322" t="s">
        <v>583</v>
      </c>
      <c r="B86" s="335" t="s">
        <v>1293</v>
      </c>
      <c r="C86" s="336">
        <v>0</v>
      </c>
      <c r="D86" s="339" t="s">
        <v>797</v>
      </c>
      <c r="E86" s="338" t="s">
        <v>797</v>
      </c>
    </row>
    <row r="87" spans="1:5" ht="30" customHeight="1" x14ac:dyDescent="0.2">
      <c r="A87" s="322" t="s">
        <v>584</v>
      </c>
      <c r="B87" s="335" t="s">
        <v>1294</v>
      </c>
      <c r="C87" s="336">
        <v>0</v>
      </c>
      <c r="D87" s="339" t="s">
        <v>797</v>
      </c>
      <c r="E87" s="338" t="s">
        <v>797</v>
      </c>
    </row>
    <row r="88" spans="1:5" ht="30" customHeight="1" x14ac:dyDescent="0.2">
      <c r="A88" s="322" t="s">
        <v>585</v>
      </c>
      <c r="B88" s="335" t="s">
        <v>1295</v>
      </c>
      <c r="C88" s="336">
        <v>0</v>
      </c>
      <c r="D88" s="339" t="s">
        <v>797</v>
      </c>
      <c r="E88" s="338" t="s">
        <v>797</v>
      </c>
    </row>
    <row r="89" spans="1:5" ht="30" customHeight="1" x14ac:dyDescent="0.2">
      <c r="A89" s="322" t="s">
        <v>586</v>
      </c>
      <c r="B89" s="335" t="s">
        <v>1296</v>
      </c>
      <c r="C89" s="336">
        <v>0</v>
      </c>
      <c r="D89" s="339" t="s">
        <v>797</v>
      </c>
      <c r="E89" s="338" t="s">
        <v>797</v>
      </c>
    </row>
    <row r="90" spans="1:5" ht="30" customHeight="1" x14ac:dyDescent="0.2">
      <c r="A90" s="322" t="s">
        <v>587</v>
      </c>
      <c r="B90" s="335" t="s">
        <v>797</v>
      </c>
      <c r="C90" s="336">
        <v>0</v>
      </c>
      <c r="D90" s="339" t="s">
        <v>797</v>
      </c>
      <c r="E90" s="338" t="s">
        <v>797</v>
      </c>
    </row>
    <row r="91" spans="1:5" ht="30" customHeight="1" x14ac:dyDescent="0.2">
      <c r="A91" s="322" t="s">
        <v>588</v>
      </c>
      <c r="B91" s="335" t="s">
        <v>1297</v>
      </c>
      <c r="C91" s="336">
        <v>0</v>
      </c>
      <c r="D91" s="339" t="s">
        <v>797</v>
      </c>
      <c r="E91" s="338" t="s">
        <v>797</v>
      </c>
    </row>
    <row r="92" spans="1:5" ht="30" customHeight="1" x14ac:dyDescent="0.2">
      <c r="A92" s="322" t="s">
        <v>589</v>
      </c>
      <c r="B92" s="335" t="s">
        <v>1298</v>
      </c>
      <c r="C92" s="336">
        <v>0</v>
      </c>
      <c r="D92" s="339" t="s">
        <v>797</v>
      </c>
      <c r="E92" s="338" t="s">
        <v>797</v>
      </c>
    </row>
    <row r="93" spans="1:5" ht="30" customHeight="1" x14ac:dyDescent="0.2">
      <c r="A93" s="322" t="s">
        <v>590</v>
      </c>
      <c r="B93" s="335" t="s">
        <v>1299</v>
      </c>
      <c r="C93" s="336">
        <v>0</v>
      </c>
      <c r="D93" s="339" t="s">
        <v>797</v>
      </c>
      <c r="E93" s="338" t="s">
        <v>797</v>
      </c>
    </row>
    <row r="94" spans="1:5" ht="30" customHeight="1" x14ac:dyDescent="0.2">
      <c r="A94" s="322" t="s">
        <v>591</v>
      </c>
      <c r="B94" s="335" t="s">
        <v>1300</v>
      </c>
      <c r="C94" s="336">
        <v>0</v>
      </c>
      <c r="D94" s="339" t="s">
        <v>797</v>
      </c>
      <c r="E94" s="338" t="s">
        <v>797</v>
      </c>
    </row>
    <row r="95" spans="1:5" ht="30" customHeight="1" x14ac:dyDescent="0.2">
      <c r="A95" s="322" t="s">
        <v>592</v>
      </c>
      <c r="B95" s="335" t="s">
        <v>797</v>
      </c>
      <c r="C95" s="336">
        <v>0</v>
      </c>
      <c r="D95" s="339" t="s">
        <v>797</v>
      </c>
      <c r="E95" s="338" t="s">
        <v>797</v>
      </c>
    </row>
    <row r="96" spans="1:5" ht="30" customHeight="1" x14ac:dyDescent="0.2">
      <c r="A96" s="322" t="s">
        <v>593</v>
      </c>
      <c r="B96" s="335" t="s">
        <v>1301</v>
      </c>
      <c r="C96" s="336">
        <v>0</v>
      </c>
      <c r="D96" s="339" t="s">
        <v>797</v>
      </c>
      <c r="E96" s="338" t="s">
        <v>797</v>
      </c>
    </row>
    <row r="97" spans="1:5" ht="30" customHeight="1" x14ac:dyDescent="0.2">
      <c r="A97" s="322" t="s">
        <v>594</v>
      </c>
      <c r="B97" s="335" t="s">
        <v>1302</v>
      </c>
      <c r="C97" s="336">
        <v>0</v>
      </c>
      <c r="D97" s="339" t="s">
        <v>797</v>
      </c>
      <c r="E97" s="338" t="s">
        <v>797</v>
      </c>
    </row>
    <row r="98" spans="1:5" ht="30" customHeight="1" x14ac:dyDescent="0.2">
      <c r="A98" s="322" t="s">
        <v>595</v>
      </c>
      <c r="B98" s="335" t="s">
        <v>1303</v>
      </c>
      <c r="C98" s="336">
        <v>0</v>
      </c>
      <c r="D98" s="339" t="s">
        <v>797</v>
      </c>
      <c r="E98" s="338" t="s">
        <v>797</v>
      </c>
    </row>
    <row r="99" spans="1:5" ht="30" customHeight="1" x14ac:dyDescent="0.2">
      <c r="A99" s="322" t="s">
        <v>596</v>
      </c>
      <c r="B99" s="335"/>
      <c r="C99" s="336">
        <v>0</v>
      </c>
      <c r="D99" s="339" t="s">
        <v>797</v>
      </c>
      <c r="E99" s="338" t="s">
        <v>797</v>
      </c>
    </row>
    <row r="100" spans="1:5" ht="30" customHeight="1" x14ac:dyDescent="0.2">
      <c r="A100" s="322" t="s">
        <v>684</v>
      </c>
      <c r="B100" s="335"/>
      <c r="C100" s="336" t="s">
        <v>802</v>
      </c>
      <c r="D100" s="339" t="s">
        <v>797</v>
      </c>
      <c r="E100" s="338" t="s">
        <v>797</v>
      </c>
    </row>
    <row r="101" spans="1:5" ht="30" customHeight="1" x14ac:dyDescent="0.2">
      <c r="A101" s="322" t="s">
        <v>691</v>
      </c>
      <c r="B101" s="335"/>
      <c r="C101" s="336" t="s">
        <v>803</v>
      </c>
      <c r="D101" s="339" t="s">
        <v>797</v>
      </c>
      <c r="E101" s="338" t="s">
        <v>797</v>
      </c>
    </row>
    <row r="102" spans="1:5" ht="30" customHeight="1" x14ac:dyDescent="0.2">
      <c r="A102" s="322" t="s">
        <v>698</v>
      </c>
      <c r="B102" s="335"/>
      <c r="C102" s="336" t="s">
        <v>803</v>
      </c>
      <c r="D102" s="339" t="s">
        <v>797</v>
      </c>
      <c r="E102" s="338" t="s">
        <v>797</v>
      </c>
    </row>
    <row r="103" spans="1:5" ht="30" customHeight="1" x14ac:dyDescent="0.2">
      <c r="A103" s="322" t="s">
        <v>705</v>
      </c>
      <c r="B103" s="335"/>
      <c r="C103" s="336" t="s">
        <v>803</v>
      </c>
      <c r="D103" s="339" t="s">
        <v>797</v>
      </c>
      <c r="E103" s="338" t="s">
        <v>797</v>
      </c>
    </row>
    <row r="104" spans="1:5" ht="30" customHeight="1" x14ac:dyDescent="0.2">
      <c r="A104" s="322" t="s">
        <v>712</v>
      </c>
      <c r="B104" s="335"/>
      <c r="C104" s="336" t="s">
        <v>803</v>
      </c>
      <c r="D104" s="339" t="s">
        <v>797</v>
      </c>
      <c r="E104" s="338" t="s">
        <v>797</v>
      </c>
    </row>
    <row r="105" spans="1:5" ht="30" customHeight="1" x14ac:dyDescent="0.2">
      <c r="A105" s="322" t="s">
        <v>719</v>
      </c>
      <c r="B105" s="335"/>
      <c r="C105" s="336" t="s">
        <v>803</v>
      </c>
      <c r="D105" s="339" t="s">
        <v>797</v>
      </c>
      <c r="E105" s="338" t="s">
        <v>797</v>
      </c>
    </row>
    <row r="106" spans="1:5" ht="30" customHeight="1" x14ac:dyDescent="0.2">
      <c r="A106" s="322" t="s">
        <v>598</v>
      </c>
      <c r="B106" s="335"/>
      <c r="C106" s="336">
        <v>0</v>
      </c>
      <c r="D106" s="339" t="s">
        <v>797</v>
      </c>
      <c r="E106" s="338" t="s">
        <v>797</v>
      </c>
    </row>
    <row r="107" spans="1:5" ht="30" customHeight="1" x14ac:dyDescent="0.2">
      <c r="A107" s="322" t="s">
        <v>599</v>
      </c>
      <c r="B107" s="335"/>
      <c r="C107" s="336">
        <v>0</v>
      </c>
      <c r="D107" s="339" t="s">
        <v>797</v>
      </c>
      <c r="E107" s="338" t="s">
        <v>797</v>
      </c>
    </row>
    <row r="108" spans="1:5" ht="30" customHeight="1" x14ac:dyDescent="0.2">
      <c r="A108" s="322" t="s">
        <v>600</v>
      </c>
      <c r="B108" s="335"/>
      <c r="C108" s="336">
        <v>0</v>
      </c>
      <c r="D108" s="339" t="s">
        <v>797</v>
      </c>
      <c r="E108" s="338" t="s">
        <v>797</v>
      </c>
    </row>
    <row r="109" spans="1:5" ht="30" customHeight="1" x14ac:dyDescent="0.2">
      <c r="A109" s="322" t="s">
        <v>601</v>
      </c>
      <c r="B109" s="335"/>
      <c r="C109" s="336">
        <v>0</v>
      </c>
      <c r="D109" s="339" t="s">
        <v>797</v>
      </c>
      <c r="E109" s="338" t="s">
        <v>797</v>
      </c>
    </row>
    <row r="110" spans="1:5" ht="30" customHeight="1" x14ac:dyDescent="0.2">
      <c r="A110" s="322" t="s">
        <v>602</v>
      </c>
      <c r="B110" s="335"/>
      <c r="C110" s="336">
        <v>0</v>
      </c>
      <c r="D110" s="338">
        <v>0</v>
      </c>
      <c r="E110" s="338">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797</v>
      </c>
      <c r="E112" s="338" t="s">
        <v>797</v>
      </c>
    </row>
    <row r="113" spans="1:5" ht="30" customHeight="1" x14ac:dyDescent="0.2">
      <c r="A113" s="322" t="s">
        <v>605</v>
      </c>
      <c r="B113" s="335"/>
      <c r="C113" s="336">
        <v>0</v>
      </c>
      <c r="D113" s="339" t="s">
        <v>797</v>
      </c>
      <c r="E113" s="338" t="s">
        <v>797</v>
      </c>
    </row>
    <row r="114" spans="1:5" ht="30" customHeight="1" x14ac:dyDescent="0.2">
      <c r="A114" s="322" t="s">
        <v>606</v>
      </c>
      <c r="B114" s="335"/>
      <c r="C114" s="336">
        <v>0</v>
      </c>
      <c r="D114" s="339" t="s">
        <v>797</v>
      </c>
      <c r="E114" s="338" t="s">
        <v>797</v>
      </c>
    </row>
    <row r="115" spans="1:5" ht="30" customHeight="1" x14ac:dyDescent="0.2">
      <c r="A115" s="322" t="s">
        <v>607</v>
      </c>
      <c r="B115" s="335"/>
      <c r="C115" s="336">
        <v>0</v>
      </c>
      <c r="D115" s="339" t="s">
        <v>797</v>
      </c>
      <c r="E115" s="338" t="s">
        <v>797</v>
      </c>
    </row>
    <row r="116" spans="1:5" ht="30" customHeight="1" x14ac:dyDescent="0.2">
      <c r="A116" s="322" t="s">
        <v>608</v>
      </c>
      <c r="B116" s="335"/>
      <c r="C116" s="336">
        <v>0</v>
      </c>
      <c r="D116" s="339" t="s">
        <v>797</v>
      </c>
      <c r="E116" s="338" t="s">
        <v>797</v>
      </c>
    </row>
    <row r="117" spans="1:5" ht="30" customHeight="1" x14ac:dyDescent="0.2">
      <c r="A117" s="322" t="s">
        <v>609</v>
      </c>
      <c r="B117" s="335"/>
      <c r="C117" s="336">
        <v>0</v>
      </c>
      <c r="D117" s="339" t="s">
        <v>797</v>
      </c>
      <c r="E117" s="338" t="s">
        <v>797</v>
      </c>
    </row>
    <row r="118" spans="1:5" ht="30" customHeight="1" x14ac:dyDescent="0.2">
      <c r="A118" s="322" t="s">
        <v>610</v>
      </c>
      <c r="B118" s="335"/>
      <c r="C118" s="336">
        <v>0</v>
      </c>
      <c r="D118" s="339" t="s">
        <v>797</v>
      </c>
      <c r="E118" s="338" t="s">
        <v>797</v>
      </c>
    </row>
    <row r="119" spans="1:5" ht="30" customHeight="1" x14ac:dyDescent="0.2">
      <c r="A119" s="322" t="s">
        <v>611</v>
      </c>
      <c r="B119" s="335"/>
      <c r="C119" s="336">
        <v>0</v>
      </c>
      <c r="D119" s="339" t="s">
        <v>797</v>
      </c>
      <c r="E119" s="338" t="s">
        <v>797</v>
      </c>
    </row>
    <row r="120" spans="1:5" ht="30" customHeight="1" x14ac:dyDescent="0.2">
      <c r="A120" s="322" t="s">
        <v>612</v>
      </c>
      <c r="B120" s="335"/>
      <c r="C120" s="336">
        <v>0</v>
      </c>
      <c r="D120" s="339" t="s">
        <v>797</v>
      </c>
      <c r="E120" s="338" t="s">
        <v>797</v>
      </c>
    </row>
    <row r="121" spans="1:5" ht="30" customHeight="1" x14ac:dyDescent="0.2">
      <c r="A121" s="322" t="s">
        <v>685</v>
      </c>
      <c r="B121" s="335"/>
      <c r="C121" s="336" t="s">
        <v>802</v>
      </c>
      <c r="D121" s="339" t="s">
        <v>797</v>
      </c>
      <c r="E121" s="338" t="s">
        <v>797</v>
      </c>
    </row>
    <row r="122" spans="1:5" ht="30" customHeight="1" x14ac:dyDescent="0.2">
      <c r="A122" s="322" t="s">
        <v>692</v>
      </c>
      <c r="B122" s="335"/>
      <c r="C122" s="336" t="s">
        <v>803</v>
      </c>
      <c r="D122" s="339" t="s">
        <v>797</v>
      </c>
      <c r="E122" s="338" t="s">
        <v>797</v>
      </c>
    </row>
    <row r="123" spans="1:5" ht="30" customHeight="1" x14ac:dyDescent="0.2">
      <c r="A123" s="322" t="s">
        <v>699</v>
      </c>
      <c r="B123" s="335"/>
      <c r="C123" s="336" t="s">
        <v>803</v>
      </c>
      <c r="D123" s="339" t="s">
        <v>797</v>
      </c>
      <c r="E123" s="338" t="s">
        <v>797</v>
      </c>
    </row>
    <row r="124" spans="1:5" ht="30" customHeight="1" x14ac:dyDescent="0.2">
      <c r="A124" s="322" t="s">
        <v>706</v>
      </c>
      <c r="B124" s="335"/>
      <c r="C124" s="336" t="s">
        <v>803</v>
      </c>
      <c r="D124" s="339" t="s">
        <v>797</v>
      </c>
      <c r="E124" s="338" t="s">
        <v>797</v>
      </c>
    </row>
    <row r="125" spans="1:5" ht="30" customHeight="1" x14ac:dyDescent="0.2">
      <c r="A125" s="322" t="s">
        <v>713</v>
      </c>
      <c r="B125" s="335"/>
      <c r="C125" s="336" t="s">
        <v>803</v>
      </c>
      <c r="D125" s="339" t="s">
        <v>797</v>
      </c>
      <c r="E125" s="338" t="s">
        <v>797</v>
      </c>
    </row>
    <row r="126" spans="1:5" ht="30" customHeight="1" x14ac:dyDescent="0.2">
      <c r="A126" s="322" t="s">
        <v>720</v>
      </c>
      <c r="B126" s="335"/>
      <c r="C126" s="336" t="s">
        <v>803</v>
      </c>
      <c r="D126" s="339" t="s">
        <v>797</v>
      </c>
      <c r="E126" s="338" t="s">
        <v>797</v>
      </c>
    </row>
    <row r="127" spans="1:5" ht="30" customHeight="1" x14ac:dyDescent="0.2">
      <c r="A127" s="322" t="s">
        <v>614</v>
      </c>
      <c r="B127" s="335"/>
      <c r="C127" s="336">
        <v>0</v>
      </c>
      <c r="D127" s="339" t="s">
        <v>797</v>
      </c>
      <c r="E127" s="338" t="s">
        <v>797</v>
      </c>
    </row>
    <row r="128" spans="1:5" ht="30" customHeight="1" x14ac:dyDescent="0.2">
      <c r="A128" s="322" t="s">
        <v>615</v>
      </c>
      <c r="B128" s="335"/>
      <c r="C128" s="336">
        <v>0</v>
      </c>
      <c r="D128" s="339" t="s">
        <v>797</v>
      </c>
      <c r="E128" s="338" t="s">
        <v>797</v>
      </c>
    </row>
    <row r="129" spans="1:5" ht="30" customHeight="1" x14ac:dyDescent="0.2">
      <c r="A129" s="322" t="s">
        <v>616</v>
      </c>
      <c r="B129" s="335"/>
      <c r="C129" s="336">
        <v>0</v>
      </c>
      <c r="D129" s="339" t="s">
        <v>797</v>
      </c>
      <c r="E129" s="338" t="s">
        <v>797</v>
      </c>
    </row>
    <row r="130" spans="1:5" ht="30" customHeight="1" x14ac:dyDescent="0.2">
      <c r="A130" s="322" t="s">
        <v>617</v>
      </c>
      <c r="B130" s="335"/>
      <c r="C130" s="336">
        <v>0</v>
      </c>
      <c r="D130" s="339" t="s">
        <v>797</v>
      </c>
      <c r="E130" s="338" t="s">
        <v>797</v>
      </c>
    </row>
    <row r="131" spans="1:5" ht="30" customHeight="1" x14ac:dyDescent="0.2">
      <c r="A131" s="322" t="s">
        <v>618</v>
      </c>
      <c r="B131" s="335"/>
      <c r="C131" s="336">
        <v>0</v>
      </c>
      <c r="D131" s="339" t="s">
        <v>797</v>
      </c>
      <c r="E131" s="338" t="s">
        <v>797</v>
      </c>
    </row>
    <row r="132" spans="1:5" ht="30" customHeight="1" x14ac:dyDescent="0.2">
      <c r="A132" s="322" t="s">
        <v>619</v>
      </c>
      <c r="B132" s="335"/>
      <c r="C132" s="336">
        <v>0</v>
      </c>
      <c r="D132" s="339" t="s">
        <v>797</v>
      </c>
      <c r="E132" s="338" t="s">
        <v>797</v>
      </c>
    </row>
    <row r="133" spans="1:5" ht="30" customHeight="1" x14ac:dyDescent="0.2">
      <c r="A133" s="322" t="s">
        <v>620</v>
      </c>
      <c r="B133" s="335"/>
      <c r="C133" s="336">
        <v>0</v>
      </c>
      <c r="D133" s="339" t="s">
        <v>797</v>
      </c>
      <c r="E133" s="338" t="s">
        <v>797</v>
      </c>
    </row>
    <row r="134" spans="1:5" ht="30" customHeight="1" x14ac:dyDescent="0.2">
      <c r="A134" s="322" t="s">
        <v>621</v>
      </c>
      <c r="B134" s="335"/>
      <c r="C134" s="336">
        <v>0</v>
      </c>
      <c r="D134" s="339" t="s">
        <v>797</v>
      </c>
      <c r="E134" s="338" t="s">
        <v>797</v>
      </c>
    </row>
    <row r="135" spans="1:5" ht="30" customHeight="1" x14ac:dyDescent="0.2">
      <c r="A135" s="322" t="s">
        <v>622</v>
      </c>
      <c r="B135" s="335"/>
      <c r="C135" s="336">
        <v>0</v>
      </c>
      <c r="D135" s="339" t="s">
        <v>797</v>
      </c>
      <c r="E135" s="338" t="s">
        <v>797</v>
      </c>
    </row>
    <row r="136" spans="1:5" ht="30" customHeight="1" x14ac:dyDescent="0.2">
      <c r="A136" s="322" t="s">
        <v>623</v>
      </c>
      <c r="B136" s="335"/>
      <c r="C136" s="336">
        <v>0</v>
      </c>
      <c r="D136" s="339" t="s">
        <v>797</v>
      </c>
      <c r="E136" s="338" t="s">
        <v>797</v>
      </c>
    </row>
    <row r="137" spans="1:5" ht="30" customHeight="1" x14ac:dyDescent="0.2">
      <c r="A137" s="322" t="s">
        <v>624</v>
      </c>
      <c r="B137" s="335"/>
      <c r="C137" s="336">
        <v>0</v>
      </c>
      <c r="D137" s="339" t="s">
        <v>797</v>
      </c>
      <c r="E137" s="338" t="s">
        <v>797</v>
      </c>
    </row>
    <row r="138" spans="1:5" ht="30" customHeight="1" x14ac:dyDescent="0.2">
      <c r="A138" s="322" t="s">
        <v>625</v>
      </c>
      <c r="B138" s="335"/>
      <c r="C138" s="336">
        <v>0</v>
      </c>
      <c r="D138" s="339" t="s">
        <v>797</v>
      </c>
      <c r="E138" s="338" t="s">
        <v>797</v>
      </c>
    </row>
    <row r="139" spans="1:5" ht="30" customHeight="1" x14ac:dyDescent="0.2">
      <c r="A139" s="322" t="s">
        <v>626</v>
      </c>
      <c r="B139" s="335"/>
      <c r="C139" s="336">
        <v>0</v>
      </c>
      <c r="D139" s="338">
        <v>0</v>
      </c>
      <c r="E139" s="338">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797</v>
      </c>
      <c r="E141" s="338" t="s">
        <v>797</v>
      </c>
    </row>
    <row r="142" spans="1:5" ht="30" customHeight="1" x14ac:dyDescent="0.2">
      <c r="A142" s="322" t="s">
        <v>686</v>
      </c>
      <c r="B142" s="335"/>
      <c r="C142" s="336" t="s">
        <v>802</v>
      </c>
      <c r="D142" s="339" t="s">
        <v>797</v>
      </c>
      <c r="E142" s="338" t="s">
        <v>797</v>
      </c>
    </row>
    <row r="143" spans="1:5" ht="30" customHeight="1" x14ac:dyDescent="0.2">
      <c r="A143" s="322" t="s">
        <v>693</v>
      </c>
      <c r="B143" s="335"/>
      <c r="C143" s="336" t="s">
        <v>803</v>
      </c>
      <c r="D143" s="339" t="s">
        <v>797</v>
      </c>
      <c r="E143" s="338" t="s">
        <v>797</v>
      </c>
    </row>
    <row r="144" spans="1:5" ht="30" customHeight="1" x14ac:dyDescent="0.2">
      <c r="A144" s="322" t="s">
        <v>700</v>
      </c>
      <c r="B144" s="335"/>
      <c r="C144" s="336" t="s">
        <v>803</v>
      </c>
      <c r="D144" s="339" t="s">
        <v>797</v>
      </c>
      <c r="E144" s="338" t="s">
        <v>797</v>
      </c>
    </row>
    <row r="145" spans="1:5" ht="30" customHeight="1" x14ac:dyDescent="0.2">
      <c r="A145" s="322" t="s">
        <v>707</v>
      </c>
      <c r="B145" s="335"/>
      <c r="C145" s="336" t="s">
        <v>803</v>
      </c>
      <c r="D145" s="339" t="s">
        <v>797</v>
      </c>
      <c r="E145" s="338" t="s">
        <v>797</v>
      </c>
    </row>
    <row r="146" spans="1:5" ht="30" customHeight="1" x14ac:dyDescent="0.2">
      <c r="A146" s="322" t="s">
        <v>714</v>
      </c>
      <c r="B146" s="335"/>
      <c r="C146" s="336" t="s">
        <v>803</v>
      </c>
      <c r="D146" s="339" t="s">
        <v>797</v>
      </c>
      <c r="E146" s="338" t="s">
        <v>797</v>
      </c>
    </row>
    <row r="147" spans="1:5" ht="30" customHeight="1" x14ac:dyDescent="0.2">
      <c r="A147" s="322" t="s">
        <v>721</v>
      </c>
      <c r="B147" s="335"/>
      <c r="C147" s="336" t="s">
        <v>803</v>
      </c>
      <c r="D147" s="339" t="s">
        <v>797</v>
      </c>
      <c r="E147" s="338" t="s">
        <v>797</v>
      </c>
    </row>
    <row r="148" spans="1:5" ht="30" customHeight="1" x14ac:dyDescent="0.2">
      <c r="A148" s="322" t="s">
        <v>630</v>
      </c>
      <c r="B148" s="335"/>
      <c r="C148" s="336">
        <v>0</v>
      </c>
      <c r="D148" s="339" t="s">
        <v>797</v>
      </c>
      <c r="E148" s="338" t="s">
        <v>797</v>
      </c>
    </row>
    <row r="149" spans="1:5" ht="30" customHeight="1" x14ac:dyDescent="0.2">
      <c r="A149" s="322" t="s">
        <v>631</v>
      </c>
      <c r="B149" s="335"/>
      <c r="C149" s="336">
        <v>0</v>
      </c>
      <c r="D149" s="339" t="s">
        <v>797</v>
      </c>
      <c r="E149" s="338" t="s">
        <v>797</v>
      </c>
    </row>
    <row r="150" spans="1:5" ht="30" customHeight="1" x14ac:dyDescent="0.2">
      <c r="A150" s="322" t="s">
        <v>632</v>
      </c>
      <c r="B150" s="335"/>
      <c r="C150" s="336">
        <v>0</v>
      </c>
      <c r="D150" s="339" t="s">
        <v>797</v>
      </c>
      <c r="E150" s="338" t="s">
        <v>797</v>
      </c>
    </row>
    <row r="151" spans="1:5" ht="30" customHeight="1" x14ac:dyDescent="0.2">
      <c r="A151" s="322" t="s">
        <v>633</v>
      </c>
      <c r="B151" s="335"/>
      <c r="C151" s="336">
        <v>0</v>
      </c>
      <c r="D151" s="339" t="s">
        <v>797</v>
      </c>
      <c r="E151" s="338" t="s">
        <v>797</v>
      </c>
    </row>
    <row r="152" spans="1:5" ht="30" customHeight="1" x14ac:dyDescent="0.2">
      <c r="A152" s="322" t="s">
        <v>634</v>
      </c>
      <c r="B152" s="335"/>
      <c r="C152" s="336">
        <v>0</v>
      </c>
      <c r="D152" s="339" t="s">
        <v>797</v>
      </c>
      <c r="E152" s="338" t="s">
        <v>797</v>
      </c>
    </row>
    <row r="153" spans="1:5" ht="30" customHeight="1" x14ac:dyDescent="0.2">
      <c r="A153" s="322" t="s">
        <v>635</v>
      </c>
      <c r="B153" s="335"/>
      <c r="C153" s="336">
        <v>0</v>
      </c>
      <c r="D153" s="339" t="s">
        <v>797</v>
      </c>
      <c r="E153" s="338" t="s">
        <v>797</v>
      </c>
    </row>
    <row r="154" spans="1:5" ht="30" customHeight="1" x14ac:dyDescent="0.2">
      <c r="A154" s="322" t="s">
        <v>636</v>
      </c>
      <c r="B154" s="335"/>
      <c r="C154" s="336">
        <v>0</v>
      </c>
      <c r="D154" s="339" t="s">
        <v>797</v>
      </c>
      <c r="E154" s="338" t="s">
        <v>797</v>
      </c>
    </row>
    <row r="155" spans="1:5" ht="30" customHeight="1" x14ac:dyDescent="0.2">
      <c r="A155" s="322" t="s">
        <v>637</v>
      </c>
      <c r="B155" s="335"/>
      <c r="C155" s="336">
        <v>0</v>
      </c>
      <c r="D155" s="339" t="s">
        <v>797</v>
      </c>
      <c r="E155" s="338" t="s">
        <v>797</v>
      </c>
    </row>
    <row r="156" spans="1:5" ht="30" customHeight="1" x14ac:dyDescent="0.2">
      <c r="A156" s="322" t="s">
        <v>638</v>
      </c>
      <c r="B156" s="335"/>
      <c r="C156" s="336">
        <v>0</v>
      </c>
      <c r="D156" s="339" t="s">
        <v>797</v>
      </c>
      <c r="E156" s="338" t="s">
        <v>797</v>
      </c>
    </row>
    <row r="157" spans="1:5" ht="30" customHeight="1" x14ac:dyDescent="0.2">
      <c r="A157" s="322" t="s">
        <v>639</v>
      </c>
      <c r="B157" s="335"/>
      <c r="C157" s="336">
        <v>0</v>
      </c>
      <c r="D157" s="339" t="s">
        <v>797</v>
      </c>
      <c r="E157" s="338" t="s">
        <v>797</v>
      </c>
    </row>
    <row r="158" spans="1:5" ht="30" customHeight="1" x14ac:dyDescent="0.2">
      <c r="A158" s="322" t="s">
        <v>640</v>
      </c>
      <c r="B158" s="335"/>
      <c r="C158" s="336">
        <v>0</v>
      </c>
      <c r="D158" s="339" t="s">
        <v>797</v>
      </c>
      <c r="E158" s="338" t="s">
        <v>797</v>
      </c>
    </row>
    <row r="159" spans="1:5" ht="30" customHeight="1" x14ac:dyDescent="0.2">
      <c r="A159" s="322" t="s">
        <v>641</v>
      </c>
      <c r="B159" s="335"/>
      <c r="C159" s="336">
        <v>0</v>
      </c>
      <c r="D159" s="339" t="s">
        <v>797</v>
      </c>
      <c r="E159" s="338" t="s">
        <v>797</v>
      </c>
    </row>
    <row r="160" spans="1:5" ht="30" customHeight="1" x14ac:dyDescent="0.2">
      <c r="A160" s="322" t="s">
        <v>642</v>
      </c>
      <c r="B160" s="335"/>
      <c r="C160" s="336">
        <v>0</v>
      </c>
      <c r="D160" s="339" t="s">
        <v>797</v>
      </c>
      <c r="E160" s="338" t="s">
        <v>797</v>
      </c>
    </row>
    <row r="161" spans="1:5" ht="30" customHeight="1" x14ac:dyDescent="0.2">
      <c r="A161" s="322" t="s">
        <v>643</v>
      </c>
      <c r="B161" s="335"/>
      <c r="C161" s="336">
        <v>0</v>
      </c>
      <c r="D161" s="339" t="s">
        <v>797</v>
      </c>
      <c r="E161" s="338" t="s">
        <v>797</v>
      </c>
    </row>
    <row r="162" spans="1:5" ht="30" customHeight="1" x14ac:dyDescent="0.2">
      <c r="A162" s="322" t="s">
        <v>644</v>
      </c>
      <c r="B162" s="335"/>
      <c r="C162" s="336">
        <v>0</v>
      </c>
      <c r="D162" s="339" t="s">
        <v>797</v>
      </c>
      <c r="E162" s="338" t="s">
        <v>797</v>
      </c>
    </row>
    <row r="163" spans="1:5" x14ac:dyDescent="0.2">
      <c r="A163" s="1" t="s">
        <v>722</v>
      </c>
      <c r="B163" s="1"/>
      <c r="D163" s="1"/>
      <c r="E163" s="1"/>
    </row>
    <row r="164" spans="1:5" x14ac:dyDescent="0.2">
      <c r="A164" s="1" t="s">
        <v>723</v>
      </c>
      <c r="B164" s="1"/>
      <c r="D164" s="1"/>
      <c r="E164" s="1"/>
    </row>
  </sheetData>
  <mergeCells count="2">
    <mergeCell ref="B1:C1"/>
    <mergeCell ref="A2:E2"/>
  </mergeCells>
  <hyperlinks>
    <hyperlink ref="A1" location="Overview!A1" display="Back to Overview" xr:uid="{3ABB8EED-D5BA-4B4D-8454-928F63E7C989}"/>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4EE4-A28E-40BB-8D98-CA113E2A82D0}">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3" ht="27.75" customHeight="1" x14ac:dyDescent="0.2">
      <c r="A1" s="31" t="s">
        <v>19</v>
      </c>
      <c r="B1" s="524"/>
      <c r="C1" s="524"/>
      <c r="D1" s="327"/>
      <c r="E1" s="327"/>
    </row>
    <row r="2" spans="1:13" ht="35.1" customHeight="1" x14ac:dyDescent="0.2">
      <c r="A2" s="525" t="str">
        <f>Overview!B4&amp; " - Effective from "&amp;TEXT(Overview!D4,"d mmmm yyyy")&amp;" - "&amp;Overview!E4&amp;" Supplier of Last Resort and Eligible Bad Debt Pass-Through Costs"&amp;" in UKPN LPN Area (GSP Group_C)"</f>
        <v>Leep Electricity Networks Limited - Effective from 1 April 2027 - Final Supplier of Last Resort and Eligible Bad Debt Pass-Through Costs in UKPN LPN Area (GSP Group_C)</v>
      </c>
      <c r="B2" s="526"/>
      <c r="C2" s="526"/>
      <c r="D2" s="526"/>
      <c r="E2" s="526"/>
    </row>
    <row r="3" spans="1:13" s="40" customFormat="1" ht="21" customHeight="1" x14ac:dyDescent="0.2">
      <c r="A3" s="45"/>
      <c r="B3" s="45"/>
      <c r="C3" s="45"/>
      <c r="D3" s="45"/>
      <c r="E3" s="45"/>
      <c r="F3" s="1"/>
    </row>
    <row r="4" spans="1:13" ht="78.75" customHeight="1" x14ac:dyDescent="0.2">
      <c r="A4" s="19" t="s">
        <v>359</v>
      </c>
      <c r="B4" s="16" t="s">
        <v>645</v>
      </c>
      <c r="C4" s="16" t="s">
        <v>24</v>
      </c>
      <c r="D4" s="16" t="s">
        <v>646</v>
      </c>
      <c r="E4" s="16" t="s">
        <v>647</v>
      </c>
      <c r="G4" s="399"/>
      <c r="H4" s="400"/>
      <c r="I4" s="400"/>
      <c r="J4" s="400"/>
      <c r="K4" s="400"/>
      <c r="L4" s="400"/>
      <c r="M4" s="401"/>
    </row>
    <row r="5" spans="1:13" ht="32.25" customHeight="1" x14ac:dyDescent="0.2">
      <c r="A5" s="10" t="s">
        <v>674</v>
      </c>
      <c r="B5" s="27"/>
      <c r="C5" s="311" t="s">
        <v>802</v>
      </c>
      <c r="D5" s="328" t="s">
        <v>797</v>
      </c>
      <c r="E5" s="328" t="s">
        <v>797</v>
      </c>
      <c r="G5" s="400"/>
      <c r="H5" s="400"/>
      <c r="I5" s="400"/>
      <c r="J5" s="400"/>
      <c r="K5" s="400"/>
      <c r="L5" s="400"/>
      <c r="M5" s="401"/>
    </row>
    <row r="6" spans="1:13" ht="27" customHeight="1" x14ac:dyDescent="0.2">
      <c r="A6" s="10" t="s">
        <v>675</v>
      </c>
      <c r="B6" s="27"/>
      <c r="C6" s="311" t="s">
        <v>803</v>
      </c>
      <c r="D6" s="329" t="s">
        <v>797</v>
      </c>
      <c r="E6" s="328" t="s">
        <v>797</v>
      </c>
    </row>
    <row r="7" spans="1:13" ht="27" customHeight="1" x14ac:dyDescent="0.2">
      <c r="A7" s="10" t="s">
        <v>676</v>
      </c>
      <c r="B7" s="27"/>
      <c r="C7" s="311" t="s">
        <v>803</v>
      </c>
      <c r="D7" s="329" t="s">
        <v>797</v>
      </c>
      <c r="E7" s="328" t="s">
        <v>797</v>
      </c>
    </row>
    <row r="8" spans="1:13" ht="27" customHeight="1" x14ac:dyDescent="0.2">
      <c r="A8" s="10" t="s">
        <v>677</v>
      </c>
      <c r="B8" s="27"/>
      <c r="C8" s="311" t="s">
        <v>803</v>
      </c>
      <c r="D8" s="329" t="s">
        <v>797</v>
      </c>
      <c r="E8" s="328" t="s">
        <v>797</v>
      </c>
    </row>
    <row r="9" spans="1:13" ht="27" customHeight="1" x14ac:dyDescent="0.2">
      <c r="A9" s="10" t="s">
        <v>678</v>
      </c>
      <c r="B9" s="27"/>
      <c r="C9" s="311" t="s">
        <v>803</v>
      </c>
      <c r="D9" s="329" t="s">
        <v>797</v>
      </c>
      <c r="E9" s="328" t="s">
        <v>797</v>
      </c>
    </row>
    <row r="10" spans="1:13" ht="27" customHeight="1" x14ac:dyDescent="0.2">
      <c r="A10" s="10" t="s">
        <v>679</v>
      </c>
      <c r="B10" s="27"/>
      <c r="C10" s="311" t="s">
        <v>803</v>
      </c>
      <c r="D10" s="329" t="s">
        <v>797</v>
      </c>
      <c r="E10" s="328" t="s">
        <v>797</v>
      </c>
    </row>
    <row r="11" spans="1:13" ht="27" customHeight="1" x14ac:dyDescent="0.2">
      <c r="A11" s="322" t="s">
        <v>496</v>
      </c>
      <c r="B11" s="27"/>
      <c r="C11" s="311">
        <v>0</v>
      </c>
      <c r="D11" s="329" t="s">
        <v>797</v>
      </c>
      <c r="E11" s="328" t="s">
        <v>797</v>
      </c>
    </row>
    <row r="12" spans="1:13" ht="27" customHeight="1" x14ac:dyDescent="0.2">
      <c r="A12" s="322" t="s">
        <v>497</v>
      </c>
      <c r="B12" s="27"/>
      <c r="C12" s="311">
        <v>0</v>
      </c>
      <c r="D12" s="329" t="s">
        <v>797</v>
      </c>
      <c r="E12" s="328" t="s">
        <v>797</v>
      </c>
    </row>
    <row r="13" spans="1:13" ht="27.75" customHeight="1" x14ac:dyDescent="0.2">
      <c r="A13" s="322" t="s">
        <v>498</v>
      </c>
      <c r="B13" s="27"/>
      <c r="C13" s="311">
        <v>0</v>
      </c>
      <c r="D13" s="329" t="s">
        <v>797</v>
      </c>
      <c r="E13" s="328" t="s">
        <v>797</v>
      </c>
    </row>
    <row r="14" spans="1:13" ht="27.75" customHeight="1" x14ac:dyDescent="0.2">
      <c r="A14" s="322" t="s">
        <v>499</v>
      </c>
      <c r="B14" s="27"/>
      <c r="C14" s="311">
        <v>0</v>
      </c>
      <c r="D14" s="329" t="s">
        <v>797</v>
      </c>
      <c r="E14" s="328" t="s">
        <v>797</v>
      </c>
    </row>
    <row r="15" spans="1:13" ht="27.75" customHeight="1" x14ac:dyDescent="0.2">
      <c r="A15" s="323" t="s">
        <v>500</v>
      </c>
      <c r="B15" s="27"/>
      <c r="C15" s="311">
        <v>0</v>
      </c>
      <c r="D15" s="329" t="s">
        <v>797</v>
      </c>
      <c r="E15" s="328" t="s">
        <v>797</v>
      </c>
    </row>
    <row r="16" spans="1:13" ht="27.75" customHeight="1" x14ac:dyDescent="0.2">
      <c r="A16" s="323" t="s">
        <v>501</v>
      </c>
      <c r="B16" s="27"/>
      <c r="C16" s="311">
        <v>0</v>
      </c>
      <c r="D16" s="329" t="s">
        <v>797</v>
      </c>
      <c r="E16" s="328" t="s">
        <v>797</v>
      </c>
    </row>
    <row r="17" spans="1:5" ht="27.75" customHeight="1" x14ac:dyDescent="0.2">
      <c r="A17" s="323" t="s">
        <v>502</v>
      </c>
      <c r="B17" s="27"/>
      <c r="C17" s="311">
        <v>0</v>
      </c>
      <c r="D17" s="329" t="s">
        <v>797</v>
      </c>
      <c r="E17" s="328" t="s">
        <v>797</v>
      </c>
    </row>
    <row r="18" spans="1:5" ht="27.75" customHeight="1" x14ac:dyDescent="0.2">
      <c r="A18" s="323" t="s">
        <v>503</v>
      </c>
      <c r="B18" s="27"/>
      <c r="C18" s="311">
        <v>0</v>
      </c>
      <c r="D18" s="329" t="s">
        <v>797</v>
      </c>
      <c r="E18" s="328" t="s">
        <v>797</v>
      </c>
    </row>
    <row r="19" spans="1:5" ht="27.75" customHeight="1" x14ac:dyDescent="0.2">
      <c r="A19" s="323" t="s">
        <v>504</v>
      </c>
      <c r="B19" s="27"/>
      <c r="C19" s="311">
        <v>0</v>
      </c>
      <c r="D19" s="329" t="s">
        <v>797</v>
      </c>
      <c r="E19" s="328" t="s">
        <v>797</v>
      </c>
    </row>
    <row r="20" spans="1:5" ht="27.75" customHeight="1" x14ac:dyDescent="0.2">
      <c r="A20" s="323" t="s">
        <v>505</v>
      </c>
      <c r="B20" s="27"/>
      <c r="C20" s="311">
        <v>0</v>
      </c>
      <c r="D20" s="329" t="s">
        <v>797</v>
      </c>
      <c r="E20" s="328" t="s">
        <v>797</v>
      </c>
    </row>
    <row r="21" spans="1:5" ht="27.75" customHeight="1" x14ac:dyDescent="0.2">
      <c r="A21" s="323" t="s">
        <v>506</v>
      </c>
      <c r="B21" s="27"/>
      <c r="C21" s="311">
        <v>0</v>
      </c>
      <c r="D21" s="329" t="s">
        <v>797</v>
      </c>
      <c r="E21" s="328" t="s">
        <v>797</v>
      </c>
    </row>
    <row r="22" spans="1:5" ht="27.75" customHeight="1" x14ac:dyDescent="0.2">
      <c r="A22" s="323" t="s">
        <v>507</v>
      </c>
      <c r="B22" s="27"/>
      <c r="C22" s="311">
        <v>0</v>
      </c>
      <c r="D22" s="329" t="s">
        <v>797</v>
      </c>
      <c r="E22" s="328" t="s">
        <v>797</v>
      </c>
    </row>
    <row r="23" spans="1:5" ht="27.75" customHeight="1" x14ac:dyDescent="0.2">
      <c r="A23" s="322" t="s">
        <v>508</v>
      </c>
      <c r="B23" s="27"/>
      <c r="C23" s="311">
        <v>0</v>
      </c>
      <c r="D23" s="329" t="s">
        <v>797</v>
      </c>
      <c r="E23" s="328" t="s">
        <v>797</v>
      </c>
    </row>
    <row r="24" spans="1:5" ht="27.75" customHeight="1" x14ac:dyDescent="0.2">
      <c r="A24" s="322" t="s">
        <v>509</v>
      </c>
      <c r="B24" s="27"/>
      <c r="C24" s="311">
        <v>0</v>
      </c>
      <c r="D24" s="329" t="s">
        <v>797</v>
      </c>
      <c r="E24" s="328" t="s">
        <v>797</v>
      </c>
    </row>
    <row r="25" spans="1:5" ht="27.75" customHeight="1" x14ac:dyDescent="0.2">
      <c r="A25" s="322" t="s">
        <v>510</v>
      </c>
      <c r="B25" s="27"/>
      <c r="C25" s="311">
        <v>0</v>
      </c>
      <c r="D25" s="328" t="s">
        <v>797</v>
      </c>
      <c r="E25" s="328" t="s">
        <v>797</v>
      </c>
    </row>
    <row r="26" spans="1:5" ht="27.75" customHeight="1" x14ac:dyDescent="0.2">
      <c r="A26" s="322" t="s">
        <v>680</v>
      </c>
      <c r="B26" s="27" t="s">
        <v>1304</v>
      </c>
      <c r="C26" s="311" t="s">
        <v>802</v>
      </c>
      <c r="D26" s="329" t="s">
        <v>797</v>
      </c>
      <c r="E26" s="328" t="s">
        <v>797</v>
      </c>
    </row>
    <row r="27" spans="1:5" ht="27.75" customHeight="1" x14ac:dyDescent="0.2">
      <c r="A27" s="322" t="s">
        <v>687</v>
      </c>
      <c r="B27" s="27" t="s">
        <v>1305</v>
      </c>
      <c r="C27" s="311" t="s">
        <v>803</v>
      </c>
      <c r="D27" s="329" t="s">
        <v>797</v>
      </c>
      <c r="E27" s="328" t="s">
        <v>797</v>
      </c>
    </row>
    <row r="28" spans="1:5" ht="27.75" customHeight="1" x14ac:dyDescent="0.2">
      <c r="A28" s="322" t="s">
        <v>694</v>
      </c>
      <c r="B28" s="27" t="s">
        <v>1306</v>
      </c>
      <c r="C28" s="311" t="s">
        <v>803</v>
      </c>
      <c r="D28" s="329" t="s">
        <v>797</v>
      </c>
      <c r="E28" s="328" t="s">
        <v>797</v>
      </c>
    </row>
    <row r="29" spans="1:5" ht="27.75" customHeight="1" x14ac:dyDescent="0.2">
      <c r="A29" s="322" t="s">
        <v>701</v>
      </c>
      <c r="B29" s="27" t="s">
        <v>1307</v>
      </c>
      <c r="C29" s="311" t="s">
        <v>803</v>
      </c>
      <c r="D29" s="329" t="s">
        <v>797</v>
      </c>
      <c r="E29" s="328" t="s">
        <v>797</v>
      </c>
    </row>
    <row r="30" spans="1:5" ht="27.75" customHeight="1" x14ac:dyDescent="0.2">
      <c r="A30" s="322" t="s">
        <v>708</v>
      </c>
      <c r="B30" s="27" t="s">
        <v>1308</v>
      </c>
      <c r="C30" s="311" t="s">
        <v>803</v>
      </c>
      <c r="D30" s="329" t="s">
        <v>797</v>
      </c>
      <c r="E30" s="328" t="s">
        <v>797</v>
      </c>
    </row>
    <row r="31" spans="1:5" ht="27.75" customHeight="1" x14ac:dyDescent="0.2">
      <c r="A31" s="322" t="s">
        <v>715</v>
      </c>
      <c r="B31" s="27" t="s">
        <v>1309</v>
      </c>
      <c r="C31" s="311" t="s">
        <v>803</v>
      </c>
      <c r="D31" s="329" t="s">
        <v>797</v>
      </c>
      <c r="E31" s="328" t="s">
        <v>797</v>
      </c>
    </row>
    <row r="32" spans="1:5" ht="27.75" customHeight="1" x14ac:dyDescent="0.2">
      <c r="A32" s="322" t="s">
        <v>544</v>
      </c>
      <c r="B32" s="27" t="s">
        <v>797</v>
      </c>
      <c r="C32" s="311">
        <v>0</v>
      </c>
      <c r="D32" s="329" t="s">
        <v>797</v>
      </c>
      <c r="E32" s="328" t="s">
        <v>797</v>
      </c>
    </row>
    <row r="33" spans="1:5" ht="27.75" customHeight="1" x14ac:dyDescent="0.2">
      <c r="A33" s="322" t="s">
        <v>545</v>
      </c>
      <c r="B33" s="27" t="s">
        <v>1310</v>
      </c>
      <c r="C33" s="311">
        <v>0</v>
      </c>
      <c r="D33" s="329" t="s">
        <v>797</v>
      </c>
      <c r="E33" s="328" t="s">
        <v>797</v>
      </c>
    </row>
    <row r="34" spans="1:5" ht="27.75" customHeight="1" x14ac:dyDescent="0.2">
      <c r="A34" s="322" t="s">
        <v>546</v>
      </c>
      <c r="B34" s="27" t="s">
        <v>1311</v>
      </c>
      <c r="C34" s="311">
        <v>0</v>
      </c>
      <c r="D34" s="329" t="s">
        <v>797</v>
      </c>
      <c r="E34" s="328" t="s">
        <v>797</v>
      </c>
    </row>
    <row r="35" spans="1:5" ht="27.75" customHeight="1" x14ac:dyDescent="0.2">
      <c r="A35" s="322" t="s">
        <v>547</v>
      </c>
      <c r="B35" s="27" t="s">
        <v>1312</v>
      </c>
      <c r="C35" s="311">
        <v>0</v>
      </c>
      <c r="D35" s="329" t="s">
        <v>797</v>
      </c>
      <c r="E35" s="328" t="s">
        <v>797</v>
      </c>
    </row>
    <row r="36" spans="1:5" ht="27.75" customHeight="1" x14ac:dyDescent="0.2">
      <c r="A36" s="322" t="s">
        <v>548</v>
      </c>
      <c r="B36" s="27" t="s">
        <v>1313</v>
      </c>
      <c r="C36" s="311">
        <v>0</v>
      </c>
      <c r="D36" s="328" t="s">
        <v>797</v>
      </c>
      <c r="E36" s="328" t="s">
        <v>797</v>
      </c>
    </row>
    <row r="37" spans="1:5" ht="27.75" customHeight="1" x14ac:dyDescent="0.2">
      <c r="A37" s="323" t="s">
        <v>681</v>
      </c>
      <c r="B37" s="27" t="e">
        <v>#N/A</v>
      </c>
      <c r="C37" s="311" t="s">
        <v>802</v>
      </c>
      <c r="D37" s="329" t="s">
        <v>797</v>
      </c>
      <c r="E37" s="328" t="s">
        <v>797</v>
      </c>
    </row>
    <row r="38" spans="1:5" ht="27.75" customHeight="1" x14ac:dyDescent="0.2">
      <c r="A38" s="322" t="s">
        <v>688</v>
      </c>
      <c r="B38" s="27" t="s">
        <v>1314</v>
      </c>
      <c r="C38" s="311" t="s">
        <v>803</v>
      </c>
      <c r="D38" s="329" t="s">
        <v>797</v>
      </c>
      <c r="E38" s="328" t="s">
        <v>797</v>
      </c>
    </row>
    <row r="39" spans="1:5" ht="27.75" customHeight="1" x14ac:dyDescent="0.2">
      <c r="A39" s="322" t="s">
        <v>695</v>
      </c>
      <c r="B39" s="27" t="s">
        <v>1315</v>
      </c>
      <c r="C39" s="311" t="s">
        <v>803</v>
      </c>
      <c r="D39" s="329" t="s">
        <v>797</v>
      </c>
      <c r="E39" s="328" t="s">
        <v>797</v>
      </c>
    </row>
    <row r="40" spans="1:5" ht="27.75" customHeight="1" x14ac:dyDescent="0.2">
      <c r="A40" s="322" t="s">
        <v>702</v>
      </c>
      <c r="B40" s="27" t="s">
        <v>1316</v>
      </c>
      <c r="C40" s="311" t="s">
        <v>803</v>
      </c>
      <c r="D40" s="329" t="s">
        <v>797</v>
      </c>
      <c r="E40" s="328" t="s">
        <v>797</v>
      </c>
    </row>
    <row r="41" spans="1:5" ht="27.75" customHeight="1" x14ac:dyDescent="0.2">
      <c r="A41" s="322" t="s">
        <v>709</v>
      </c>
      <c r="B41" s="27" t="s">
        <v>1317</v>
      </c>
      <c r="C41" s="311" t="s">
        <v>803</v>
      </c>
      <c r="D41" s="329" t="s">
        <v>797</v>
      </c>
      <c r="E41" s="328" t="s">
        <v>797</v>
      </c>
    </row>
    <row r="42" spans="1:5" ht="27.75" customHeight="1" x14ac:dyDescent="0.2">
      <c r="A42" s="322" t="s">
        <v>716</v>
      </c>
      <c r="B42" s="27" t="s">
        <v>1318</v>
      </c>
      <c r="C42" s="311" t="s">
        <v>803</v>
      </c>
      <c r="D42" s="329" t="s">
        <v>797</v>
      </c>
      <c r="E42" s="328" t="s">
        <v>797</v>
      </c>
    </row>
    <row r="43" spans="1:5" ht="27.75" customHeight="1" x14ac:dyDescent="0.2">
      <c r="A43" s="322" t="s">
        <v>550</v>
      </c>
      <c r="B43" s="27" t="s">
        <v>797</v>
      </c>
      <c r="C43" s="311">
        <v>0</v>
      </c>
      <c r="D43" s="329" t="s">
        <v>797</v>
      </c>
      <c r="E43" s="328" t="s">
        <v>797</v>
      </c>
    </row>
    <row r="44" spans="1:5" ht="27.75" customHeight="1" x14ac:dyDescent="0.2">
      <c r="A44" s="322" t="s">
        <v>551</v>
      </c>
      <c r="B44" s="27" t="s">
        <v>1319</v>
      </c>
      <c r="C44" s="311">
        <v>0</v>
      </c>
      <c r="D44" s="329" t="s">
        <v>797</v>
      </c>
      <c r="E44" s="328" t="s">
        <v>797</v>
      </c>
    </row>
    <row r="45" spans="1:5" ht="27.75" customHeight="1" x14ac:dyDescent="0.2">
      <c r="A45" s="322" t="s">
        <v>552</v>
      </c>
      <c r="B45" s="27" t="s">
        <v>1320</v>
      </c>
      <c r="C45" s="311">
        <v>0</v>
      </c>
      <c r="D45" s="329" t="s">
        <v>797</v>
      </c>
      <c r="E45" s="328" t="s">
        <v>797</v>
      </c>
    </row>
    <row r="46" spans="1:5" ht="27.75" customHeight="1" x14ac:dyDescent="0.2">
      <c r="A46" s="322" t="s">
        <v>553</v>
      </c>
      <c r="B46" s="27" t="s">
        <v>1321</v>
      </c>
      <c r="C46" s="311">
        <v>0</v>
      </c>
      <c r="D46" s="329" t="s">
        <v>797</v>
      </c>
      <c r="E46" s="328" t="s">
        <v>797</v>
      </c>
    </row>
    <row r="47" spans="1:5" ht="27.75" customHeight="1" x14ac:dyDescent="0.2">
      <c r="A47" s="322" t="s">
        <v>554</v>
      </c>
      <c r="B47" s="27" t="s">
        <v>1322</v>
      </c>
      <c r="C47" s="311">
        <v>0</v>
      </c>
      <c r="D47" s="329" t="s">
        <v>797</v>
      </c>
      <c r="E47" s="328" t="s">
        <v>797</v>
      </c>
    </row>
    <row r="48" spans="1:5" ht="27.75" customHeight="1" x14ac:dyDescent="0.2">
      <c r="A48" s="322" t="s">
        <v>555</v>
      </c>
      <c r="B48" s="27" t="s">
        <v>797</v>
      </c>
      <c r="C48" s="311">
        <v>0</v>
      </c>
      <c r="D48" s="329" t="s">
        <v>797</v>
      </c>
      <c r="E48" s="328" t="s">
        <v>797</v>
      </c>
    </row>
    <row r="49" spans="1:5" ht="27.75" customHeight="1" x14ac:dyDescent="0.2">
      <c r="A49" s="322" t="s">
        <v>556</v>
      </c>
      <c r="B49" s="27" t="s">
        <v>1323</v>
      </c>
      <c r="C49" s="311">
        <v>0</v>
      </c>
      <c r="D49" s="329" t="s">
        <v>797</v>
      </c>
      <c r="E49" s="328" t="s">
        <v>797</v>
      </c>
    </row>
    <row r="50" spans="1:5" ht="27.75" customHeight="1" x14ac:dyDescent="0.2">
      <c r="A50" s="322" t="s">
        <v>557</v>
      </c>
      <c r="B50" s="27" t="s">
        <v>1324</v>
      </c>
      <c r="C50" s="311">
        <v>0</v>
      </c>
      <c r="D50" s="329" t="s">
        <v>797</v>
      </c>
      <c r="E50" s="328" t="s">
        <v>797</v>
      </c>
    </row>
    <row r="51" spans="1:5" ht="27.75" customHeight="1" x14ac:dyDescent="0.2">
      <c r="A51" s="322" t="s">
        <v>558</v>
      </c>
      <c r="B51" s="27" t="s">
        <v>1325</v>
      </c>
      <c r="C51" s="311">
        <v>0</v>
      </c>
      <c r="D51" s="329" t="s">
        <v>797</v>
      </c>
      <c r="E51" s="328" t="s">
        <v>797</v>
      </c>
    </row>
    <row r="52" spans="1:5" ht="27.75" customHeight="1" x14ac:dyDescent="0.2">
      <c r="A52" s="322" t="s">
        <v>559</v>
      </c>
      <c r="B52" s="27" t="s">
        <v>1326</v>
      </c>
      <c r="C52" s="311">
        <v>0</v>
      </c>
      <c r="D52" s="329" t="s">
        <v>797</v>
      </c>
      <c r="E52" s="328" t="s">
        <v>797</v>
      </c>
    </row>
    <row r="53" spans="1:5" ht="27.75" customHeight="1" x14ac:dyDescent="0.2">
      <c r="A53" s="322" t="s">
        <v>560</v>
      </c>
      <c r="B53" s="27" t="s">
        <v>797</v>
      </c>
      <c r="C53" s="311">
        <v>0</v>
      </c>
      <c r="D53" s="329" t="s">
        <v>797</v>
      </c>
      <c r="E53" s="328" t="s">
        <v>797</v>
      </c>
    </row>
    <row r="54" spans="1:5" ht="27.75" customHeight="1" x14ac:dyDescent="0.2">
      <c r="A54" s="322" t="s">
        <v>561</v>
      </c>
      <c r="B54" s="27" t="s">
        <v>1327</v>
      </c>
      <c r="C54" s="311">
        <v>0</v>
      </c>
      <c r="D54" s="329" t="s">
        <v>797</v>
      </c>
      <c r="E54" s="328" t="s">
        <v>797</v>
      </c>
    </row>
    <row r="55" spans="1:5" ht="27.75" customHeight="1" x14ac:dyDescent="0.2">
      <c r="A55" s="322" t="s">
        <v>562</v>
      </c>
      <c r="B55" s="27" t="s">
        <v>1328</v>
      </c>
      <c r="C55" s="311">
        <v>0</v>
      </c>
      <c r="D55" s="329" t="s">
        <v>797</v>
      </c>
      <c r="E55" s="328" t="s">
        <v>797</v>
      </c>
    </row>
    <row r="56" spans="1:5" ht="27.75" customHeight="1" x14ac:dyDescent="0.2">
      <c r="A56" s="322" t="s">
        <v>563</v>
      </c>
      <c r="B56" s="27" t="s">
        <v>1329</v>
      </c>
      <c r="C56" s="311">
        <v>0</v>
      </c>
      <c r="D56" s="329" t="s">
        <v>797</v>
      </c>
      <c r="E56" s="328" t="s">
        <v>797</v>
      </c>
    </row>
    <row r="57" spans="1:5" ht="27.75" customHeight="1" x14ac:dyDescent="0.2">
      <c r="A57" s="322" t="s">
        <v>564</v>
      </c>
      <c r="B57" s="27" t="s">
        <v>1330</v>
      </c>
      <c r="C57" s="311">
        <v>0</v>
      </c>
      <c r="D57" s="328" t="s">
        <v>797</v>
      </c>
      <c r="E57" s="328" t="s">
        <v>797</v>
      </c>
    </row>
    <row r="58" spans="1:5" ht="27.75" customHeight="1" x14ac:dyDescent="0.2">
      <c r="A58" s="322" t="s">
        <v>682</v>
      </c>
      <c r="B58" s="27" t="e">
        <v>#N/A</v>
      </c>
      <c r="C58" s="311" t="s">
        <v>802</v>
      </c>
      <c r="D58" s="329" t="s">
        <v>797</v>
      </c>
      <c r="E58" s="328" t="s">
        <v>797</v>
      </c>
    </row>
    <row r="59" spans="1:5" ht="27.75" customHeight="1" x14ac:dyDescent="0.2">
      <c r="A59" s="322" t="s">
        <v>689</v>
      </c>
      <c r="B59" s="27" t="s">
        <v>1331</v>
      </c>
      <c r="C59" s="311" t="s">
        <v>803</v>
      </c>
      <c r="D59" s="329" t="s">
        <v>797</v>
      </c>
      <c r="E59" s="328" t="s">
        <v>797</v>
      </c>
    </row>
    <row r="60" spans="1:5" ht="27.75" customHeight="1" x14ac:dyDescent="0.2">
      <c r="A60" s="322" t="s">
        <v>696</v>
      </c>
      <c r="B60" s="27" t="s">
        <v>1332</v>
      </c>
      <c r="C60" s="311" t="s">
        <v>803</v>
      </c>
      <c r="D60" s="329" t="s">
        <v>797</v>
      </c>
      <c r="E60" s="328" t="s">
        <v>797</v>
      </c>
    </row>
    <row r="61" spans="1:5" ht="27.75" customHeight="1" x14ac:dyDescent="0.2">
      <c r="A61" s="322" t="s">
        <v>703</v>
      </c>
      <c r="B61" s="27" t="s">
        <v>1333</v>
      </c>
      <c r="C61" s="311" t="s">
        <v>803</v>
      </c>
      <c r="D61" s="329" t="s">
        <v>797</v>
      </c>
      <c r="E61" s="328" t="s">
        <v>797</v>
      </c>
    </row>
    <row r="62" spans="1:5" ht="27.75" customHeight="1" x14ac:dyDescent="0.2">
      <c r="A62" s="322" t="s">
        <v>710</v>
      </c>
      <c r="B62" s="27" t="s">
        <v>1334</v>
      </c>
      <c r="C62" s="311" t="s">
        <v>803</v>
      </c>
      <c r="D62" s="329" t="s">
        <v>797</v>
      </c>
      <c r="E62" s="328" t="s">
        <v>797</v>
      </c>
    </row>
    <row r="63" spans="1:5" ht="27.75" customHeight="1" x14ac:dyDescent="0.2">
      <c r="A63" s="322" t="s">
        <v>717</v>
      </c>
      <c r="B63" s="27" t="s">
        <v>1335</v>
      </c>
      <c r="C63" s="311" t="s">
        <v>803</v>
      </c>
      <c r="D63" s="329" t="s">
        <v>797</v>
      </c>
      <c r="E63" s="328" t="s">
        <v>797</v>
      </c>
    </row>
    <row r="64" spans="1:5" ht="27.75" customHeight="1" x14ac:dyDescent="0.2">
      <c r="A64" s="322" t="s">
        <v>566</v>
      </c>
      <c r="B64" s="27" t="s">
        <v>797</v>
      </c>
      <c r="C64" s="311">
        <v>0</v>
      </c>
      <c r="D64" s="329" t="s">
        <v>797</v>
      </c>
      <c r="E64" s="328" t="s">
        <v>797</v>
      </c>
    </row>
    <row r="65" spans="1:5" ht="27.75" customHeight="1" x14ac:dyDescent="0.2">
      <c r="A65" s="322" t="s">
        <v>567</v>
      </c>
      <c r="B65" s="27" t="s">
        <v>1336</v>
      </c>
      <c r="C65" s="311">
        <v>0</v>
      </c>
      <c r="D65" s="329" t="s">
        <v>797</v>
      </c>
      <c r="E65" s="328" t="s">
        <v>797</v>
      </c>
    </row>
    <row r="66" spans="1:5" ht="27.75" customHeight="1" x14ac:dyDescent="0.2">
      <c r="A66" s="322" t="s">
        <v>568</v>
      </c>
      <c r="B66" s="27" t="s">
        <v>1337</v>
      </c>
      <c r="C66" s="311">
        <v>0</v>
      </c>
      <c r="D66" s="329" t="s">
        <v>797</v>
      </c>
      <c r="E66" s="328" t="s">
        <v>797</v>
      </c>
    </row>
    <row r="67" spans="1:5" ht="27.75" customHeight="1" x14ac:dyDescent="0.2">
      <c r="A67" s="322" t="s">
        <v>569</v>
      </c>
      <c r="B67" s="27" t="s">
        <v>1338</v>
      </c>
      <c r="C67" s="311">
        <v>0</v>
      </c>
      <c r="D67" s="329" t="s">
        <v>797</v>
      </c>
      <c r="E67" s="328" t="s">
        <v>797</v>
      </c>
    </row>
    <row r="68" spans="1:5" ht="27.75" customHeight="1" x14ac:dyDescent="0.2">
      <c r="A68" s="322" t="s">
        <v>570</v>
      </c>
      <c r="B68" s="27" t="s">
        <v>1339</v>
      </c>
      <c r="C68" s="311">
        <v>0</v>
      </c>
      <c r="D68" s="329" t="s">
        <v>797</v>
      </c>
      <c r="E68" s="328" t="s">
        <v>797</v>
      </c>
    </row>
    <row r="69" spans="1:5" ht="27.75" customHeight="1" x14ac:dyDescent="0.2">
      <c r="A69" s="322" t="s">
        <v>571</v>
      </c>
      <c r="B69" s="27" t="s">
        <v>797</v>
      </c>
      <c r="C69" s="311">
        <v>0</v>
      </c>
      <c r="D69" s="329" t="s">
        <v>797</v>
      </c>
      <c r="E69" s="328" t="s">
        <v>797</v>
      </c>
    </row>
    <row r="70" spans="1:5" ht="27.75" customHeight="1" x14ac:dyDescent="0.2">
      <c r="A70" s="322" t="s">
        <v>572</v>
      </c>
      <c r="B70" s="27" t="s">
        <v>1340</v>
      </c>
      <c r="C70" s="311">
        <v>0</v>
      </c>
      <c r="D70" s="329" t="s">
        <v>797</v>
      </c>
      <c r="E70" s="328" t="s">
        <v>797</v>
      </c>
    </row>
    <row r="71" spans="1:5" ht="27.75" customHeight="1" x14ac:dyDescent="0.2">
      <c r="A71" s="322" t="s">
        <v>573</v>
      </c>
      <c r="B71" s="27" t="s">
        <v>1341</v>
      </c>
      <c r="C71" s="311">
        <v>0</v>
      </c>
      <c r="D71" s="329" t="s">
        <v>797</v>
      </c>
      <c r="E71" s="328" t="s">
        <v>797</v>
      </c>
    </row>
    <row r="72" spans="1:5" ht="27.75" customHeight="1" x14ac:dyDescent="0.2">
      <c r="A72" s="322" t="s">
        <v>574</v>
      </c>
      <c r="B72" s="27" t="s">
        <v>1342</v>
      </c>
      <c r="C72" s="311">
        <v>0</v>
      </c>
      <c r="D72" s="329" t="s">
        <v>797</v>
      </c>
      <c r="E72" s="328" t="s">
        <v>797</v>
      </c>
    </row>
    <row r="73" spans="1:5" ht="27.75" customHeight="1" x14ac:dyDescent="0.2">
      <c r="A73" s="322" t="s">
        <v>575</v>
      </c>
      <c r="B73" s="27" t="s">
        <v>1343</v>
      </c>
      <c r="C73" s="311">
        <v>0</v>
      </c>
      <c r="D73" s="329" t="s">
        <v>797</v>
      </c>
      <c r="E73" s="328" t="s">
        <v>797</v>
      </c>
    </row>
    <row r="74" spans="1:5" ht="27.75" customHeight="1" x14ac:dyDescent="0.2">
      <c r="A74" s="322" t="s">
        <v>576</v>
      </c>
      <c r="B74" s="27" t="s">
        <v>797</v>
      </c>
      <c r="C74" s="311">
        <v>0</v>
      </c>
      <c r="D74" s="329" t="s">
        <v>797</v>
      </c>
      <c r="E74" s="328" t="s">
        <v>797</v>
      </c>
    </row>
    <row r="75" spans="1:5" ht="27.75" customHeight="1" x14ac:dyDescent="0.2">
      <c r="A75" s="322" t="s">
        <v>577</v>
      </c>
      <c r="B75" s="27" t="s">
        <v>1344</v>
      </c>
      <c r="C75" s="311">
        <v>0</v>
      </c>
      <c r="D75" s="329" t="s">
        <v>797</v>
      </c>
      <c r="E75" s="328" t="s">
        <v>797</v>
      </c>
    </row>
    <row r="76" spans="1:5" ht="27.75" customHeight="1" x14ac:dyDescent="0.2">
      <c r="A76" s="322" t="s">
        <v>578</v>
      </c>
      <c r="B76" s="27" t="s">
        <v>1345</v>
      </c>
      <c r="C76" s="311">
        <v>0</v>
      </c>
      <c r="D76" s="329" t="s">
        <v>797</v>
      </c>
      <c r="E76" s="328" t="s">
        <v>797</v>
      </c>
    </row>
    <row r="77" spans="1:5" ht="27.75" customHeight="1" x14ac:dyDescent="0.2">
      <c r="A77" s="322" t="s">
        <v>579</v>
      </c>
      <c r="B77" s="27" t="s">
        <v>1346</v>
      </c>
      <c r="C77" s="311">
        <v>0</v>
      </c>
      <c r="D77" s="329" t="s">
        <v>797</v>
      </c>
      <c r="E77" s="328" t="s">
        <v>797</v>
      </c>
    </row>
    <row r="78" spans="1:5" ht="27.75" customHeight="1" x14ac:dyDescent="0.2">
      <c r="A78" s="322" t="s">
        <v>580</v>
      </c>
      <c r="B78" s="27" t="s">
        <v>1347</v>
      </c>
      <c r="C78" s="311">
        <v>0</v>
      </c>
      <c r="D78" s="328" t="s">
        <v>797</v>
      </c>
      <c r="E78" s="328" t="s">
        <v>797</v>
      </c>
    </row>
    <row r="79" spans="1:5" ht="27.75" customHeight="1" x14ac:dyDescent="0.2">
      <c r="A79" s="322" t="s">
        <v>683</v>
      </c>
      <c r="B79" s="27" t="e">
        <v>#N/A</v>
      </c>
      <c r="C79" s="311" t="s">
        <v>802</v>
      </c>
      <c r="D79" s="329" t="s">
        <v>797</v>
      </c>
      <c r="E79" s="328" t="s">
        <v>797</v>
      </c>
    </row>
    <row r="80" spans="1:5" ht="27.75" customHeight="1" x14ac:dyDescent="0.2">
      <c r="A80" s="322" t="s">
        <v>690</v>
      </c>
      <c r="B80" s="27" t="s">
        <v>1348</v>
      </c>
      <c r="C80" s="311" t="s">
        <v>803</v>
      </c>
      <c r="D80" s="329" t="s">
        <v>797</v>
      </c>
      <c r="E80" s="328" t="s">
        <v>797</v>
      </c>
    </row>
    <row r="81" spans="1:5" ht="27.75" customHeight="1" x14ac:dyDescent="0.2">
      <c r="A81" s="322" t="s">
        <v>697</v>
      </c>
      <c r="B81" s="27" t="s">
        <v>1349</v>
      </c>
      <c r="C81" s="311" t="s">
        <v>803</v>
      </c>
      <c r="D81" s="329" t="s">
        <v>797</v>
      </c>
      <c r="E81" s="328" t="s">
        <v>797</v>
      </c>
    </row>
    <row r="82" spans="1:5" ht="27.75" customHeight="1" x14ac:dyDescent="0.2">
      <c r="A82" s="322" t="s">
        <v>704</v>
      </c>
      <c r="B82" s="27" t="s">
        <v>1350</v>
      </c>
      <c r="C82" s="311" t="s">
        <v>803</v>
      </c>
      <c r="D82" s="329" t="s">
        <v>797</v>
      </c>
      <c r="E82" s="328" t="s">
        <v>797</v>
      </c>
    </row>
    <row r="83" spans="1:5" ht="27.75" customHeight="1" x14ac:dyDescent="0.2">
      <c r="A83" s="322" t="s">
        <v>711</v>
      </c>
      <c r="B83" s="27" t="s">
        <v>1351</v>
      </c>
      <c r="C83" s="311" t="s">
        <v>803</v>
      </c>
      <c r="D83" s="329" t="s">
        <v>797</v>
      </c>
      <c r="E83" s="328" t="s">
        <v>797</v>
      </c>
    </row>
    <row r="84" spans="1:5" ht="27.75" customHeight="1" x14ac:dyDescent="0.2">
      <c r="A84" s="322" t="s">
        <v>718</v>
      </c>
      <c r="B84" s="27" t="s">
        <v>1352</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1353</v>
      </c>
      <c r="C86" s="311">
        <v>0</v>
      </c>
      <c r="D86" s="329" t="s">
        <v>797</v>
      </c>
      <c r="E86" s="328" t="s">
        <v>797</v>
      </c>
    </row>
    <row r="87" spans="1:5" ht="27.75" customHeight="1" x14ac:dyDescent="0.2">
      <c r="A87" s="322" t="s">
        <v>584</v>
      </c>
      <c r="B87" s="27" t="s">
        <v>1354</v>
      </c>
      <c r="C87" s="311">
        <v>0</v>
      </c>
      <c r="D87" s="329" t="s">
        <v>797</v>
      </c>
      <c r="E87" s="328" t="s">
        <v>797</v>
      </c>
    </row>
    <row r="88" spans="1:5" ht="27.75" customHeight="1" x14ac:dyDescent="0.2">
      <c r="A88" s="322" t="s">
        <v>585</v>
      </c>
      <c r="B88" s="27" t="s">
        <v>1355</v>
      </c>
      <c r="C88" s="311">
        <v>0</v>
      </c>
      <c r="D88" s="329" t="s">
        <v>797</v>
      </c>
      <c r="E88" s="328" t="s">
        <v>797</v>
      </c>
    </row>
    <row r="89" spans="1:5" ht="27.75" customHeight="1" x14ac:dyDescent="0.2">
      <c r="A89" s="322" t="s">
        <v>586</v>
      </c>
      <c r="B89" s="27" t="s">
        <v>1356</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1357</v>
      </c>
      <c r="C91" s="311">
        <v>0</v>
      </c>
      <c r="D91" s="329" t="s">
        <v>797</v>
      </c>
      <c r="E91" s="328" t="s">
        <v>797</v>
      </c>
    </row>
    <row r="92" spans="1:5" ht="27.75" customHeight="1" x14ac:dyDescent="0.2">
      <c r="A92" s="322" t="s">
        <v>589</v>
      </c>
      <c r="B92" s="27" t="s">
        <v>1358</v>
      </c>
      <c r="C92" s="311">
        <v>0</v>
      </c>
      <c r="D92" s="329" t="s">
        <v>797</v>
      </c>
      <c r="E92" s="328" t="s">
        <v>797</v>
      </c>
    </row>
    <row r="93" spans="1:5" ht="27.75" customHeight="1" x14ac:dyDescent="0.2">
      <c r="A93" s="322" t="s">
        <v>590</v>
      </c>
      <c r="B93" s="27" t="s">
        <v>1359</v>
      </c>
      <c r="C93" s="311">
        <v>0</v>
      </c>
      <c r="D93" s="329" t="s">
        <v>797</v>
      </c>
      <c r="E93" s="328" t="s">
        <v>797</v>
      </c>
    </row>
    <row r="94" spans="1:5" ht="27.75" customHeight="1" x14ac:dyDescent="0.2">
      <c r="A94" s="322" t="s">
        <v>591</v>
      </c>
      <c r="B94" s="27" t="s">
        <v>1360</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1361</v>
      </c>
      <c r="C96" s="311">
        <v>0</v>
      </c>
      <c r="D96" s="329" t="s">
        <v>797</v>
      </c>
      <c r="E96" s="328" t="s">
        <v>797</v>
      </c>
    </row>
    <row r="97" spans="1:5" ht="27.75" customHeight="1" x14ac:dyDescent="0.2">
      <c r="A97" s="322" t="s">
        <v>594</v>
      </c>
      <c r="B97" s="27" t="s">
        <v>1362</v>
      </c>
      <c r="C97" s="311">
        <v>0</v>
      </c>
      <c r="D97" s="329" t="s">
        <v>797</v>
      </c>
      <c r="E97" s="328" t="s">
        <v>797</v>
      </c>
    </row>
    <row r="98" spans="1:5" ht="27.75" customHeight="1" x14ac:dyDescent="0.2">
      <c r="A98" s="322" t="s">
        <v>595</v>
      </c>
      <c r="B98" s="27" t="s">
        <v>1363</v>
      </c>
      <c r="C98" s="311">
        <v>0</v>
      </c>
      <c r="D98" s="329" t="s">
        <v>797</v>
      </c>
      <c r="E98" s="328" t="s">
        <v>797</v>
      </c>
    </row>
    <row r="99" spans="1:5" ht="27.75" customHeight="1" x14ac:dyDescent="0.2">
      <c r="A99" s="322" t="s">
        <v>596</v>
      </c>
      <c r="B99" s="27"/>
      <c r="C99" s="311">
        <v>0</v>
      </c>
      <c r="D99" s="328" t="s">
        <v>797</v>
      </c>
      <c r="E99" s="328" t="s">
        <v>797</v>
      </c>
    </row>
    <row r="100" spans="1:5" ht="27.75" customHeight="1" x14ac:dyDescent="0.2">
      <c r="A100" s="322" t="s">
        <v>684</v>
      </c>
      <c r="B100" s="27"/>
      <c r="C100" s="311" t="s">
        <v>802</v>
      </c>
      <c r="D100" s="329"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8" t="s">
        <v>797</v>
      </c>
      <c r="E120" s="328" t="s">
        <v>797</v>
      </c>
    </row>
    <row r="121" spans="1:5" ht="27.75" customHeight="1" x14ac:dyDescent="0.2">
      <c r="A121" s="322" t="s">
        <v>685</v>
      </c>
      <c r="B121" s="27"/>
      <c r="C121" s="311" t="s">
        <v>802</v>
      </c>
      <c r="D121" s="329"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8" t="s">
        <v>797</v>
      </c>
      <c r="E141" s="328" t="s">
        <v>797</v>
      </c>
    </row>
    <row r="142" spans="1:5" ht="27.75" customHeight="1" x14ac:dyDescent="0.2">
      <c r="A142" s="322" t="s">
        <v>686</v>
      </c>
      <c r="B142" s="27"/>
      <c r="C142" s="311" t="s">
        <v>802</v>
      </c>
      <c r="D142" s="329"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x14ac:dyDescent="0.2">
      <c r="A163" s="1" t="s">
        <v>722</v>
      </c>
    </row>
    <row r="164" spans="1:5" x14ac:dyDescent="0.2">
      <c r="A164" s="1" t="s">
        <v>723</v>
      </c>
    </row>
  </sheetData>
  <mergeCells count="3">
    <mergeCell ref="B1:C1"/>
    <mergeCell ref="A2:E2"/>
    <mergeCell ref="G4:M5"/>
  </mergeCells>
  <hyperlinks>
    <hyperlink ref="A1" location="Overview!A1" display="Back to Overview" xr:uid="{0921EAE9-F128-480F-A50A-00E46AC7160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8"/>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0"/>
      <c r="C1" s="40"/>
      <c r="D1" s="40"/>
      <c r="E1" s="383" t="s">
        <v>367</v>
      </c>
      <c r="F1" s="383"/>
      <c r="G1" s="383"/>
      <c r="H1" s="383"/>
      <c r="I1" s="383"/>
      <c r="J1" s="383"/>
      <c r="K1" s="383"/>
      <c r="L1" s="241"/>
      <c r="M1" s="340"/>
      <c r="N1" s="241"/>
      <c r="O1" s="241"/>
    </row>
    <row r="2" spans="1:15" ht="27" customHeight="1" x14ac:dyDescent="0.2">
      <c r="A2" s="384" t="str">
        <f>Overview!B4&amp;" - Effective from "&amp;TEXT(Overview!$D$4,"d mmmm yyyy")&amp;" - Final LV and HV charges in SP Manweb Area (GSP Group _D)"</f>
        <v>Leep Electricity Networks Limited - Effective from 1 April 2027 - Final LV and HV charges in SP Manweb Area (GSP Group _D)</v>
      </c>
      <c r="B2" s="384"/>
      <c r="C2" s="384"/>
      <c r="D2" s="384"/>
      <c r="E2" s="384"/>
      <c r="F2" s="384"/>
      <c r="G2" s="384"/>
      <c r="H2" s="384"/>
      <c r="I2" s="384"/>
      <c r="J2" s="384"/>
      <c r="K2" s="384"/>
    </row>
    <row r="3" spans="1:15" s="40" customFormat="1" ht="15" customHeight="1" x14ac:dyDescent="0.2">
      <c r="A3" s="45"/>
      <c r="B3" s="45"/>
      <c r="C3" s="45"/>
      <c r="D3" s="45"/>
      <c r="E3" s="45"/>
      <c r="F3" s="45"/>
      <c r="G3" s="45"/>
      <c r="H3" s="45"/>
      <c r="I3" s="45"/>
      <c r="J3" s="45"/>
      <c r="K3" s="45"/>
      <c r="L3" s="98"/>
      <c r="M3" s="342"/>
    </row>
    <row r="4" spans="1:15" ht="27" customHeight="1" x14ac:dyDescent="0.2">
      <c r="A4" s="396" t="s">
        <v>290</v>
      </c>
      <c r="B4" s="397"/>
      <c r="C4" s="397"/>
      <c r="D4" s="397"/>
      <c r="E4" s="398"/>
      <c r="F4" s="45"/>
      <c r="G4" s="396" t="s">
        <v>289</v>
      </c>
      <c r="H4" s="397"/>
      <c r="I4" s="397"/>
      <c r="J4" s="397"/>
      <c r="K4" s="398"/>
    </row>
    <row r="5" spans="1:15" ht="28.5" customHeight="1" x14ac:dyDescent="0.2">
      <c r="A5" s="39" t="s">
        <v>13</v>
      </c>
      <c r="B5" s="256" t="s">
        <v>281</v>
      </c>
      <c r="C5" s="379" t="s">
        <v>282</v>
      </c>
      <c r="D5" s="380"/>
      <c r="E5" s="41" t="s">
        <v>283</v>
      </c>
      <c r="F5" s="45"/>
      <c r="G5" s="381"/>
      <c r="H5" s="382"/>
      <c r="I5" s="43" t="s">
        <v>287</v>
      </c>
      <c r="J5" s="44" t="s">
        <v>288</v>
      </c>
      <c r="K5" s="41" t="s">
        <v>283</v>
      </c>
      <c r="L5" s="45"/>
      <c r="N5" s="3"/>
    </row>
    <row r="6" spans="1:15" ht="65.25" customHeight="1" x14ac:dyDescent="0.2">
      <c r="A6" s="314" t="s">
        <v>794</v>
      </c>
      <c r="B6" s="13" t="s">
        <v>2048</v>
      </c>
      <c r="C6" s="391" t="s">
        <v>2049</v>
      </c>
      <c r="D6" s="393"/>
      <c r="E6" s="13" t="s">
        <v>2050</v>
      </c>
      <c r="F6" s="45" t="s">
        <v>797</v>
      </c>
      <c r="G6" s="377" t="s">
        <v>284</v>
      </c>
      <c r="H6" s="378"/>
      <c r="I6" s="117" t="s">
        <v>797</v>
      </c>
      <c r="J6" s="13" t="s">
        <v>2051</v>
      </c>
      <c r="K6" s="248" t="s">
        <v>2050</v>
      </c>
      <c r="L6" s="45"/>
      <c r="N6" s="3"/>
    </row>
    <row r="7" spans="1:15" ht="65.25" customHeight="1" x14ac:dyDescent="0.2">
      <c r="A7" s="42" t="s">
        <v>798</v>
      </c>
      <c r="B7" s="250" t="s">
        <v>797</v>
      </c>
      <c r="C7" s="391" t="s">
        <v>2052</v>
      </c>
      <c r="D7" s="393"/>
      <c r="E7" s="13" t="s">
        <v>2053</v>
      </c>
      <c r="F7" s="45" t="s">
        <v>797</v>
      </c>
      <c r="G7" s="377" t="s">
        <v>285</v>
      </c>
      <c r="H7" s="378"/>
      <c r="I7" s="13" t="s">
        <v>2048</v>
      </c>
      <c r="J7" s="248" t="s">
        <v>2049</v>
      </c>
      <c r="K7" s="95" t="s">
        <v>2050</v>
      </c>
      <c r="L7" s="45"/>
      <c r="N7" s="3"/>
    </row>
    <row r="8" spans="1:15" ht="65.25" customHeight="1" x14ac:dyDescent="0.2">
      <c r="A8" s="257" t="s">
        <v>14</v>
      </c>
      <c r="B8" s="407" t="s">
        <v>15</v>
      </c>
      <c r="C8" s="408"/>
      <c r="D8" s="408"/>
      <c r="E8" s="409"/>
      <c r="F8" s="45" t="s">
        <v>797</v>
      </c>
      <c r="G8" s="377" t="s">
        <v>2047</v>
      </c>
      <c r="H8" s="378"/>
      <c r="I8" s="309" t="s">
        <v>2054</v>
      </c>
      <c r="J8" s="248" t="s">
        <v>2051</v>
      </c>
      <c r="K8" s="95" t="s">
        <v>2050</v>
      </c>
      <c r="L8" s="45"/>
      <c r="N8" s="3"/>
    </row>
    <row r="9" spans="1:15" s="40" customFormat="1" ht="65.25" customHeight="1" x14ac:dyDescent="0.2">
      <c r="A9" s="40" t="s">
        <v>797</v>
      </c>
      <c r="B9" s="40" t="s">
        <v>797</v>
      </c>
      <c r="C9" s="40" t="s">
        <v>797</v>
      </c>
      <c r="D9" s="40" t="s">
        <v>797</v>
      </c>
      <c r="E9" s="40" t="s">
        <v>797</v>
      </c>
      <c r="F9" s="45" t="s">
        <v>797</v>
      </c>
      <c r="G9" s="377" t="s">
        <v>2030</v>
      </c>
      <c r="H9" s="378"/>
      <c r="I9" s="250" t="s">
        <v>797</v>
      </c>
      <c r="J9" s="95" t="s">
        <v>2052</v>
      </c>
      <c r="K9" s="13" t="s">
        <v>2055</v>
      </c>
      <c r="L9" s="45"/>
      <c r="M9" s="342"/>
      <c r="N9" s="30"/>
    </row>
    <row r="10" spans="1:15" s="40" customFormat="1" ht="36" customHeight="1" x14ac:dyDescent="0.2">
      <c r="A10" s="45" t="s">
        <v>797</v>
      </c>
      <c r="B10" s="45" t="s">
        <v>797</v>
      </c>
      <c r="C10" s="45" t="s">
        <v>797</v>
      </c>
      <c r="D10" s="45" t="s">
        <v>797</v>
      </c>
      <c r="E10" s="45" t="s">
        <v>797</v>
      </c>
      <c r="F10" s="45" t="s">
        <v>797</v>
      </c>
      <c r="G10" s="405" t="s">
        <v>14</v>
      </c>
      <c r="H10" s="406"/>
      <c r="I10" s="407" t="s">
        <v>15</v>
      </c>
      <c r="J10" s="408"/>
      <c r="K10" s="409"/>
      <c r="L10" s="45"/>
      <c r="M10" s="342"/>
      <c r="N10" s="30"/>
    </row>
    <row r="11" spans="1:15" s="40" customFormat="1" ht="13.5" customHeight="1" x14ac:dyDescent="0.2">
      <c r="A11" s="45"/>
      <c r="B11" s="45"/>
      <c r="C11" s="45"/>
      <c r="D11" s="45"/>
      <c r="E11" s="45"/>
      <c r="F11" s="45"/>
      <c r="G11" s="48"/>
      <c r="H11" s="48"/>
      <c r="I11" s="49"/>
      <c r="J11" s="49"/>
      <c r="K11" s="49"/>
      <c r="L11" s="45"/>
      <c r="M11" s="342"/>
      <c r="N11" s="30"/>
    </row>
    <row r="12" spans="1:15" s="40" customFormat="1" ht="13.5" customHeight="1" x14ac:dyDescent="0.2">
      <c r="A12" s="45"/>
      <c r="B12" s="45"/>
      <c r="C12" s="45"/>
      <c r="D12" s="45"/>
      <c r="E12" s="45"/>
      <c r="F12" s="45"/>
      <c r="G12" s="45"/>
      <c r="H12" s="45"/>
      <c r="I12" s="45"/>
      <c r="J12" s="45"/>
      <c r="K12" s="45"/>
      <c r="L12" s="98"/>
      <c r="M12" s="342"/>
    </row>
    <row r="13" spans="1:15" s="40" customFormat="1" ht="72" customHeight="1" x14ac:dyDescent="0.2">
      <c r="A13" s="19" t="s">
        <v>359</v>
      </c>
      <c r="B13" s="16" t="s">
        <v>23</v>
      </c>
      <c r="C13" s="16" t="s">
        <v>24</v>
      </c>
      <c r="D13" s="126" t="s">
        <v>478</v>
      </c>
      <c r="E13" s="126" t="s">
        <v>479</v>
      </c>
      <c r="F13" s="126" t="s">
        <v>480</v>
      </c>
      <c r="G13" s="16" t="s">
        <v>25</v>
      </c>
      <c r="H13" s="16" t="s">
        <v>26</v>
      </c>
      <c r="I13" s="19" t="s">
        <v>360</v>
      </c>
      <c r="J13" s="16" t="s">
        <v>259</v>
      </c>
      <c r="K13" s="16" t="s">
        <v>0</v>
      </c>
      <c r="L13" s="97"/>
      <c r="M13" s="341"/>
    </row>
    <row r="14" spans="1:15" ht="39.950000000000003" customHeight="1" x14ac:dyDescent="0.2">
      <c r="A14" s="10" t="s">
        <v>674</v>
      </c>
      <c r="B14" s="332" t="s">
        <v>895</v>
      </c>
      <c r="C14" s="311" t="s">
        <v>802</v>
      </c>
      <c r="D14" s="90">
        <v>15.968999999999999</v>
      </c>
      <c r="E14" s="91">
        <v>3.4540000000000002</v>
      </c>
      <c r="F14" s="92">
        <v>0.46400000000000002</v>
      </c>
      <c r="G14" s="28">
        <v>25.01</v>
      </c>
      <c r="H14" s="29" t="s">
        <v>797</v>
      </c>
      <c r="I14" s="29" t="s">
        <v>797</v>
      </c>
      <c r="J14" s="26" t="s">
        <v>797</v>
      </c>
      <c r="K14" s="27"/>
    </row>
    <row r="15" spans="1:15" ht="32.85" customHeight="1" x14ac:dyDescent="0.2">
      <c r="A15" s="10" t="s">
        <v>495</v>
      </c>
      <c r="B15" s="332" t="s">
        <v>797</v>
      </c>
      <c r="C15" s="311" t="s">
        <v>2031</v>
      </c>
      <c r="D15" s="90">
        <v>15.968999999999999</v>
      </c>
      <c r="E15" s="91">
        <v>3.4540000000000002</v>
      </c>
      <c r="F15" s="92">
        <v>0.46400000000000002</v>
      </c>
      <c r="G15" s="29" t="s">
        <v>797</v>
      </c>
      <c r="H15" s="29" t="s">
        <v>797</v>
      </c>
      <c r="I15" s="29" t="s">
        <v>797</v>
      </c>
      <c r="J15" s="26" t="s">
        <v>797</v>
      </c>
      <c r="K15" s="27"/>
    </row>
    <row r="16" spans="1:15" ht="32.85" customHeight="1" x14ac:dyDescent="0.2">
      <c r="A16" s="10" t="s">
        <v>675</v>
      </c>
      <c r="B16" s="332" t="s">
        <v>896</v>
      </c>
      <c r="C16" s="311" t="s">
        <v>803</v>
      </c>
      <c r="D16" s="90">
        <v>16.63</v>
      </c>
      <c r="E16" s="91">
        <v>3.597</v>
      </c>
      <c r="F16" s="92">
        <v>0.48299999999999998</v>
      </c>
      <c r="G16" s="28">
        <v>7.08</v>
      </c>
      <c r="H16" s="29" t="s">
        <v>797</v>
      </c>
      <c r="I16" s="29" t="s">
        <v>797</v>
      </c>
      <c r="J16" s="26" t="s">
        <v>797</v>
      </c>
      <c r="K16" s="27"/>
    </row>
    <row r="17" spans="1:11" ht="39.950000000000003" customHeight="1" x14ac:dyDescent="0.2">
      <c r="A17" s="10" t="s">
        <v>676</v>
      </c>
      <c r="B17" s="332" t="s">
        <v>897</v>
      </c>
      <c r="C17" s="311" t="s">
        <v>803</v>
      </c>
      <c r="D17" s="90">
        <v>16.63</v>
      </c>
      <c r="E17" s="91">
        <v>3.597</v>
      </c>
      <c r="F17" s="92">
        <v>0.48299999999999998</v>
      </c>
      <c r="G17" s="28">
        <v>31.1</v>
      </c>
      <c r="H17" s="29" t="s">
        <v>797</v>
      </c>
      <c r="I17" s="29" t="s">
        <v>797</v>
      </c>
      <c r="J17" s="26" t="s">
        <v>797</v>
      </c>
      <c r="K17" s="27"/>
    </row>
    <row r="18" spans="1:11" ht="39.950000000000003" customHeight="1" x14ac:dyDescent="0.2">
      <c r="A18" s="10" t="s">
        <v>677</v>
      </c>
      <c r="B18" s="332" t="s">
        <v>898</v>
      </c>
      <c r="C18" s="311" t="s">
        <v>803</v>
      </c>
      <c r="D18" s="90">
        <v>16.63</v>
      </c>
      <c r="E18" s="91">
        <v>3.597</v>
      </c>
      <c r="F18" s="92">
        <v>0.48299999999999998</v>
      </c>
      <c r="G18" s="28">
        <v>54.62</v>
      </c>
      <c r="H18" s="29" t="s">
        <v>797</v>
      </c>
      <c r="I18" s="29" t="s">
        <v>797</v>
      </c>
      <c r="J18" s="26" t="s">
        <v>797</v>
      </c>
      <c r="K18" s="27"/>
    </row>
    <row r="19" spans="1:11" ht="39.950000000000003" customHeight="1" x14ac:dyDescent="0.2">
      <c r="A19" s="10" t="s">
        <v>678</v>
      </c>
      <c r="B19" s="332" t="s">
        <v>899</v>
      </c>
      <c r="C19" s="311" t="s">
        <v>803</v>
      </c>
      <c r="D19" s="90">
        <v>16.63</v>
      </c>
      <c r="E19" s="91">
        <v>3.597</v>
      </c>
      <c r="F19" s="92">
        <v>0.48299999999999998</v>
      </c>
      <c r="G19" s="28">
        <v>107.32</v>
      </c>
      <c r="H19" s="29" t="s">
        <v>797</v>
      </c>
      <c r="I19" s="29" t="s">
        <v>797</v>
      </c>
      <c r="J19" s="26" t="s">
        <v>797</v>
      </c>
      <c r="K19" s="27"/>
    </row>
    <row r="20" spans="1:11" ht="39.950000000000003" customHeight="1" x14ac:dyDescent="0.2">
      <c r="A20" s="10" t="s">
        <v>679</v>
      </c>
      <c r="B20" s="332" t="s">
        <v>900</v>
      </c>
      <c r="C20" s="311" t="s">
        <v>803</v>
      </c>
      <c r="D20" s="90">
        <v>16.63</v>
      </c>
      <c r="E20" s="91">
        <v>3.597</v>
      </c>
      <c r="F20" s="92">
        <v>0.48299999999999998</v>
      </c>
      <c r="G20" s="28">
        <v>297.35000000000002</v>
      </c>
      <c r="H20" s="29" t="s">
        <v>797</v>
      </c>
      <c r="I20" s="29" t="s">
        <v>797</v>
      </c>
      <c r="J20" s="26" t="s">
        <v>797</v>
      </c>
      <c r="K20" s="27"/>
    </row>
    <row r="21" spans="1:11" ht="32.85" customHeight="1" x14ac:dyDescent="0.2">
      <c r="A21" s="10" t="s">
        <v>476</v>
      </c>
      <c r="B21" s="332" t="s">
        <v>797</v>
      </c>
      <c r="C21" s="311" t="s">
        <v>2032</v>
      </c>
      <c r="D21" s="90">
        <v>16.63</v>
      </c>
      <c r="E21" s="91">
        <v>3.597</v>
      </c>
      <c r="F21" s="92">
        <v>0.48299999999999998</v>
      </c>
      <c r="G21" s="29" t="s">
        <v>797</v>
      </c>
      <c r="H21" s="29" t="s">
        <v>797</v>
      </c>
      <c r="I21" s="29" t="s">
        <v>797</v>
      </c>
      <c r="J21" s="26" t="s">
        <v>797</v>
      </c>
      <c r="K21" s="27"/>
    </row>
    <row r="22" spans="1:11" ht="32.85" customHeight="1" x14ac:dyDescent="0.2">
      <c r="A22" s="10" t="s">
        <v>496</v>
      </c>
      <c r="B22" s="332" t="s">
        <v>901</v>
      </c>
      <c r="C22" s="311">
        <v>0</v>
      </c>
      <c r="D22" s="90">
        <v>12.053000000000001</v>
      </c>
      <c r="E22" s="91">
        <v>2.3740000000000001</v>
      </c>
      <c r="F22" s="92">
        <v>0.307</v>
      </c>
      <c r="G22" s="28">
        <v>23.02</v>
      </c>
      <c r="H22" s="28">
        <v>6.92</v>
      </c>
      <c r="I22" s="89">
        <v>6.92</v>
      </c>
      <c r="J22" s="25">
        <v>0.64700000000000002</v>
      </c>
      <c r="K22" s="27"/>
    </row>
    <row r="23" spans="1:11" ht="32.85" customHeight="1" x14ac:dyDescent="0.2">
      <c r="A23" s="10" t="s">
        <v>497</v>
      </c>
      <c r="B23" s="332" t="s">
        <v>902</v>
      </c>
      <c r="C23" s="311">
        <v>0</v>
      </c>
      <c r="D23" s="90">
        <v>12.053000000000001</v>
      </c>
      <c r="E23" s="91">
        <v>2.3740000000000001</v>
      </c>
      <c r="F23" s="92">
        <v>0.307</v>
      </c>
      <c r="G23" s="28">
        <v>583.6</v>
      </c>
      <c r="H23" s="28">
        <v>6.92</v>
      </c>
      <c r="I23" s="89">
        <v>6.92</v>
      </c>
      <c r="J23" s="25">
        <v>0.64700000000000002</v>
      </c>
      <c r="K23" s="27"/>
    </row>
    <row r="24" spans="1:11" ht="32.85" customHeight="1" x14ac:dyDescent="0.2">
      <c r="A24" s="10" t="s">
        <v>498</v>
      </c>
      <c r="B24" s="332" t="s">
        <v>903</v>
      </c>
      <c r="C24" s="311">
        <v>0</v>
      </c>
      <c r="D24" s="90">
        <v>12.053000000000001</v>
      </c>
      <c r="E24" s="91">
        <v>2.3740000000000001</v>
      </c>
      <c r="F24" s="92">
        <v>0.307</v>
      </c>
      <c r="G24" s="28">
        <v>1081.44</v>
      </c>
      <c r="H24" s="28">
        <v>6.92</v>
      </c>
      <c r="I24" s="89">
        <v>6.92</v>
      </c>
      <c r="J24" s="25">
        <v>0.64700000000000002</v>
      </c>
      <c r="K24" s="27"/>
    </row>
    <row r="25" spans="1:11" ht="32.85" customHeight="1" x14ac:dyDescent="0.2">
      <c r="A25" s="10" t="s">
        <v>499</v>
      </c>
      <c r="B25" s="332" t="s">
        <v>904</v>
      </c>
      <c r="C25" s="311">
        <v>0</v>
      </c>
      <c r="D25" s="90">
        <v>12.053000000000001</v>
      </c>
      <c r="E25" s="91">
        <v>2.3740000000000001</v>
      </c>
      <c r="F25" s="92">
        <v>0.307</v>
      </c>
      <c r="G25" s="28">
        <v>1700.7</v>
      </c>
      <c r="H25" s="28">
        <v>6.92</v>
      </c>
      <c r="I25" s="89">
        <v>6.92</v>
      </c>
      <c r="J25" s="25">
        <v>0.64700000000000002</v>
      </c>
      <c r="K25" s="27"/>
    </row>
    <row r="26" spans="1:11" ht="32.85" customHeight="1" x14ac:dyDescent="0.2">
      <c r="A26" s="10" t="s">
        <v>500</v>
      </c>
      <c r="B26" s="332" t="s">
        <v>905</v>
      </c>
      <c r="C26" s="311">
        <v>0</v>
      </c>
      <c r="D26" s="90">
        <v>12.053000000000001</v>
      </c>
      <c r="E26" s="91">
        <v>2.3740000000000001</v>
      </c>
      <c r="F26" s="92">
        <v>0.307</v>
      </c>
      <c r="G26" s="28">
        <v>3884.98</v>
      </c>
      <c r="H26" s="28">
        <v>6.92</v>
      </c>
      <c r="I26" s="89">
        <v>6.92</v>
      </c>
      <c r="J26" s="25">
        <v>0.64700000000000002</v>
      </c>
      <c r="K26" s="27"/>
    </row>
    <row r="27" spans="1:11" ht="32.85" customHeight="1" x14ac:dyDescent="0.2">
      <c r="A27" s="10" t="s">
        <v>501</v>
      </c>
      <c r="B27" s="332" t="s">
        <v>906</v>
      </c>
      <c r="C27" s="311">
        <v>0</v>
      </c>
      <c r="D27" s="90">
        <v>8.7379999999999995</v>
      </c>
      <c r="E27" s="91">
        <v>1.391</v>
      </c>
      <c r="F27" s="92">
        <v>0.161</v>
      </c>
      <c r="G27" s="28">
        <v>8.1199999999999992</v>
      </c>
      <c r="H27" s="28">
        <v>10.74</v>
      </c>
      <c r="I27" s="89">
        <v>10.74</v>
      </c>
      <c r="J27" s="25">
        <v>0.36399999999999999</v>
      </c>
      <c r="K27" s="27"/>
    </row>
    <row r="28" spans="1:11" ht="32.85" customHeight="1" x14ac:dyDescent="0.2">
      <c r="A28" s="10" t="s">
        <v>502</v>
      </c>
      <c r="B28" s="332" t="s">
        <v>907</v>
      </c>
      <c r="C28" s="311">
        <v>0</v>
      </c>
      <c r="D28" s="90">
        <v>8.7379999999999995</v>
      </c>
      <c r="E28" s="91">
        <v>1.391</v>
      </c>
      <c r="F28" s="92">
        <v>0.161</v>
      </c>
      <c r="G28" s="28">
        <v>568.71</v>
      </c>
      <c r="H28" s="28">
        <v>10.74</v>
      </c>
      <c r="I28" s="89">
        <v>10.74</v>
      </c>
      <c r="J28" s="25">
        <v>0.36399999999999999</v>
      </c>
      <c r="K28" s="27"/>
    </row>
    <row r="29" spans="1:11" ht="32.85" customHeight="1" x14ac:dyDescent="0.2">
      <c r="A29" s="10" t="s">
        <v>503</v>
      </c>
      <c r="B29" s="332" t="s">
        <v>908</v>
      </c>
      <c r="C29" s="311">
        <v>0</v>
      </c>
      <c r="D29" s="90">
        <v>8.7379999999999995</v>
      </c>
      <c r="E29" s="91">
        <v>1.391</v>
      </c>
      <c r="F29" s="92">
        <v>0.161</v>
      </c>
      <c r="G29" s="28">
        <v>1066.55</v>
      </c>
      <c r="H29" s="28">
        <v>10.74</v>
      </c>
      <c r="I29" s="89">
        <v>10.74</v>
      </c>
      <c r="J29" s="25">
        <v>0.36399999999999999</v>
      </c>
      <c r="K29" s="27"/>
    </row>
    <row r="30" spans="1:11" ht="32.85" customHeight="1" x14ac:dyDescent="0.2">
      <c r="A30" s="10" t="s">
        <v>504</v>
      </c>
      <c r="B30" s="332" t="s">
        <v>909</v>
      </c>
      <c r="C30" s="311">
        <v>0</v>
      </c>
      <c r="D30" s="90">
        <v>8.7379999999999995</v>
      </c>
      <c r="E30" s="91">
        <v>1.391</v>
      </c>
      <c r="F30" s="92">
        <v>0.161</v>
      </c>
      <c r="G30" s="28">
        <v>1685.81</v>
      </c>
      <c r="H30" s="28">
        <v>10.74</v>
      </c>
      <c r="I30" s="89">
        <v>10.74</v>
      </c>
      <c r="J30" s="25">
        <v>0.36399999999999999</v>
      </c>
      <c r="K30" s="27"/>
    </row>
    <row r="31" spans="1:11" ht="32.85" customHeight="1" x14ac:dyDescent="0.2">
      <c r="A31" s="10" t="s">
        <v>505</v>
      </c>
      <c r="B31" s="332" t="s">
        <v>910</v>
      </c>
      <c r="C31" s="311">
        <v>0</v>
      </c>
      <c r="D31" s="90">
        <v>8.7379999999999995</v>
      </c>
      <c r="E31" s="91">
        <v>1.391</v>
      </c>
      <c r="F31" s="92">
        <v>0.161</v>
      </c>
      <c r="G31" s="28">
        <v>3870.09</v>
      </c>
      <c r="H31" s="28">
        <v>10.74</v>
      </c>
      <c r="I31" s="89">
        <v>10.74</v>
      </c>
      <c r="J31" s="25">
        <v>0.36399999999999999</v>
      </c>
      <c r="K31" s="27"/>
    </row>
    <row r="32" spans="1:11" ht="32.85" customHeight="1" x14ac:dyDescent="0.2">
      <c r="A32" s="10" t="s">
        <v>506</v>
      </c>
      <c r="B32" s="332" t="s">
        <v>911</v>
      </c>
      <c r="C32" s="311">
        <v>0</v>
      </c>
      <c r="D32" s="90">
        <v>6.875</v>
      </c>
      <c r="E32" s="91">
        <v>1.004</v>
      </c>
      <c r="F32" s="92">
        <v>0.104</v>
      </c>
      <c r="G32" s="28">
        <v>122.99</v>
      </c>
      <c r="H32" s="28">
        <v>9.98</v>
      </c>
      <c r="I32" s="89">
        <v>9.98</v>
      </c>
      <c r="J32" s="25">
        <v>0.26100000000000001</v>
      </c>
      <c r="K32" s="27"/>
    </row>
    <row r="33" spans="1:11" ht="32.85" customHeight="1" x14ac:dyDescent="0.2">
      <c r="A33" s="10" t="s">
        <v>507</v>
      </c>
      <c r="B33" s="332" t="s">
        <v>912</v>
      </c>
      <c r="C33" s="311">
        <v>0</v>
      </c>
      <c r="D33" s="90">
        <v>6.875</v>
      </c>
      <c r="E33" s="91">
        <v>1.004</v>
      </c>
      <c r="F33" s="92">
        <v>0.104</v>
      </c>
      <c r="G33" s="28">
        <v>3164.03</v>
      </c>
      <c r="H33" s="28">
        <v>9.98</v>
      </c>
      <c r="I33" s="89">
        <v>9.98</v>
      </c>
      <c r="J33" s="25">
        <v>0.26100000000000001</v>
      </c>
      <c r="K33" s="27"/>
    </row>
    <row r="34" spans="1:11" ht="32.85" customHeight="1" x14ac:dyDescent="0.2">
      <c r="A34" s="10" t="s">
        <v>508</v>
      </c>
      <c r="B34" s="332" t="s">
        <v>913</v>
      </c>
      <c r="C34" s="311">
        <v>0</v>
      </c>
      <c r="D34" s="90">
        <v>6.875</v>
      </c>
      <c r="E34" s="91">
        <v>1.004</v>
      </c>
      <c r="F34" s="92">
        <v>0.104</v>
      </c>
      <c r="G34" s="28">
        <v>9369.42</v>
      </c>
      <c r="H34" s="28">
        <v>9.98</v>
      </c>
      <c r="I34" s="89">
        <v>9.98</v>
      </c>
      <c r="J34" s="25">
        <v>0.26100000000000001</v>
      </c>
      <c r="K34" s="27"/>
    </row>
    <row r="35" spans="1:11" ht="32.85" customHeight="1" x14ac:dyDescent="0.2">
      <c r="A35" s="10" t="s">
        <v>509</v>
      </c>
      <c r="B35" s="332" t="s">
        <v>914</v>
      </c>
      <c r="C35" s="311">
        <v>0</v>
      </c>
      <c r="D35" s="90">
        <v>6.875</v>
      </c>
      <c r="E35" s="91">
        <v>1.004</v>
      </c>
      <c r="F35" s="92">
        <v>0.104</v>
      </c>
      <c r="G35" s="28">
        <v>20533.79</v>
      </c>
      <c r="H35" s="28">
        <v>9.98</v>
      </c>
      <c r="I35" s="89">
        <v>9.98</v>
      </c>
      <c r="J35" s="25">
        <v>0.26100000000000001</v>
      </c>
      <c r="K35" s="27"/>
    </row>
    <row r="36" spans="1:11" ht="32.85" customHeight="1" x14ac:dyDescent="0.2">
      <c r="A36" s="10" t="s">
        <v>510</v>
      </c>
      <c r="B36" s="332" t="s">
        <v>915</v>
      </c>
      <c r="C36" s="311">
        <v>0</v>
      </c>
      <c r="D36" s="90">
        <v>6.875</v>
      </c>
      <c r="E36" s="91">
        <v>1.004</v>
      </c>
      <c r="F36" s="92">
        <v>0.104</v>
      </c>
      <c r="G36" s="28">
        <v>39330.22</v>
      </c>
      <c r="H36" s="28">
        <v>9.98</v>
      </c>
      <c r="I36" s="89">
        <v>9.98</v>
      </c>
      <c r="J36" s="25">
        <v>0.26100000000000001</v>
      </c>
      <c r="K36" s="27"/>
    </row>
    <row r="37" spans="1:11" ht="32.85" customHeight="1" x14ac:dyDescent="0.2">
      <c r="A37" s="10" t="s">
        <v>477</v>
      </c>
      <c r="B37" s="332" t="s">
        <v>916</v>
      </c>
      <c r="C37" s="311" t="s">
        <v>804</v>
      </c>
      <c r="D37" s="93">
        <v>35.737000000000002</v>
      </c>
      <c r="E37" s="94">
        <v>5.57</v>
      </c>
      <c r="F37" s="92">
        <v>3.0169999999999999</v>
      </c>
      <c r="G37" s="29" t="s">
        <v>797</v>
      </c>
      <c r="H37" s="29" t="s">
        <v>797</v>
      </c>
      <c r="I37" s="29" t="s">
        <v>797</v>
      </c>
      <c r="J37" s="26" t="s">
        <v>797</v>
      </c>
      <c r="K37" s="27"/>
    </row>
    <row r="38" spans="1:11" ht="32.85" customHeight="1" x14ac:dyDescent="0.2">
      <c r="A38" s="10" t="s">
        <v>666</v>
      </c>
      <c r="B38" s="332" t="s">
        <v>917</v>
      </c>
      <c r="C38" s="311">
        <v>0</v>
      </c>
      <c r="D38" s="90">
        <v>-11.134</v>
      </c>
      <c r="E38" s="91">
        <v>-2.4079999999999999</v>
      </c>
      <c r="F38" s="92">
        <v>-0.32400000000000001</v>
      </c>
      <c r="G38" s="28" t="s">
        <v>797</v>
      </c>
      <c r="H38" s="29" t="s">
        <v>797</v>
      </c>
      <c r="I38" s="29" t="s">
        <v>797</v>
      </c>
      <c r="J38" s="26" t="s">
        <v>797</v>
      </c>
      <c r="K38" s="27"/>
    </row>
    <row r="39" spans="1:11" ht="32.85" customHeight="1" x14ac:dyDescent="0.2">
      <c r="A39" s="10" t="s">
        <v>667</v>
      </c>
      <c r="B39" s="332" t="s">
        <v>918</v>
      </c>
      <c r="C39" s="311">
        <v>0</v>
      </c>
      <c r="D39" s="90">
        <v>-9.5030000000000001</v>
      </c>
      <c r="E39" s="91">
        <v>-1.9390000000000001</v>
      </c>
      <c r="F39" s="92">
        <v>-0.255</v>
      </c>
      <c r="G39" s="28" t="s">
        <v>797</v>
      </c>
      <c r="H39" s="29" t="s">
        <v>797</v>
      </c>
      <c r="I39" s="29" t="s">
        <v>797</v>
      </c>
      <c r="J39" s="26" t="s">
        <v>797</v>
      </c>
      <c r="K39" s="27"/>
    </row>
    <row r="40" spans="1:11" ht="32.85" customHeight="1" x14ac:dyDescent="0.2">
      <c r="A40" s="10" t="s">
        <v>668</v>
      </c>
      <c r="B40" s="332" t="s">
        <v>919</v>
      </c>
      <c r="C40" s="311">
        <v>0</v>
      </c>
      <c r="D40" s="90">
        <v>-11.134</v>
      </c>
      <c r="E40" s="91">
        <v>-2.4079999999999999</v>
      </c>
      <c r="F40" s="92">
        <v>-0.32400000000000001</v>
      </c>
      <c r="G40" s="28" t="s">
        <v>797</v>
      </c>
      <c r="H40" s="29" t="s">
        <v>797</v>
      </c>
      <c r="I40" s="29" t="s">
        <v>797</v>
      </c>
      <c r="J40" s="25">
        <v>0.61</v>
      </c>
      <c r="K40" s="27"/>
    </row>
    <row r="41" spans="1:11" ht="32.85" customHeight="1" x14ac:dyDescent="0.2">
      <c r="A41" s="10" t="s">
        <v>669</v>
      </c>
      <c r="B41" s="332" t="s">
        <v>797</v>
      </c>
      <c r="C41" s="311">
        <v>0</v>
      </c>
      <c r="D41" s="90">
        <v>-11.134</v>
      </c>
      <c r="E41" s="91">
        <v>-2.4079999999999999</v>
      </c>
      <c r="F41" s="92">
        <v>-0.32400000000000001</v>
      </c>
      <c r="G41" s="28" t="s">
        <v>797</v>
      </c>
      <c r="H41" s="29" t="s">
        <v>797</v>
      </c>
      <c r="I41" s="29" t="s">
        <v>797</v>
      </c>
      <c r="J41" s="26" t="s">
        <v>797</v>
      </c>
      <c r="K41" s="27"/>
    </row>
    <row r="42" spans="1:11" ht="32.85" customHeight="1" x14ac:dyDescent="0.2">
      <c r="A42" s="10" t="s">
        <v>670</v>
      </c>
      <c r="B42" s="332" t="s">
        <v>797</v>
      </c>
      <c r="C42" s="311">
        <v>0</v>
      </c>
      <c r="D42" s="90">
        <v>-9.5030000000000001</v>
      </c>
      <c r="E42" s="91">
        <v>-1.9390000000000001</v>
      </c>
      <c r="F42" s="92">
        <v>-0.255</v>
      </c>
      <c r="G42" s="28" t="s">
        <v>797</v>
      </c>
      <c r="H42" s="29" t="s">
        <v>797</v>
      </c>
      <c r="I42" s="29" t="s">
        <v>797</v>
      </c>
      <c r="J42" s="25">
        <v>0.52600000000000002</v>
      </c>
      <c r="K42" s="27"/>
    </row>
    <row r="43" spans="1:11" ht="32.85" customHeight="1" x14ac:dyDescent="0.2">
      <c r="A43" s="10" t="s">
        <v>671</v>
      </c>
      <c r="B43" s="332" t="s">
        <v>797</v>
      </c>
      <c r="C43" s="311">
        <v>0</v>
      </c>
      <c r="D43" s="90">
        <v>-9.5030000000000001</v>
      </c>
      <c r="E43" s="91">
        <v>-1.9390000000000001</v>
      </c>
      <c r="F43" s="92">
        <v>-0.255</v>
      </c>
      <c r="G43" s="28" t="s">
        <v>797</v>
      </c>
      <c r="H43" s="29" t="s">
        <v>797</v>
      </c>
      <c r="I43" s="29" t="s">
        <v>797</v>
      </c>
      <c r="J43" s="26" t="s">
        <v>797</v>
      </c>
      <c r="K43" s="27"/>
    </row>
    <row r="44" spans="1:11" ht="32.85" customHeight="1" x14ac:dyDescent="0.2">
      <c r="A44" s="10" t="s">
        <v>672</v>
      </c>
      <c r="B44" s="332" t="s">
        <v>920</v>
      </c>
      <c r="C44" s="311">
        <v>0</v>
      </c>
      <c r="D44" s="90">
        <v>-7.0570000000000004</v>
      </c>
      <c r="E44" s="91">
        <v>-1.123</v>
      </c>
      <c r="F44" s="92">
        <v>-0.13</v>
      </c>
      <c r="G44" s="28">
        <v>89.81</v>
      </c>
      <c r="H44" s="29" t="s">
        <v>797</v>
      </c>
      <c r="I44" s="29" t="s">
        <v>797</v>
      </c>
      <c r="J44" s="25">
        <v>0.44600000000000001</v>
      </c>
      <c r="K44" s="27"/>
    </row>
    <row r="45" spans="1:11" ht="32.85" customHeight="1" x14ac:dyDescent="0.2">
      <c r="A45" s="10" t="s">
        <v>673</v>
      </c>
      <c r="B45" s="332" t="s">
        <v>797</v>
      </c>
      <c r="C45" s="311">
        <v>0</v>
      </c>
      <c r="D45" s="90">
        <v>-7.0570000000000004</v>
      </c>
      <c r="E45" s="91">
        <v>-1.123</v>
      </c>
      <c r="F45" s="92">
        <v>-0.13</v>
      </c>
      <c r="G45" s="28">
        <v>89.81</v>
      </c>
      <c r="H45" s="29" t="s">
        <v>797</v>
      </c>
      <c r="I45" s="29" t="s">
        <v>797</v>
      </c>
      <c r="J45" s="26" t="s">
        <v>797</v>
      </c>
      <c r="K45" s="27"/>
    </row>
    <row r="46" spans="1:11" ht="32.85" customHeight="1" x14ac:dyDescent="0.2">
      <c r="A46" s="10" t="s">
        <v>732</v>
      </c>
      <c r="B46" s="332" t="s">
        <v>1183</v>
      </c>
      <c r="C46" s="311">
        <v>0</v>
      </c>
      <c r="D46" s="90">
        <v>4.2430000000000003</v>
      </c>
      <c r="E46" s="91">
        <v>0.46400000000000002</v>
      </c>
      <c r="F46" s="92">
        <v>0.01</v>
      </c>
      <c r="G46" s="28">
        <v>42524.03</v>
      </c>
      <c r="H46" s="28">
        <v>3.95</v>
      </c>
      <c r="I46" s="89">
        <v>10.35</v>
      </c>
      <c r="J46" s="25">
        <v>0.14000000000000001</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charges_D'; based on connection level, credits may therefore be lower than stated above.</v>
      </c>
    </row>
    <row r="48" spans="1:11" ht="27.75" customHeight="1" x14ac:dyDescent="0.2">
      <c r="A48" s="330" t="s">
        <v>420</v>
      </c>
    </row>
  </sheetData>
  <mergeCells count="15">
    <mergeCell ref="G9:H9"/>
    <mergeCell ref="G10:H10"/>
    <mergeCell ref="I10:K10"/>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E41867FD-129F-45A9-ACB5-EB2422D86497}"/>
    <hyperlink ref="A48" location="'Annex 4 LDNO charges_D'!A1" display="Annex 4 LDNO charges_D" xr:uid="{B333E519-DFCF-4897-BF03-84AF6AFFE5DA}"/>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4467-04FF-477C-BD58-69619EB6A970}">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SP Manweb Area (GSP Group_D)"</f>
        <v>Leep Electricity Networks Limited - Effective from 1 April 2027 - Final Supplier of Last Resort and Eligible Bad Debt Pass-Through Costs in SP Manweb Area (GSP Group_D)</v>
      </c>
      <c r="B2" s="526"/>
      <c r="C2" s="526"/>
      <c r="D2" s="526"/>
      <c r="E2" s="526"/>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802</v>
      </c>
      <c r="D5" s="328" t="s">
        <v>797</v>
      </c>
      <c r="E5" s="328" t="s">
        <v>797</v>
      </c>
    </row>
    <row r="6" spans="1:6" ht="27" customHeight="1" x14ac:dyDescent="0.2">
      <c r="A6" s="10" t="s">
        <v>675</v>
      </c>
      <c r="B6" s="27"/>
      <c r="C6" s="311" t="s">
        <v>803</v>
      </c>
      <c r="D6" s="329" t="s">
        <v>797</v>
      </c>
      <c r="E6" s="328" t="s">
        <v>797</v>
      </c>
    </row>
    <row r="7" spans="1:6" ht="27" customHeight="1" x14ac:dyDescent="0.2">
      <c r="A7" s="10" t="s">
        <v>676</v>
      </c>
      <c r="B7" s="27"/>
      <c r="C7" s="311" t="s">
        <v>803</v>
      </c>
      <c r="D7" s="329" t="s">
        <v>797</v>
      </c>
      <c r="E7" s="328" t="s">
        <v>797</v>
      </c>
    </row>
    <row r="8" spans="1:6" ht="27" customHeight="1" x14ac:dyDescent="0.2">
      <c r="A8" s="10" t="s">
        <v>677</v>
      </c>
      <c r="B8" s="27"/>
      <c r="C8" s="311" t="s">
        <v>803</v>
      </c>
      <c r="D8" s="329" t="s">
        <v>797</v>
      </c>
      <c r="E8" s="328" t="s">
        <v>797</v>
      </c>
    </row>
    <row r="9" spans="1:6" ht="27" customHeight="1" x14ac:dyDescent="0.2">
      <c r="A9" s="10" t="s">
        <v>678</v>
      </c>
      <c r="B9" s="27"/>
      <c r="C9" s="311" t="s">
        <v>803</v>
      </c>
      <c r="D9" s="329" t="s">
        <v>797</v>
      </c>
      <c r="E9" s="328" t="s">
        <v>797</v>
      </c>
    </row>
    <row r="10" spans="1:6" ht="27" customHeight="1" x14ac:dyDescent="0.2">
      <c r="A10" s="10" t="s">
        <v>679</v>
      </c>
      <c r="B10" s="27"/>
      <c r="C10" s="311" t="s">
        <v>803</v>
      </c>
      <c r="D10" s="329" t="s">
        <v>797</v>
      </c>
      <c r="E10" s="328" t="s">
        <v>797</v>
      </c>
    </row>
    <row r="11" spans="1:6" ht="27" customHeight="1" x14ac:dyDescent="0.2">
      <c r="A11" s="322" t="s">
        <v>496</v>
      </c>
      <c r="B11" s="27"/>
      <c r="C11" s="311">
        <v>0</v>
      </c>
      <c r="D11" s="329" t="s">
        <v>797</v>
      </c>
      <c r="E11" s="328" t="s">
        <v>797</v>
      </c>
    </row>
    <row r="12" spans="1:6" ht="27" customHeight="1" x14ac:dyDescent="0.2">
      <c r="A12" s="322" t="s">
        <v>497</v>
      </c>
      <c r="B12" s="27"/>
      <c r="C12" s="311">
        <v>0</v>
      </c>
      <c r="D12" s="329" t="s">
        <v>797</v>
      </c>
      <c r="E12" s="328" t="s">
        <v>797</v>
      </c>
    </row>
    <row r="13" spans="1:6" ht="27" customHeight="1" x14ac:dyDescent="0.2">
      <c r="A13" s="322" t="s">
        <v>498</v>
      </c>
      <c r="B13" s="27"/>
      <c r="C13" s="311">
        <v>0</v>
      </c>
      <c r="D13" s="329" t="s">
        <v>797</v>
      </c>
      <c r="E13" s="328" t="s">
        <v>797</v>
      </c>
    </row>
    <row r="14" spans="1:6" ht="27.75" customHeight="1" x14ac:dyDescent="0.2">
      <c r="A14" s="322" t="s">
        <v>499</v>
      </c>
      <c r="B14" s="27"/>
      <c r="C14" s="311">
        <v>0</v>
      </c>
      <c r="D14" s="329" t="s">
        <v>797</v>
      </c>
      <c r="E14" s="328" t="s">
        <v>797</v>
      </c>
    </row>
    <row r="15" spans="1:6" ht="27.75" customHeight="1" x14ac:dyDescent="0.2">
      <c r="A15" s="323" t="s">
        <v>500</v>
      </c>
      <c r="B15" s="27"/>
      <c r="C15" s="311">
        <v>0</v>
      </c>
      <c r="D15" s="329" t="s">
        <v>797</v>
      </c>
      <c r="E15" s="328" t="s">
        <v>797</v>
      </c>
    </row>
    <row r="16" spans="1:6" ht="27.75" customHeight="1" x14ac:dyDescent="0.2">
      <c r="A16" s="323" t="s">
        <v>501</v>
      </c>
      <c r="B16" s="27"/>
      <c r="C16" s="311">
        <v>0</v>
      </c>
      <c r="D16" s="329" t="s">
        <v>797</v>
      </c>
      <c r="E16" s="328" t="s">
        <v>797</v>
      </c>
    </row>
    <row r="17" spans="1:6" ht="27.75" customHeight="1" x14ac:dyDescent="0.2">
      <c r="A17" s="323" t="s">
        <v>502</v>
      </c>
      <c r="B17" s="27"/>
      <c r="C17" s="311">
        <v>0</v>
      </c>
      <c r="D17" s="329" t="s">
        <v>797</v>
      </c>
      <c r="E17" s="328" t="s">
        <v>797</v>
      </c>
    </row>
    <row r="18" spans="1:6" ht="27.75" customHeight="1" x14ac:dyDescent="0.2">
      <c r="A18" s="323" t="s">
        <v>503</v>
      </c>
      <c r="B18" s="27"/>
      <c r="C18" s="311">
        <v>0</v>
      </c>
      <c r="D18" s="329" t="s">
        <v>797</v>
      </c>
      <c r="E18" s="328" t="s">
        <v>797</v>
      </c>
    </row>
    <row r="19" spans="1:6" ht="27.75" customHeight="1" x14ac:dyDescent="0.2">
      <c r="A19" s="323" t="s">
        <v>504</v>
      </c>
      <c r="B19" s="27"/>
      <c r="C19" s="311">
        <v>0</v>
      </c>
      <c r="D19" s="329" t="s">
        <v>797</v>
      </c>
      <c r="E19" s="328" t="s">
        <v>797</v>
      </c>
    </row>
    <row r="20" spans="1:6" ht="27.75" customHeight="1" x14ac:dyDescent="0.2">
      <c r="A20" s="323" t="s">
        <v>505</v>
      </c>
      <c r="B20" s="27"/>
      <c r="C20" s="311">
        <v>0</v>
      </c>
      <c r="D20" s="329" t="s">
        <v>797</v>
      </c>
      <c r="E20" s="328" t="s">
        <v>797</v>
      </c>
    </row>
    <row r="21" spans="1:6" ht="27.75" customHeight="1" x14ac:dyDescent="0.2">
      <c r="A21" s="323" t="s">
        <v>506</v>
      </c>
      <c r="B21" s="27"/>
      <c r="C21" s="311">
        <v>0</v>
      </c>
      <c r="D21" s="329" t="s">
        <v>797</v>
      </c>
      <c r="E21" s="328" t="s">
        <v>797</v>
      </c>
    </row>
    <row r="22" spans="1:6" ht="27.75" customHeight="1" x14ac:dyDescent="0.2">
      <c r="A22" s="323" t="s">
        <v>507</v>
      </c>
      <c r="B22" s="27"/>
      <c r="C22" s="311">
        <v>0</v>
      </c>
      <c r="D22" s="329" t="s">
        <v>797</v>
      </c>
      <c r="E22" s="328" t="s">
        <v>797</v>
      </c>
    </row>
    <row r="23" spans="1:6" ht="27.75" customHeight="1" x14ac:dyDescent="0.2">
      <c r="A23" s="322" t="s">
        <v>508</v>
      </c>
      <c r="B23" s="27"/>
      <c r="C23" s="311">
        <v>0</v>
      </c>
      <c r="D23" s="329" t="s">
        <v>797</v>
      </c>
      <c r="E23" s="328" t="s">
        <v>797</v>
      </c>
    </row>
    <row r="24" spans="1:6" ht="27.75" customHeight="1" x14ac:dyDescent="0.2">
      <c r="A24" s="322" t="s">
        <v>509</v>
      </c>
      <c r="B24" s="27"/>
      <c r="C24" s="311">
        <v>0</v>
      </c>
      <c r="D24" s="329" t="s">
        <v>797</v>
      </c>
      <c r="E24" s="328" t="s">
        <v>797</v>
      </c>
    </row>
    <row r="25" spans="1:6" ht="27.75" customHeight="1" x14ac:dyDescent="0.2">
      <c r="A25" s="322" t="s">
        <v>510</v>
      </c>
      <c r="B25" s="27"/>
      <c r="C25" s="311">
        <v>0</v>
      </c>
      <c r="D25" s="329" t="s">
        <v>797</v>
      </c>
      <c r="E25" s="328" t="s">
        <v>797</v>
      </c>
    </row>
    <row r="26" spans="1:6" ht="27.75" customHeight="1" x14ac:dyDescent="0.2">
      <c r="A26" s="322" t="s">
        <v>725</v>
      </c>
      <c r="B26" s="27" t="s">
        <v>1364</v>
      </c>
      <c r="C26" s="311" t="s">
        <v>802</v>
      </c>
      <c r="D26" s="328" t="s">
        <v>797</v>
      </c>
      <c r="E26" s="328" t="s">
        <v>797</v>
      </c>
      <c r="F26" s="347" t="str">
        <f>A26&amp;" with Residual"</f>
        <v>LDNO LV: Domestic Aggregated or CT with Residual</v>
      </c>
    </row>
    <row r="27" spans="1:6" ht="27.75" customHeight="1" x14ac:dyDescent="0.2">
      <c r="A27" s="322" t="s">
        <v>687</v>
      </c>
      <c r="B27" s="27" t="s">
        <v>1365</v>
      </c>
      <c r="C27" s="311" t="s">
        <v>803</v>
      </c>
      <c r="D27" s="329" t="s">
        <v>797</v>
      </c>
      <c r="E27" s="328" t="s">
        <v>797</v>
      </c>
    </row>
    <row r="28" spans="1:6" ht="27.75" customHeight="1" x14ac:dyDescent="0.2">
      <c r="A28" s="322" t="s">
        <v>694</v>
      </c>
      <c r="B28" s="27" t="s">
        <v>1366</v>
      </c>
      <c r="C28" s="311" t="s">
        <v>803</v>
      </c>
      <c r="D28" s="329" t="s">
        <v>797</v>
      </c>
      <c r="E28" s="328" t="s">
        <v>797</v>
      </c>
    </row>
    <row r="29" spans="1:6" ht="27.75" customHeight="1" x14ac:dyDescent="0.2">
      <c r="A29" s="322" t="s">
        <v>701</v>
      </c>
      <c r="B29" s="27" t="s">
        <v>1367</v>
      </c>
      <c r="C29" s="311" t="s">
        <v>803</v>
      </c>
      <c r="D29" s="329" t="s">
        <v>797</v>
      </c>
      <c r="E29" s="328" t="s">
        <v>797</v>
      </c>
    </row>
    <row r="30" spans="1:6" ht="27.75" customHeight="1" x14ac:dyDescent="0.2">
      <c r="A30" s="322" t="s">
        <v>708</v>
      </c>
      <c r="B30" s="27" t="s">
        <v>1368</v>
      </c>
      <c r="C30" s="311" t="s">
        <v>803</v>
      </c>
      <c r="D30" s="329" t="s">
        <v>797</v>
      </c>
      <c r="E30" s="328" t="s">
        <v>797</v>
      </c>
    </row>
    <row r="31" spans="1:6" ht="27.75" customHeight="1" x14ac:dyDescent="0.2">
      <c r="A31" s="322" t="s">
        <v>715</v>
      </c>
      <c r="B31" s="27" t="s">
        <v>1369</v>
      </c>
      <c r="C31" s="311" t="s">
        <v>803</v>
      </c>
      <c r="D31" s="329" t="s">
        <v>797</v>
      </c>
      <c r="E31" s="328" t="s">
        <v>797</v>
      </c>
    </row>
    <row r="32" spans="1:6" ht="27.75" customHeight="1" x14ac:dyDescent="0.2">
      <c r="A32" s="322" t="s">
        <v>544</v>
      </c>
      <c r="B32" s="27" t="s">
        <v>797</v>
      </c>
      <c r="C32" s="311">
        <v>0</v>
      </c>
      <c r="D32" s="329" t="s">
        <v>797</v>
      </c>
      <c r="E32" s="328" t="s">
        <v>797</v>
      </c>
    </row>
    <row r="33" spans="1:6" ht="27.75" customHeight="1" x14ac:dyDescent="0.2">
      <c r="A33" s="322" t="s">
        <v>545</v>
      </c>
      <c r="B33" s="27" t="s">
        <v>1370</v>
      </c>
      <c r="C33" s="311">
        <v>0</v>
      </c>
      <c r="D33" s="329" t="s">
        <v>797</v>
      </c>
      <c r="E33" s="328" t="s">
        <v>797</v>
      </c>
    </row>
    <row r="34" spans="1:6" ht="27.75" customHeight="1" x14ac:dyDescent="0.2">
      <c r="A34" s="322" t="s">
        <v>546</v>
      </c>
      <c r="B34" s="27" t="s">
        <v>1371</v>
      </c>
      <c r="C34" s="311">
        <v>0</v>
      </c>
      <c r="D34" s="329" t="s">
        <v>797</v>
      </c>
      <c r="E34" s="328" t="s">
        <v>797</v>
      </c>
    </row>
    <row r="35" spans="1:6" ht="27.75" customHeight="1" x14ac:dyDescent="0.2">
      <c r="A35" s="322" t="s">
        <v>547</v>
      </c>
      <c r="B35" s="27" t="s">
        <v>1372</v>
      </c>
      <c r="C35" s="311">
        <v>0</v>
      </c>
      <c r="D35" s="329" t="s">
        <v>797</v>
      </c>
      <c r="E35" s="328" t="s">
        <v>797</v>
      </c>
    </row>
    <row r="36" spans="1:6" ht="27.75" customHeight="1" x14ac:dyDescent="0.2">
      <c r="A36" s="322" t="s">
        <v>548</v>
      </c>
      <c r="B36" s="27" t="s">
        <v>1373</v>
      </c>
      <c r="C36" s="311">
        <v>0</v>
      </c>
      <c r="D36" s="329" t="s">
        <v>797</v>
      </c>
      <c r="E36" s="328" t="s">
        <v>797</v>
      </c>
    </row>
    <row r="37" spans="1:6" ht="27.75" customHeight="1" x14ac:dyDescent="0.2">
      <c r="A37" s="323" t="s">
        <v>726</v>
      </c>
      <c r="B37" s="27" t="e">
        <v>#N/A</v>
      </c>
      <c r="C37" s="311" t="s">
        <v>802</v>
      </c>
      <c r="D37" s="328" t="s">
        <v>797</v>
      </c>
      <c r="E37" s="328" t="s">
        <v>797</v>
      </c>
      <c r="F37" s="347" t="str">
        <f>A37&amp;" with Residual"</f>
        <v>LDNO HV: Domestic Aggregated or CT with Residual</v>
      </c>
    </row>
    <row r="38" spans="1:6" ht="27.75" customHeight="1" x14ac:dyDescent="0.2">
      <c r="A38" s="322" t="s">
        <v>688</v>
      </c>
      <c r="B38" s="27" t="s">
        <v>1374</v>
      </c>
      <c r="C38" s="311" t="s">
        <v>803</v>
      </c>
      <c r="D38" s="329" t="s">
        <v>797</v>
      </c>
      <c r="E38" s="328" t="s">
        <v>797</v>
      </c>
    </row>
    <row r="39" spans="1:6" ht="27.75" customHeight="1" x14ac:dyDescent="0.2">
      <c r="A39" s="322" t="s">
        <v>695</v>
      </c>
      <c r="B39" s="27" t="s">
        <v>1375</v>
      </c>
      <c r="C39" s="311" t="s">
        <v>803</v>
      </c>
      <c r="D39" s="329" t="s">
        <v>797</v>
      </c>
      <c r="E39" s="328" t="s">
        <v>797</v>
      </c>
    </row>
    <row r="40" spans="1:6" ht="27.75" customHeight="1" x14ac:dyDescent="0.2">
      <c r="A40" s="322" t="s">
        <v>702</v>
      </c>
      <c r="B40" s="27" t="s">
        <v>1376</v>
      </c>
      <c r="C40" s="311" t="s">
        <v>803</v>
      </c>
      <c r="D40" s="329" t="s">
        <v>797</v>
      </c>
      <c r="E40" s="328" t="s">
        <v>797</v>
      </c>
    </row>
    <row r="41" spans="1:6" ht="27.75" customHeight="1" x14ac:dyDescent="0.2">
      <c r="A41" s="322" t="s">
        <v>709</v>
      </c>
      <c r="B41" s="27" t="s">
        <v>1377</v>
      </c>
      <c r="C41" s="311" t="s">
        <v>803</v>
      </c>
      <c r="D41" s="329" t="s">
        <v>797</v>
      </c>
      <c r="E41" s="328" t="s">
        <v>797</v>
      </c>
    </row>
    <row r="42" spans="1:6" ht="27.75" customHeight="1" x14ac:dyDescent="0.2">
      <c r="A42" s="322" t="s">
        <v>716</v>
      </c>
      <c r="B42" s="27" t="s">
        <v>1378</v>
      </c>
      <c r="C42" s="311" t="s">
        <v>803</v>
      </c>
      <c r="D42" s="329" t="s">
        <v>797</v>
      </c>
      <c r="E42" s="328" t="s">
        <v>797</v>
      </c>
    </row>
    <row r="43" spans="1:6" ht="27.75" customHeight="1" x14ac:dyDescent="0.2">
      <c r="A43" s="322" t="s">
        <v>550</v>
      </c>
      <c r="B43" s="27" t="s">
        <v>797</v>
      </c>
      <c r="C43" s="311">
        <v>0</v>
      </c>
      <c r="D43" s="329" t="s">
        <v>797</v>
      </c>
      <c r="E43" s="328" t="s">
        <v>797</v>
      </c>
    </row>
    <row r="44" spans="1:6" ht="27.75" customHeight="1" x14ac:dyDescent="0.2">
      <c r="A44" s="322" t="s">
        <v>551</v>
      </c>
      <c r="B44" s="27" t="s">
        <v>1379</v>
      </c>
      <c r="C44" s="311">
        <v>0</v>
      </c>
      <c r="D44" s="329" t="s">
        <v>797</v>
      </c>
      <c r="E44" s="328" t="s">
        <v>797</v>
      </c>
    </row>
    <row r="45" spans="1:6" ht="27.75" customHeight="1" x14ac:dyDescent="0.2">
      <c r="A45" s="322" t="s">
        <v>552</v>
      </c>
      <c r="B45" s="27" t="s">
        <v>1380</v>
      </c>
      <c r="C45" s="311">
        <v>0</v>
      </c>
      <c r="D45" s="329" t="s">
        <v>797</v>
      </c>
      <c r="E45" s="328" t="s">
        <v>797</v>
      </c>
    </row>
    <row r="46" spans="1:6" ht="27.75" customHeight="1" x14ac:dyDescent="0.2">
      <c r="A46" s="322" t="s">
        <v>553</v>
      </c>
      <c r="B46" s="27" t="s">
        <v>1381</v>
      </c>
      <c r="C46" s="311">
        <v>0</v>
      </c>
      <c r="D46" s="329" t="s">
        <v>797</v>
      </c>
      <c r="E46" s="328" t="s">
        <v>797</v>
      </c>
    </row>
    <row r="47" spans="1:6" ht="27.75" customHeight="1" x14ac:dyDescent="0.2">
      <c r="A47" s="322" t="s">
        <v>554</v>
      </c>
      <c r="B47" s="27" t="s">
        <v>1382</v>
      </c>
      <c r="C47" s="311">
        <v>0</v>
      </c>
      <c r="D47" s="329" t="s">
        <v>797</v>
      </c>
      <c r="E47" s="328" t="s">
        <v>797</v>
      </c>
    </row>
    <row r="48" spans="1:6" ht="27.75" customHeight="1" x14ac:dyDescent="0.2">
      <c r="A48" s="322" t="s">
        <v>555</v>
      </c>
      <c r="B48" s="27" t="s">
        <v>797</v>
      </c>
      <c r="C48" s="311">
        <v>0</v>
      </c>
      <c r="D48" s="329" t="s">
        <v>797</v>
      </c>
      <c r="E48" s="328" t="s">
        <v>797</v>
      </c>
    </row>
    <row r="49" spans="1:6" ht="27.75" customHeight="1" x14ac:dyDescent="0.2">
      <c r="A49" s="322" t="s">
        <v>556</v>
      </c>
      <c r="B49" s="27" t="s">
        <v>1383</v>
      </c>
      <c r="C49" s="311">
        <v>0</v>
      </c>
      <c r="D49" s="329" t="s">
        <v>797</v>
      </c>
      <c r="E49" s="328" t="s">
        <v>797</v>
      </c>
    </row>
    <row r="50" spans="1:6" ht="27.75" customHeight="1" x14ac:dyDescent="0.2">
      <c r="A50" s="322" t="s">
        <v>557</v>
      </c>
      <c r="B50" s="27" t="s">
        <v>1384</v>
      </c>
      <c r="C50" s="311">
        <v>0</v>
      </c>
      <c r="D50" s="329" t="s">
        <v>797</v>
      </c>
      <c r="E50" s="328" t="s">
        <v>797</v>
      </c>
    </row>
    <row r="51" spans="1:6" ht="27.75" customHeight="1" x14ac:dyDescent="0.2">
      <c r="A51" s="322" t="s">
        <v>558</v>
      </c>
      <c r="B51" s="27" t="s">
        <v>1385</v>
      </c>
      <c r="C51" s="311">
        <v>0</v>
      </c>
      <c r="D51" s="329" t="s">
        <v>797</v>
      </c>
      <c r="E51" s="328" t="s">
        <v>797</v>
      </c>
    </row>
    <row r="52" spans="1:6" ht="27.75" customHeight="1" x14ac:dyDescent="0.2">
      <c r="A52" s="322" t="s">
        <v>559</v>
      </c>
      <c r="B52" s="27" t="s">
        <v>1386</v>
      </c>
      <c r="C52" s="311">
        <v>0</v>
      </c>
      <c r="D52" s="329" t="s">
        <v>797</v>
      </c>
      <c r="E52" s="328" t="s">
        <v>797</v>
      </c>
    </row>
    <row r="53" spans="1:6" ht="27.75" customHeight="1" x14ac:dyDescent="0.2">
      <c r="A53" s="322" t="s">
        <v>560</v>
      </c>
      <c r="B53" s="27" t="s">
        <v>797</v>
      </c>
      <c r="C53" s="311">
        <v>0</v>
      </c>
      <c r="D53" s="329" t="s">
        <v>797</v>
      </c>
      <c r="E53" s="328" t="s">
        <v>797</v>
      </c>
    </row>
    <row r="54" spans="1:6" ht="27.75" customHeight="1" x14ac:dyDescent="0.2">
      <c r="A54" s="322" t="s">
        <v>561</v>
      </c>
      <c r="B54" s="27" t="s">
        <v>1387</v>
      </c>
      <c r="C54" s="311">
        <v>0</v>
      </c>
      <c r="D54" s="329" t="s">
        <v>797</v>
      </c>
      <c r="E54" s="328" t="s">
        <v>797</v>
      </c>
    </row>
    <row r="55" spans="1:6" ht="27.75" customHeight="1" x14ac:dyDescent="0.2">
      <c r="A55" s="322" t="s">
        <v>562</v>
      </c>
      <c r="B55" s="27" t="s">
        <v>1388</v>
      </c>
      <c r="C55" s="311">
        <v>0</v>
      </c>
      <c r="D55" s="329" t="s">
        <v>797</v>
      </c>
      <c r="E55" s="328" t="s">
        <v>797</v>
      </c>
    </row>
    <row r="56" spans="1:6" ht="27.75" customHeight="1" x14ac:dyDescent="0.2">
      <c r="A56" s="322" t="s">
        <v>563</v>
      </c>
      <c r="B56" s="27" t="s">
        <v>1389</v>
      </c>
      <c r="C56" s="311">
        <v>0</v>
      </c>
      <c r="D56" s="329" t="s">
        <v>797</v>
      </c>
      <c r="E56" s="328" t="s">
        <v>797</v>
      </c>
    </row>
    <row r="57" spans="1:6" ht="27.75" customHeight="1" x14ac:dyDescent="0.2">
      <c r="A57" s="322" t="s">
        <v>564</v>
      </c>
      <c r="B57" s="27" t="s">
        <v>1390</v>
      </c>
      <c r="C57" s="311">
        <v>0</v>
      </c>
      <c r="D57" s="329" t="s">
        <v>797</v>
      </c>
      <c r="E57" s="328" t="s">
        <v>797</v>
      </c>
    </row>
    <row r="58" spans="1:6" ht="27.75" customHeight="1" x14ac:dyDescent="0.2">
      <c r="A58" s="322" t="s">
        <v>727</v>
      </c>
      <c r="B58" s="27" t="e">
        <v>#N/A</v>
      </c>
      <c r="C58" s="311" t="s">
        <v>802</v>
      </c>
      <c r="D58" s="328" t="s">
        <v>797</v>
      </c>
      <c r="E58" s="328" t="s">
        <v>797</v>
      </c>
      <c r="F58" s="347" t="str">
        <f>A58&amp;" with Residual"</f>
        <v>LDNO HVplus: Domestic Aggregated or CT with Residual</v>
      </c>
    </row>
    <row r="59" spans="1:6" ht="27.75" customHeight="1" x14ac:dyDescent="0.2">
      <c r="A59" s="322" t="s">
        <v>689</v>
      </c>
      <c r="B59" s="27" t="s">
        <v>1391</v>
      </c>
      <c r="C59" s="311" t="s">
        <v>803</v>
      </c>
      <c r="D59" s="329" t="s">
        <v>797</v>
      </c>
      <c r="E59" s="328" t="s">
        <v>797</v>
      </c>
    </row>
    <row r="60" spans="1:6" ht="27.75" customHeight="1" x14ac:dyDescent="0.2">
      <c r="A60" s="322" t="s">
        <v>696</v>
      </c>
      <c r="B60" s="27" t="s">
        <v>1392</v>
      </c>
      <c r="C60" s="311" t="s">
        <v>803</v>
      </c>
      <c r="D60" s="329" t="s">
        <v>797</v>
      </c>
      <c r="E60" s="328" t="s">
        <v>797</v>
      </c>
    </row>
    <row r="61" spans="1:6" ht="27.75" customHeight="1" x14ac:dyDescent="0.2">
      <c r="A61" s="322" t="s">
        <v>703</v>
      </c>
      <c r="B61" s="27" t="s">
        <v>1393</v>
      </c>
      <c r="C61" s="311" t="s">
        <v>803</v>
      </c>
      <c r="D61" s="329" t="s">
        <v>797</v>
      </c>
      <c r="E61" s="328" t="s">
        <v>797</v>
      </c>
    </row>
    <row r="62" spans="1:6" ht="27.75" customHeight="1" x14ac:dyDescent="0.2">
      <c r="A62" s="322" t="s">
        <v>710</v>
      </c>
      <c r="B62" s="27" t="s">
        <v>1394</v>
      </c>
      <c r="C62" s="311" t="s">
        <v>803</v>
      </c>
      <c r="D62" s="329" t="s">
        <v>797</v>
      </c>
      <c r="E62" s="328" t="s">
        <v>797</v>
      </c>
    </row>
    <row r="63" spans="1:6" ht="27.75" customHeight="1" x14ac:dyDescent="0.2">
      <c r="A63" s="322" t="s">
        <v>717</v>
      </c>
      <c r="B63" s="27" t="s">
        <v>1395</v>
      </c>
      <c r="C63" s="311" t="s">
        <v>803</v>
      </c>
      <c r="D63" s="329" t="s">
        <v>797</v>
      </c>
      <c r="E63" s="328" t="s">
        <v>797</v>
      </c>
    </row>
    <row r="64" spans="1:6" ht="27.75" customHeight="1" x14ac:dyDescent="0.2">
      <c r="A64" s="322" t="s">
        <v>566</v>
      </c>
      <c r="B64" s="27" t="s">
        <v>797</v>
      </c>
      <c r="C64" s="311">
        <v>0</v>
      </c>
      <c r="D64" s="329" t="s">
        <v>797</v>
      </c>
      <c r="E64" s="328" t="s">
        <v>797</v>
      </c>
    </row>
    <row r="65" spans="1:6" ht="27.75" customHeight="1" x14ac:dyDescent="0.2">
      <c r="A65" s="322" t="s">
        <v>567</v>
      </c>
      <c r="B65" s="27" t="s">
        <v>1396</v>
      </c>
      <c r="C65" s="311">
        <v>0</v>
      </c>
      <c r="D65" s="329" t="s">
        <v>797</v>
      </c>
      <c r="E65" s="328" t="s">
        <v>797</v>
      </c>
    </row>
    <row r="66" spans="1:6" ht="27.75" customHeight="1" x14ac:dyDescent="0.2">
      <c r="A66" s="322" t="s">
        <v>568</v>
      </c>
      <c r="B66" s="27" t="s">
        <v>1397</v>
      </c>
      <c r="C66" s="311">
        <v>0</v>
      </c>
      <c r="D66" s="329" t="s">
        <v>797</v>
      </c>
      <c r="E66" s="328" t="s">
        <v>797</v>
      </c>
    </row>
    <row r="67" spans="1:6" ht="27.75" customHeight="1" x14ac:dyDescent="0.2">
      <c r="A67" s="322" t="s">
        <v>569</v>
      </c>
      <c r="B67" s="27" t="s">
        <v>1398</v>
      </c>
      <c r="C67" s="311">
        <v>0</v>
      </c>
      <c r="D67" s="329" t="s">
        <v>797</v>
      </c>
      <c r="E67" s="328" t="s">
        <v>797</v>
      </c>
    </row>
    <row r="68" spans="1:6" ht="27.75" customHeight="1" x14ac:dyDescent="0.2">
      <c r="A68" s="322" t="s">
        <v>570</v>
      </c>
      <c r="B68" s="27" t="s">
        <v>1399</v>
      </c>
      <c r="C68" s="311">
        <v>0</v>
      </c>
      <c r="D68" s="329" t="s">
        <v>797</v>
      </c>
      <c r="E68" s="328" t="s">
        <v>797</v>
      </c>
    </row>
    <row r="69" spans="1:6" ht="27.75" customHeight="1" x14ac:dyDescent="0.2">
      <c r="A69" s="322" t="s">
        <v>571</v>
      </c>
      <c r="B69" s="27" t="s">
        <v>797</v>
      </c>
      <c r="C69" s="311">
        <v>0</v>
      </c>
      <c r="D69" s="329" t="s">
        <v>797</v>
      </c>
      <c r="E69" s="328" t="s">
        <v>797</v>
      </c>
    </row>
    <row r="70" spans="1:6" ht="27.75" customHeight="1" x14ac:dyDescent="0.2">
      <c r="A70" s="322" t="s">
        <v>572</v>
      </c>
      <c r="B70" s="27" t="s">
        <v>1400</v>
      </c>
      <c r="C70" s="311">
        <v>0</v>
      </c>
      <c r="D70" s="329" t="s">
        <v>797</v>
      </c>
      <c r="E70" s="328" t="s">
        <v>797</v>
      </c>
    </row>
    <row r="71" spans="1:6" ht="27.75" customHeight="1" x14ac:dyDescent="0.2">
      <c r="A71" s="322" t="s">
        <v>573</v>
      </c>
      <c r="B71" s="27" t="s">
        <v>1401</v>
      </c>
      <c r="C71" s="311">
        <v>0</v>
      </c>
      <c r="D71" s="329" t="s">
        <v>797</v>
      </c>
      <c r="E71" s="328" t="s">
        <v>797</v>
      </c>
    </row>
    <row r="72" spans="1:6" ht="27.75" customHeight="1" x14ac:dyDescent="0.2">
      <c r="A72" s="322" t="s">
        <v>574</v>
      </c>
      <c r="B72" s="27" t="s">
        <v>1402</v>
      </c>
      <c r="C72" s="311">
        <v>0</v>
      </c>
      <c r="D72" s="329" t="s">
        <v>797</v>
      </c>
      <c r="E72" s="328" t="s">
        <v>797</v>
      </c>
    </row>
    <row r="73" spans="1:6" ht="27.75" customHeight="1" x14ac:dyDescent="0.2">
      <c r="A73" s="322" t="s">
        <v>575</v>
      </c>
      <c r="B73" s="27" t="s">
        <v>1403</v>
      </c>
      <c r="C73" s="311">
        <v>0</v>
      </c>
      <c r="D73" s="329" t="s">
        <v>797</v>
      </c>
      <c r="E73" s="328" t="s">
        <v>797</v>
      </c>
    </row>
    <row r="74" spans="1:6" ht="27.75" customHeight="1" x14ac:dyDescent="0.2">
      <c r="A74" s="322" t="s">
        <v>576</v>
      </c>
      <c r="B74" s="27" t="s">
        <v>797</v>
      </c>
      <c r="C74" s="311">
        <v>0</v>
      </c>
      <c r="D74" s="329" t="s">
        <v>797</v>
      </c>
      <c r="E74" s="328" t="s">
        <v>797</v>
      </c>
    </row>
    <row r="75" spans="1:6" ht="27.75" customHeight="1" x14ac:dyDescent="0.2">
      <c r="A75" s="322" t="s">
        <v>577</v>
      </c>
      <c r="B75" s="27" t="s">
        <v>1404</v>
      </c>
      <c r="C75" s="311">
        <v>0</v>
      </c>
      <c r="D75" s="329" t="s">
        <v>797</v>
      </c>
      <c r="E75" s="328" t="s">
        <v>797</v>
      </c>
    </row>
    <row r="76" spans="1:6" ht="27.75" customHeight="1" x14ac:dyDescent="0.2">
      <c r="A76" s="322" t="s">
        <v>578</v>
      </c>
      <c r="B76" s="27" t="s">
        <v>1405</v>
      </c>
      <c r="C76" s="311">
        <v>0</v>
      </c>
      <c r="D76" s="329" t="s">
        <v>797</v>
      </c>
      <c r="E76" s="328" t="s">
        <v>797</v>
      </c>
    </row>
    <row r="77" spans="1:6" ht="27.75" customHeight="1" x14ac:dyDescent="0.2">
      <c r="A77" s="322" t="s">
        <v>579</v>
      </c>
      <c r="B77" s="27" t="s">
        <v>1406</v>
      </c>
      <c r="C77" s="311">
        <v>0</v>
      </c>
      <c r="D77" s="329" t="s">
        <v>797</v>
      </c>
      <c r="E77" s="328" t="s">
        <v>797</v>
      </c>
    </row>
    <row r="78" spans="1:6" ht="27.75" customHeight="1" x14ac:dyDescent="0.2">
      <c r="A78" s="322" t="s">
        <v>580</v>
      </c>
      <c r="B78" s="27" t="s">
        <v>1407</v>
      </c>
      <c r="C78" s="311">
        <v>0</v>
      </c>
      <c r="D78" s="329" t="s">
        <v>797</v>
      </c>
      <c r="E78" s="328" t="s">
        <v>797</v>
      </c>
    </row>
    <row r="79" spans="1:6" ht="27.75" customHeight="1" x14ac:dyDescent="0.2">
      <c r="A79" s="322" t="s">
        <v>728</v>
      </c>
      <c r="B79" s="27" t="e">
        <v>#N/A</v>
      </c>
      <c r="C79" s="311" t="s">
        <v>802</v>
      </c>
      <c r="D79" s="328" t="s">
        <v>797</v>
      </c>
      <c r="E79" s="328" t="s">
        <v>797</v>
      </c>
      <c r="F79" s="347" t="str">
        <f>A79&amp;" with Residual"</f>
        <v>LDNO EHV: Domestic Aggregated or CT with Residual</v>
      </c>
    </row>
    <row r="80" spans="1:6" ht="27.75" customHeight="1" x14ac:dyDescent="0.2">
      <c r="A80" s="322" t="s">
        <v>690</v>
      </c>
      <c r="B80" s="27" t="s">
        <v>1408</v>
      </c>
      <c r="C80" s="311" t="s">
        <v>803</v>
      </c>
      <c r="D80" s="329" t="s">
        <v>797</v>
      </c>
      <c r="E80" s="328" t="s">
        <v>797</v>
      </c>
    </row>
    <row r="81" spans="1:5" ht="27.75" customHeight="1" x14ac:dyDescent="0.2">
      <c r="A81" s="322" t="s">
        <v>697</v>
      </c>
      <c r="B81" s="27" t="s">
        <v>1409</v>
      </c>
      <c r="C81" s="311" t="s">
        <v>803</v>
      </c>
      <c r="D81" s="329" t="s">
        <v>797</v>
      </c>
      <c r="E81" s="328" t="s">
        <v>797</v>
      </c>
    </row>
    <row r="82" spans="1:5" ht="27.75" customHeight="1" x14ac:dyDescent="0.2">
      <c r="A82" s="322" t="s">
        <v>704</v>
      </c>
      <c r="B82" s="27" t="s">
        <v>1410</v>
      </c>
      <c r="C82" s="311" t="s">
        <v>803</v>
      </c>
      <c r="D82" s="329" t="s">
        <v>797</v>
      </c>
      <c r="E82" s="328" t="s">
        <v>797</v>
      </c>
    </row>
    <row r="83" spans="1:5" ht="27.75" customHeight="1" x14ac:dyDescent="0.2">
      <c r="A83" s="322" t="s">
        <v>711</v>
      </c>
      <c r="B83" s="27" t="s">
        <v>1411</v>
      </c>
      <c r="C83" s="311" t="s">
        <v>803</v>
      </c>
      <c r="D83" s="329" t="s">
        <v>797</v>
      </c>
      <c r="E83" s="328" t="s">
        <v>797</v>
      </c>
    </row>
    <row r="84" spans="1:5" ht="27.75" customHeight="1" x14ac:dyDescent="0.2">
      <c r="A84" s="322" t="s">
        <v>718</v>
      </c>
      <c r="B84" s="27" t="s">
        <v>1412</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1413</v>
      </c>
      <c r="C86" s="311">
        <v>0</v>
      </c>
      <c r="D86" s="329" t="s">
        <v>797</v>
      </c>
      <c r="E86" s="328" t="s">
        <v>797</v>
      </c>
    </row>
    <row r="87" spans="1:5" ht="27.75" customHeight="1" x14ac:dyDescent="0.2">
      <c r="A87" s="322" t="s">
        <v>584</v>
      </c>
      <c r="B87" s="27" t="s">
        <v>1414</v>
      </c>
      <c r="C87" s="311">
        <v>0</v>
      </c>
      <c r="D87" s="329" t="s">
        <v>797</v>
      </c>
      <c r="E87" s="328" t="s">
        <v>797</v>
      </c>
    </row>
    <row r="88" spans="1:5" ht="27.75" customHeight="1" x14ac:dyDescent="0.2">
      <c r="A88" s="322" t="s">
        <v>585</v>
      </c>
      <c r="B88" s="27" t="s">
        <v>1415</v>
      </c>
      <c r="C88" s="311">
        <v>0</v>
      </c>
      <c r="D88" s="329" t="s">
        <v>797</v>
      </c>
      <c r="E88" s="328" t="s">
        <v>797</v>
      </c>
    </row>
    <row r="89" spans="1:5" ht="27.75" customHeight="1" x14ac:dyDescent="0.2">
      <c r="A89" s="322" t="s">
        <v>586</v>
      </c>
      <c r="B89" s="27" t="s">
        <v>1416</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1417</v>
      </c>
      <c r="C91" s="311">
        <v>0</v>
      </c>
      <c r="D91" s="329" t="s">
        <v>797</v>
      </c>
      <c r="E91" s="328" t="s">
        <v>797</v>
      </c>
    </row>
    <row r="92" spans="1:5" ht="27.75" customHeight="1" x14ac:dyDescent="0.2">
      <c r="A92" s="322" t="s">
        <v>589</v>
      </c>
      <c r="B92" s="27" t="s">
        <v>1418</v>
      </c>
      <c r="C92" s="311">
        <v>0</v>
      </c>
      <c r="D92" s="329" t="s">
        <v>797</v>
      </c>
      <c r="E92" s="328" t="s">
        <v>797</v>
      </c>
    </row>
    <row r="93" spans="1:5" ht="27.75" customHeight="1" x14ac:dyDescent="0.2">
      <c r="A93" s="322" t="s">
        <v>590</v>
      </c>
      <c r="B93" s="27" t="s">
        <v>1419</v>
      </c>
      <c r="C93" s="311">
        <v>0</v>
      </c>
      <c r="D93" s="329" t="s">
        <v>797</v>
      </c>
      <c r="E93" s="328" t="s">
        <v>797</v>
      </c>
    </row>
    <row r="94" spans="1:5" ht="27.75" customHeight="1" x14ac:dyDescent="0.2">
      <c r="A94" s="322" t="s">
        <v>591</v>
      </c>
      <c r="B94" s="27" t="s">
        <v>1420</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1421</v>
      </c>
      <c r="C96" s="311">
        <v>0</v>
      </c>
      <c r="D96" s="329" t="s">
        <v>797</v>
      </c>
      <c r="E96" s="328" t="s">
        <v>797</v>
      </c>
    </row>
    <row r="97" spans="1:5" ht="27.75" customHeight="1" x14ac:dyDescent="0.2">
      <c r="A97" s="322" t="s">
        <v>594</v>
      </c>
      <c r="B97" s="27" t="s">
        <v>1422</v>
      </c>
      <c r="C97" s="311">
        <v>0</v>
      </c>
      <c r="D97" s="329" t="s">
        <v>797</v>
      </c>
      <c r="E97" s="328" t="s">
        <v>797</v>
      </c>
    </row>
    <row r="98" spans="1:5" ht="27.75" customHeight="1" x14ac:dyDescent="0.2">
      <c r="A98" s="322" t="s">
        <v>595</v>
      </c>
      <c r="B98" s="27" t="s">
        <v>1423</v>
      </c>
      <c r="C98" s="311">
        <v>0</v>
      </c>
      <c r="D98" s="329" t="s">
        <v>797</v>
      </c>
      <c r="E98" s="328" t="s">
        <v>797</v>
      </c>
    </row>
    <row r="99" spans="1:5" ht="27.75" customHeight="1" x14ac:dyDescent="0.2">
      <c r="A99" s="322" t="s">
        <v>596</v>
      </c>
      <c r="B99" s="27"/>
      <c r="C99" s="311">
        <v>0</v>
      </c>
      <c r="D99" s="329" t="s">
        <v>797</v>
      </c>
      <c r="E99" s="328" t="s">
        <v>797</v>
      </c>
    </row>
    <row r="100" spans="1:5" ht="27.75" customHeight="1" x14ac:dyDescent="0.2">
      <c r="A100" s="322" t="s">
        <v>729</v>
      </c>
      <c r="B100" s="27"/>
      <c r="C100" s="311" t="s">
        <v>802</v>
      </c>
      <c r="D100" s="328"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9" t="s">
        <v>797</v>
      </c>
      <c r="E120" s="328" t="s">
        <v>797</v>
      </c>
    </row>
    <row r="121" spans="1:5" ht="27.75" customHeight="1" x14ac:dyDescent="0.2">
      <c r="A121" s="322" t="s">
        <v>730</v>
      </c>
      <c r="B121" s="27"/>
      <c r="C121" s="311" t="s">
        <v>802</v>
      </c>
      <c r="D121" s="328"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9" t="s">
        <v>797</v>
      </c>
      <c r="E141" s="328" t="s">
        <v>797</v>
      </c>
    </row>
    <row r="142" spans="1:5" ht="27.75" customHeight="1" x14ac:dyDescent="0.2">
      <c r="A142" s="322" t="s">
        <v>731</v>
      </c>
      <c r="B142" s="27"/>
      <c r="C142" s="311" t="s">
        <v>802</v>
      </c>
      <c r="D142" s="328"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FB054E31-529F-462B-BB54-F8AAD5BBCF67}"/>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2A7B-4748-40BF-B1C4-3F613F93BDAC}">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WPD West Midlands Area (GSP Group_E)"</f>
        <v>Leep Electricity Networks Limited - Effective from 1 April 2027 - Final Supplier of Last Resort and Eligible Bad Debt Pass-Through Costs in WPD West Midlands Area (GSP Group_E)</v>
      </c>
      <c r="B2" s="528"/>
      <c r="C2" s="528"/>
      <c r="D2" s="528"/>
      <c r="E2" s="528"/>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802</v>
      </c>
      <c r="D5" s="337">
        <v>0</v>
      </c>
      <c r="E5" s="337">
        <v>0</v>
      </c>
    </row>
    <row r="6" spans="1:6" ht="30" customHeight="1" x14ac:dyDescent="0.2">
      <c r="A6" s="10" t="s">
        <v>675</v>
      </c>
      <c r="B6" s="335"/>
      <c r="C6" s="336" t="s">
        <v>803</v>
      </c>
      <c r="D6" s="339" t="s">
        <v>797</v>
      </c>
      <c r="E6" s="338">
        <v>0</v>
      </c>
    </row>
    <row r="7" spans="1:6" ht="30" customHeight="1" x14ac:dyDescent="0.2">
      <c r="A7" s="10" t="s">
        <v>676</v>
      </c>
      <c r="B7" s="335"/>
      <c r="C7" s="336" t="s">
        <v>803</v>
      </c>
      <c r="D7" s="339" t="s">
        <v>797</v>
      </c>
      <c r="E7" s="338">
        <v>0</v>
      </c>
    </row>
    <row r="8" spans="1:6" ht="30" customHeight="1" x14ac:dyDescent="0.2">
      <c r="A8" s="10" t="s">
        <v>677</v>
      </c>
      <c r="B8" s="335"/>
      <c r="C8" s="336" t="s">
        <v>803</v>
      </c>
      <c r="D8" s="339" t="s">
        <v>797</v>
      </c>
      <c r="E8" s="338">
        <v>0</v>
      </c>
    </row>
    <row r="9" spans="1:6" ht="30" customHeight="1" x14ac:dyDescent="0.2">
      <c r="A9" s="10" t="s">
        <v>678</v>
      </c>
      <c r="B9" s="335"/>
      <c r="C9" s="336" t="s">
        <v>803</v>
      </c>
      <c r="D9" s="339" t="s">
        <v>797</v>
      </c>
      <c r="E9" s="338">
        <v>0</v>
      </c>
    </row>
    <row r="10" spans="1:6" ht="30" customHeight="1" x14ac:dyDescent="0.2">
      <c r="A10" s="10" t="s">
        <v>679</v>
      </c>
      <c r="B10" s="335"/>
      <c r="C10" s="336" t="s">
        <v>803</v>
      </c>
      <c r="D10" s="339" t="s">
        <v>797</v>
      </c>
      <c r="E10" s="338">
        <v>0</v>
      </c>
    </row>
    <row r="11" spans="1:6" ht="30" customHeight="1" x14ac:dyDescent="0.2">
      <c r="A11" s="322" t="s">
        <v>496</v>
      </c>
      <c r="B11" s="335"/>
      <c r="C11" s="336">
        <v>0</v>
      </c>
      <c r="D11" s="339" t="s">
        <v>797</v>
      </c>
      <c r="E11" s="338">
        <v>0</v>
      </c>
    </row>
    <row r="12" spans="1:6" ht="30" customHeight="1" x14ac:dyDescent="0.2">
      <c r="A12" s="322" t="s">
        <v>497</v>
      </c>
      <c r="B12" s="335"/>
      <c r="C12" s="336">
        <v>0</v>
      </c>
      <c r="D12" s="339" t="s">
        <v>797</v>
      </c>
      <c r="E12" s="338">
        <v>0</v>
      </c>
    </row>
    <row r="13" spans="1:6" ht="30" customHeight="1" x14ac:dyDescent="0.2">
      <c r="A13" s="322" t="s">
        <v>498</v>
      </c>
      <c r="B13" s="335"/>
      <c r="C13" s="336">
        <v>0</v>
      </c>
      <c r="D13" s="339" t="s">
        <v>797</v>
      </c>
      <c r="E13" s="338">
        <v>0</v>
      </c>
    </row>
    <row r="14" spans="1:6" ht="30" customHeight="1" x14ac:dyDescent="0.2">
      <c r="A14" s="322" t="s">
        <v>499</v>
      </c>
      <c r="B14" s="335"/>
      <c r="C14" s="336">
        <v>0</v>
      </c>
      <c r="D14" s="339" t="s">
        <v>797</v>
      </c>
      <c r="E14" s="338">
        <v>0</v>
      </c>
    </row>
    <row r="15" spans="1:6" ht="30" customHeight="1" x14ac:dyDescent="0.2">
      <c r="A15" s="323" t="s">
        <v>500</v>
      </c>
      <c r="B15" s="335"/>
      <c r="C15" s="336">
        <v>0</v>
      </c>
      <c r="D15" s="339" t="s">
        <v>797</v>
      </c>
      <c r="E15" s="338">
        <v>0</v>
      </c>
    </row>
    <row r="16" spans="1:6" ht="30" customHeight="1" x14ac:dyDescent="0.2">
      <c r="A16" s="323" t="s">
        <v>501</v>
      </c>
      <c r="B16" s="335"/>
      <c r="C16" s="336">
        <v>0</v>
      </c>
      <c r="D16" s="339" t="s">
        <v>797</v>
      </c>
      <c r="E16" s="338">
        <v>0</v>
      </c>
    </row>
    <row r="17" spans="1:5" ht="30" customHeight="1" x14ac:dyDescent="0.2">
      <c r="A17" s="323" t="s">
        <v>502</v>
      </c>
      <c r="B17" s="335"/>
      <c r="C17" s="336">
        <v>0</v>
      </c>
      <c r="D17" s="339" t="s">
        <v>797</v>
      </c>
      <c r="E17" s="338">
        <v>0</v>
      </c>
    </row>
    <row r="18" spans="1:5" ht="30" customHeight="1" x14ac:dyDescent="0.2">
      <c r="A18" s="323" t="s">
        <v>503</v>
      </c>
      <c r="B18" s="335"/>
      <c r="C18" s="336">
        <v>0</v>
      </c>
      <c r="D18" s="339" t="s">
        <v>797</v>
      </c>
      <c r="E18" s="338">
        <v>0</v>
      </c>
    </row>
    <row r="19" spans="1:5" ht="30" customHeight="1" x14ac:dyDescent="0.2">
      <c r="A19" s="323" t="s">
        <v>504</v>
      </c>
      <c r="B19" s="335"/>
      <c r="C19" s="336">
        <v>0</v>
      </c>
      <c r="D19" s="339" t="s">
        <v>797</v>
      </c>
      <c r="E19" s="338">
        <v>0</v>
      </c>
    </row>
    <row r="20" spans="1:5" ht="30" customHeight="1" x14ac:dyDescent="0.2">
      <c r="A20" s="323" t="s">
        <v>505</v>
      </c>
      <c r="B20" s="335"/>
      <c r="C20" s="336">
        <v>0</v>
      </c>
      <c r="D20" s="339" t="s">
        <v>797</v>
      </c>
      <c r="E20" s="338">
        <v>0</v>
      </c>
    </row>
    <row r="21" spans="1:5" ht="30" customHeight="1" x14ac:dyDescent="0.2">
      <c r="A21" s="323" t="s">
        <v>506</v>
      </c>
      <c r="B21" s="335"/>
      <c r="C21" s="336">
        <v>0</v>
      </c>
      <c r="D21" s="339" t="s">
        <v>797</v>
      </c>
      <c r="E21" s="338">
        <v>0</v>
      </c>
    </row>
    <row r="22" spans="1:5" ht="30" customHeight="1" x14ac:dyDescent="0.2">
      <c r="A22" s="323" t="s">
        <v>507</v>
      </c>
      <c r="B22" s="335"/>
      <c r="C22" s="336">
        <v>0</v>
      </c>
      <c r="D22" s="339" t="s">
        <v>797</v>
      </c>
      <c r="E22" s="338">
        <v>0</v>
      </c>
    </row>
    <row r="23" spans="1:5" ht="30" customHeight="1" x14ac:dyDescent="0.2">
      <c r="A23" s="322" t="s">
        <v>508</v>
      </c>
      <c r="B23" s="335"/>
      <c r="C23" s="336">
        <v>0</v>
      </c>
      <c r="D23" s="339" t="s">
        <v>797</v>
      </c>
      <c r="E23" s="338">
        <v>0</v>
      </c>
    </row>
    <row r="24" spans="1:5" ht="30" customHeight="1" x14ac:dyDescent="0.2">
      <c r="A24" s="322" t="s">
        <v>509</v>
      </c>
      <c r="B24" s="335"/>
      <c r="C24" s="336">
        <v>0</v>
      </c>
      <c r="D24" s="339" t="s">
        <v>797</v>
      </c>
      <c r="E24" s="338">
        <v>0</v>
      </c>
    </row>
    <row r="25" spans="1:5" ht="30" customHeight="1" x14ac:dyDescent="0.2">
      <c r="A25" s="322" t="s">
        <v>510</v>
      </c>
      <c r="B25" s="335"/>
      <c r="C25" s="336">
        <v>0</v>
      </c>
      <c r="D25" s="339" t="s">
        <v>797</v>
      </c>
      <c r="E25" s="338">
        <v>0</v>
      </c>
    </row>
    <row r="26" spans="1:5" ht="30" customHeight="1" x14ac:dyDescent="0.2">
      <c r="A26" s="322" t="s">
        <v>680</v>
      </c>
      <c r="B26" s="335" t="s">
        <v>1424</v>
      </c>
      <c r="C26" s="336" t="s">
        <v>802</v>
      </c>
      <c r="D26" s="339" t="s">
        <v>797</v>
      </c>
      <c r="E26" s="338">
        <v>0</v>
      </c>
    </row>
    <row r="27" spans="1:5" ht="30" customHeight="1" x14ac:dyDescent="0.2">
      <c r="A27" s="322" t="s">
        <v>687</v>
      </c>
      <c r="B27" s="335" t="s">
        <v>1425</v>
      </c>
      <c r="C27" s="336" t="s">
        <v>803</v>
      </c>
      <c r="D27" s="339" t="s">
        <v>797</v>
      </c>
      <c r="E27" s="338">
        <v>0</v>
      </c>
    </row>
    <row r="28" spans="1:5" ht="30" customHeight="1" x14ac:dyDescent="0.2">
      <c r="A28" s="322" t="s">
        <v>694</v>
      </c>
      <c r="B28" s="335" t="s">
        <v>1426</v>
      </c>
      <c r="C28" s="336" t="s">
        <v>803</v>
      </c>
      <c r="D28" s="339" t="s">
        <v>797</v>
      </c>
      <c r="E28" s="338">
        <v>0</v>
      </c>
    </row>
    <row r="29" spans="1:5" ht="30" customHeight="1" x14ac:dyDescent="0.2">
      <c r="A29" s="322" t="s">
        <v>701</v>
      </c>
      <c r="B29" s="335" t="s">
        <v>1427</v>
      </c>
      <c r="C29" s="336" t="s">
        <v>803</v>
      </c>
      <c r="D29" s="339" t="s">
        <v>797</v>
      </c>
      <c r="E29" s="338">
        <v>0</v>
      </c>
    </row>
    <row r="30" spans="1:5" ht="30" customHeight="1" x14ac:dyDescent="0.2">
      <c r="A30" s="322" t="s">
        <v>708</v>
      </c>
      <c r="B30" s="335" t="s">
        <v>1428</v>
      </c>
      <c r="C30" s="336" t="s">
        <v>803</v>
      </c>
      <c r="D30" s="339" t="s">
        <v>797</v>
      </c>
      <c r="E30" s="338">
        <v>0</v>
      </c>
    </row>
    <row r="31" spans="1:5" ht="30" customHeight="1" x14ac:dyDescent="0.2">
      <c r="A31" s="322" t="s">
        <v>715</v>
      </c>
      <c r="B31" s="335" t="s">
        <v>1429</v>
      </c>
      <c r="C31" s="336" t="s">
        <v>803</v>
      </c>
      <c r="D31" s="339" t="s">
        <v>797</v>
      </c>
      <c r="E31" s="338">
        <v>0</v>
      </c>
    </row>
    <row r="32" spans="1:5" ht="30" customHeight="1" x14ac:dyDescent="0.2">
      <c r="A32" s="322" t="s">
        <v>544</v>
      </c>
      <c r="B32" s="335" t="s">
        <v>797</v>
      </c>
      <c r="C32" s="336">
        <v>0</v>
      </c>
      <c r="D32" s="339" t="s">
        <v>797</v>
      </c>
      <c r="E32" s="338">
        <v>0</v>
      </c>
    </row>
    <row r="33" spans="1:5" ht="30" customHeight="1" x14ac:dyDescent="0.2">
      <c r="A33" s="322" t="s">
        <v>545</v>
      </c>
      <c r="B33" s="335" t="s">
        <v>1430</v>
      </c>
      <c r="C33" s="336">
        <v>0</v>
      </c>
      <c r="D33" s="339" t="s">
        <v>797</v>
      </c>
      <c r="E33" s="338">
        <v>0</v>
      </c>
    </row>
    <row r="34" spans="1:5" ht="30" customHeight="1" x14ac:dyDescent="0.2">
      <c r="A34" s="322" t="s">
        <v>546</v>
      </c>
      <c r="B34" s="335" t="s">
        <v>1431</v>
      </c>
      <c r="C34" s="336">
        <v>0</v>
      </c>
      <c r="D34" s="339" t="s">
        <v>797</v>
      </c>
      <c r="E34" s="338">
        <v>0</v>
      </c>
    </row>
    <row r="35" spans="1:5" ht="30" customHeight="1" x14ac:dyDescent="0.2">
      <c r="A35" s="322" t="s">
        <v>547</v>
      </c>
      <c r="B35" s="335" t="s">
        <v>1432</v>
      </c>
      <c r="C35" s="336">
        <v>0</v>
      </c>
      <c r="D35" s="339" t="s">
        <v>797</v>
      </c>
      <c r="E35" s="338">
        <v>0</v>
      </c>
    </row>
    <row r="36" spans="1:5" ht="30" customHeight="1" x14ac:dyDescent="0.2">
      <c r="A36" s="322" t="s">
        <v>548</v>
      </c>
      <c r="B36" s="335" t="s">
        <v>1433</v>
      </c>
      <c r="C36" s="336">
        <v>0</v>
      </c>
      <c r="D36" s="337">
        <v>0</v>
      </c>
      <c r="E36" s="337">
        <v>0</v>
      </c>
    </row>
    <row r="37" spans="1:5" ht="30" customHeight="1" x14ac:dyDescent="0.2">
      <c r="A37" s="323" t="s">
        <v>681</v>
      </c>
      <c r="B37" s="335" t="s">
        <v>797</v>
      </c>
      <c r="C37" s="336" t="s">
        <v>802</v>
      </c>
      <c r="D37" s="338">
        <v>0</v>
      </c>
      <c r="E37" s="338">
        <v>0</v>
      </c>
    </row>
    <row r="38" spans="1:5" ht="30" customHeight="1" x14ac:dyDescent="0.2">
      <c r="A38" s="322" t="s">
        <v>688</v>
      </c>
      <c r="B38" s="335" t="s">
        <v>1434</v>
      </c>
      <c r="C38" s="336" t="s">
        <v>803</v>
      </c>
      <c r="D38" s="339" t="s">
        <v>797</v>
      </c>
      <c r="E38" s="338">
        <v>0</v>
      </c>
    </row>
    <row r="39" spans="1:5" ht="30" customHeight="1" x14ac:dyDescent="0.2">
      <c r="A39" s="322" t="s">
        <v>695</v>
      </c>
      <c r="B39" s="335" t="s">
        <v>1435</v>
      </c>
      <c r="C39" s="336" t="s">
        <v>803</v>
      </c>
      <c r="D39" s="339" t="s">
        <v>797</v>
      </c>
      <c r="E39" s="338">
        <v>0</v>
      </c>
    </row>
    <row r="40" spans="1:5" ht="30" customHeight="1" x14ac:dyDescent="0.2">
      <c r="A40" s="322" t="s">
        <v>702</v>
      </c>
      <c r="B40" s="335" t="s">
        <v>1436</v>
      </c>
      <c r="C40" s="336" t="s">
        <v>803</v>
      </c>
      <c r="D40" s="339" t="s">
        <v>797</v>
      </c>
      <c r="E40" s="338">
        <v>0</v>
      </c>
    </row>
    <row r="41" spans="1:5" ht="30" customHeight="1" x14ac:dyDescent="0.2">
      <c r="A41" s="322" t="s">
        <v>709</v>
      </c>
      <c r="B41" s="335" t="s">
        <v>1437</v>
      </c>
      <c r="C41" s="336" t="s">
        <v>803</v>
      </c>
      <c r="D41" s="339" t="s">
        <v>797</v>
      </c>
      <c r="E41" s="338">
        <v>0</v>
      </c>
    </row>
    <row r="42" spans="1:5" ht="30" customHeight="1" x14ac:dyDescent="0.2">
      <c r="A42" s="322" t="s">
        <v>716</v>
      </c>
      <c r="B42" s="335" t="s">
        <v>1438</v>
      </c>
      <c r="C42" s="336" t="s">
        <v>803</v>
      </c>
      <c r="D42" s="339" t="s">
        <v>797</v>
      </c>
      <c r="E42" s="338">
        <v>0</v>
      </c>
    </row>
    <row r="43" spans="1:5" ht="30" customHeight="1" x14ac:dyDescent="0.2">
      <c r="A43" s="322" t="s">
        <v>550</v>
      </c>
      <c r="B43" s="335" t="s">
        <v>797</v>
      </c>
      <c r="C43" s="336">
        <v>0</v>
      </c>
      <c r="D43" s="339" t="s">
        <v>797</v>
      </c>
      <c r="E43" s="338">
        <v>0</v>
      </c>
    </row>
    <row r="44" spans="1:5" ht="30" customHeight="1" x14ac:dyDescent="0.2">
      <c r="A44" s="322" t="s">
        <v>551</v>
      </c>
      <c r="B44" s="335" t="s">
        <v>1439</v>
      </c>
      <c r="C44" s="336">
        <v>0</v>
      </c>
      <c r="D44" s="339" t="s">
        <v>797</v>
      </c>
      <c r="E44" s="338">
        <v>0</v>
      </c>
    </row>
    <row r="45" spans="1:5" ht="30" customHeight="1" x14ac:dyDescent="0.2">
      <c r="A45" s="322" t="s">
        <v>552</v>
      </c>
      <c r="B45" s="335" t="s">
        <v>1440</v>
      </c>
      <c r="C45" s="336">
        <v>0</v>
      </c>
      <c r="D45" s="339" t="s">
        <v>797</v>
      </c>
      <c r="E45" s="338">
        <v>0</v>
      </c>
    </row>
    <row r="46" spans="1:5" ht="30" customHeight="1" x14ac:dyDescent="0.2">
      <c r="A46" s="322" t="s">
        <v>553</v>
      </c>
      <c r="B46" s="335" t="s">
        <v>1441</v>
      </c>
      <c r="C46" s="336">
        <v>0</v>
      </c>
      <c r="D46" s="339" t="s">
        <v>797</v>
      </c>
      <c r="E46" s="338">
        <v>0</v>
      </c>
    </row>
    <row r="47" spans="1:5" ht="30" customHeight="1" x14ac:dyDescent="0.2">
      <c r="A47" s="322" t="s">
        <v>554</v>
      </c>
      <c r="B47" s="335" t="s">
        <v>1442</v>
      </c>
      <c r="C47" s="336">
        <v>0</v>
      </c>
      <c r="D47" s="339" t="s">
        <v>797</v>
      </c>
      <c r="E47" s="338">
        <v>0</v>
      </c>
    </row>
    <row r="48" spans="1:5" ht="30" customHeight="1" x14ac:dyDescent="0.2">
      <c r="A48" s="322" t="s">
        <v>555</v>
      </c>
      <c r="B48" s="335" t="s">
        <v>797</v>
      </c>
      <c r="C48" s="336">
        <v>0</v>
      </c>
      <c r="D48" s="339" t="s">
        <v>797</v>
      </c>
      <c r="E48" s="338">
        <v>0</v>
      </c>
    </row>
    <row r="49" spans="1:5" ht="30" customHeight="1" x14ac:dyDescent="0.2">
      <c r="A49" s="322" t="s">
        <v>556</v>
      </c>
      <c r="B49" s="335" t="s">
        <v>1443</v>
      </c>
      <c r="C49" s="336">
        <v>0</v>
      </c>
      <c r="D49" s="339" t="s">
        <v>797</v>
      </c>
      <c r="E49" s="338">
        <v>0</v>
      </c>
    </row>
    <row r="50" spans="1:5" ht="30" customHeight="1" x14ac:dyDescent="0.2">
      <c r="A50" s="322" t="s">
        <v>557</v>
      </c>
      <c r="B50" s="335" t="s">
        <v>1444</v>
      </c>
      <c r="C50" s="336">
        <v>0</v>
      </c>
      <c r="D50" s="339" t="s">
        <v>797</v>
      </c>
      <c r="E50" s="338">
        <v>0</v>
      </c>
    </row>
    <row r="51" spans="1:5" ht="30" customHeight="1" x14ac:dyDescent="0.2">
      <c r="A51" s="322" t="s">
        <v>558</v>
      </c>
      <c r="B51" s="335" t="s">
        <v>1445</v>
      </c>
      <c r="C51" s="336">
        <v>0</v>
      </c>
      <c r="D51" s="339" t="s">
        <v>797</v>
      </c>
      <c r="E51" s="338">
        <v>0</v>
      </c>
    </row>
    <row r="52" spans="1:5" ht="30" customHeight="1" x14ac:dyDescent="0.2">
      <c r="A52" s="322" t="s">
        <v>559</v>
      </c>
      <c r="B52" s="335" t="s">
        <v>1446</v>
      </c>
      <c r="C52" s="336">
        <v>0</v>
      </c>
      <c r="D52" s="337">
        <v>0</v>
      </c>
      <c r="E52" s="337">
        <v>0</v>
      </c>
    </row>
    <row r="53" spans="1:5" ht="30" customHeight="1" x14ac:dyDescent="0.2">
      <c r="A53" s="322" t="s">
        <v>560</v>
      </c>
      <c r="B53" s="335" t="s">
        <v>797</v>
      </c>
      <c r="C53" s="336">
        <v>0</v>
      </c>
      <c r="D53" s="338">
        <v>0</v>
      </c>
      <c r="E53" s="338">
        <v>0</v>
      </c>
    </row>
    <row r="54" spans="1:5" ht="30" customHeight="1" x14ac:dyDescent="0.2">
      <c r="A54" s="322" t="s">
        <v>561</v>
      </c>
      <c r="B54" s="335" t="s">
        <v>1447</v>
      </c>
      <c r="C54" s="336">
        <v>0</v>
      </c>
      <c r="D54" s="339" t="s">
        <v>797</v>
      </c>
      <c r="E54" s="338">
        <v>0</v>
      </c>
    </row>
    <row r="55" spans="1:5" ht="30" customHeight="1" x14ac:dyDescent="0.2">
      <c r="A55" s="322" t="s">
        <v>562</v>
      </c>
      <c r="B55" s="335" t="s">
        <v>1448</v>
      </c>
      <c r="C55" s="336">
        <v>0</v>
      </c>
      <c r="D55" s="339" t="s">
        <v>797</v>
      </c>
      <c r="E55" s="338">
        <v>0</v>
      </c>
    </row>
    <row r="56" spans="1:5" ht="30" customHeight="1" x14ac:dyDescent="0.2">
      <c r="A56" s="322" t="s">
        <v>563</v>
      </c>
      <c r="B56" s="335" t="s">
        <v>1449</v>
      </c>
      <c r="C56" s="336">
        <v>0</v>
      </c>
      <c r="D56" s="339" t="s">
        <v>797</v>
      </c>
      <c r="E56" s="338">
        <v>0</v>
      </c>
    </row>
    <row r="57" spans="1:5" ht="30" customHeight="1" x14ac:dyDescent="0.2">
      <c r="A57" s="322" t="s">
        <v>564</v>
      </c>
      <c r="B57" s="335" t="s">
        <v>1450</v>
      </c>
      <c r="C57" s="336">
        <v>0</v>
      </c>
      <c r="D57" s="339" t="s">
        <v>797</v>
      </c>
      <c r="E57" s="338">
        <v>0</v>
      </c>
    </row>
    <row r="58" spans="1:5" ht="30" customHeight="1" x14ac:dyDescent="0.2">
      <c r="A58" s="322" t="s">
        <v>682</v>
      </c>
      <c r="B58" s="335" t="s">
        <v>797</v>
      </c>
      <c r="C58" s="336" t="s">
        <v>802</v>
      </c>
      <c r="D58" s="339" t="s">
        <v>797</v>
      </c>
      <c r="E58" s="338">
        <v>0</v>
      </c>
    </row>
    <row r="59" spans="1:5" ht="30" customHeight="1" x14ac:dyDescent="0.2">
      <c r="A59" s="322" t="s">
        <v>689</v>
      </c>
      <c r="B59" s="335" t="s">
        <v>1451</v>
      </c>
      <c r="C59" s="336" t="s">
        <v>803</v>
      </c>
      <c r="D59" s="339" t="s">
        <v>797</v>
      </c>
      <c r="E59" s="338">
        <v>0</v>
      </c>
    </row>
    <row r="60" spans="1:5" ht="30" customHeight="1" x14ac:dyDescent="0.2">
      <c r="A60" s="322" t="s">
        <v>696</v>
      </c>
      <c r="B60" s="335" t="s">
        <v>1452</v>
      </c>
      <c r="C60" s="336" t="s">
        <v>803</v>
      </c>
      <c r="D60" s="339" t="s">
        <v>797</v>
      </c>
      <c r="E60" s="338">
        <v>0</v>
      </c>
    </row>
    <row r="61" spans="1:5" ht="30" customHeight="1" x14ac:dyDescent="0.2">
      <c r="A61" s="322" t="s">
        <v>703</v>
      </c>
      <c r="B61" s="335" t="s">
        <v>1453</v>
      </c>
      <c r="C61" s="336" t="s">
        <v>803</v>
      </c>
      <c r="D61" s="339" t="s">
        <v>797</v>
      </c>
      <c r="E61" s="338">
        <v>0</v>
      </c>
    </row>
    <row r="62" spans="1:5" ht="30" customHeight="1" x14ac:dyDescent="0.2">
      <c r="A62" s="322" t="s">
        <v>710</v>
      </c>
      <c r="B62" s="335" t="s">
        <v>1454</v>
      </c>
      <c r="C62" s="336" t="s">
        <v>803</v>
      </c>
      <c r="D62" s="339" t="s">
        <v>797</v>
      </c>
      <c r="E62" s="338">
        <v>0</v>
      </c>
    </row>
    <row r="63" spans="1:5" ht="30" customHeight="1" x14ac:dyDescent="0.2">
      <c r="A63" s="322" t="s">
        <v>717</v>
      </c>
      <c r="B63" s="335" t="s">
        <v>1455</v>
      </c>
      <c r="C63" s="336" t="s">
        <v>803</v>
      </c>
      <c r="D63" s="339" t="s">
        <v>797</v>
      </c>
      <c r="E63" s="338">
        <v>0</v>
      </c>
    </row>
    <row r="64" spans="1:5" ht="30" customHeight="1" x14ac:dyDescent="0.2">
      <c r="A64" s="322" t="s">
        <v>566</v>
      </c>
      <c r="B64" s="335" t="s">
        <v>797</v>
      </c>
      <c r="C64" s="336">
        <v>0</v>
      </c>
      <c r="D64" s="339" t="s">
        <v>797</v>
      </c>
      <c r="E64" s="338">
        <v>0</v>
      </c>
    </row>
    <row r="65" spans="1:5" ht="30" customHeight="1" x14ac:dyDescent="0.2">
      <c r="A65" s="322" t="s">
        <v>567</v>
      </c>
      <c r="B65" s="335" t="s">
        <v>1456</v>
      </c>
      <c r="C65" s="336">
        <v>0</v>
      </c>
      <c r="D65" s="339" t="s">
        <v>797</v>
      </c>
      <c r="E65" s="338">
        <v>0</v>
      </c>
    </row>
    <row r="66" spans="1:5" ht="30" customHeight="1" x14ac:dyDescent="0.2">
      <c r="A66" s="322" t="s">
        <v>568</v>
      </c>
      <c r="B66" s="335" t="s">
        <v>1457</v>
      </c>
      <c r="C66" s="336">
        <v>0</v>
      </c>
      <c r="D66" s="339" t="s">
        <v>797</v>
      </c>
      <c r="E66" s="338">
        <v>0</v>
      </c>
    </row>
    <row r="67" spans="1:5" ht="30" customHeight="1" x14ac:dyDescent="0.2">
      <c r="A67" s="322" t="s">
        <v>569</v>
      </c>
      <c r="B67" s="335" t="s">
        <v>1458</v>
      </c>
      <c r="C67" s="336">
        <v>0</v>
      </c>
      <c r="D67" s="339" t="s">
        <v>797</v>
      </c>
      <c r="E67" s="338">
        <v>0</v>
      </c>
    </row>
    <row r="68" spans="1:5" ht="30" customHeight="1" x14ac:dyDescent="0.2">
      <c r="A68" s="322" t="s">
        <v>570</v>
      </c>
      <c r="B68" s="335" t="s">
        <v>1459</v>
      </c>
      <c r="C68" s="336">
        <v>0</v>
      </c>
      <c r="D68" s="339" t="s">
        <v>797</v>
      </c>
      <c r="E68" s="338">
        <v>0</v>
      </c>
    </row>
    <row r="69" spans="1:5" ht="30" customHeight="1" x14ac:dyDescent="0.2">
      <c r="A69" s="322" t="s">
        <v>571</v>
      </c>
      <c r="B69" s="335" t="s">
        <v>797</v>
      </c>
      <c r="C69" s="336">
        <v>0</v>
      </c>
      <c r="D69" s="339" t="s">
        <v>797</v>
      </c>
      <c r="E69" s="338">
        <v>0</v>
      </c>
    </row>
    <row r="70" spans="1:5" ht="30" customHeight="1" x14ac:dyDescent="0.2">
      <c r="A70" s="322" t="s">
        <v>572</v>
      </c>
      <c r="B70" s="335" t="s">
        <v>1460</v>
      </c>
      <c r="C70" s="336">
        <v>0</v>
      </c>
      <c r="D70" s="339" t="s">
        <v>797</v>
      </c>
      <c r="E70" s="338">
        <v>0</v>
      </c>
    </row>
    <row r="71" spans="1:5" ht="30" customHeight="1" x14ac:dyDescent="0.2">
      <c r="A71" s="322" t="s">
        <v>573</v>
      </c>
      <c r="B71" s="335" t="s">
        <v>1461</v>
      </c>
      <c r="C71" s="336">
        <v>0</v>
      </c>
      <c r="D71" s="339" t="s">
        <v>797</v>
      </c>
      <c r="E71" s="338">
        <v>0</v>
      </c>
    </row>
    <row r="72" spans="1:5" ht="30" customHeight="1" x14ac:dyDescent="0.2">
      <c r="A72" s="322" t="s">
        <v>574</v>
      </c>
      <c r="B72" s="335" t="s">
        <v>1462</v>
      </c>
      <c r="C72" s="336">
        <v>0</v>
      </c>
      <c r="D72" s="339" t="s">
        <v>797</v>
      </c>
      <c r="E72" s="338">
        <v>0</v>
      </c>
    </row>
    <row r="73" spans="1:5" ht="30" customHeight="1" x14ac:dyDescent="0.2">
      <c r="A73" s="322" t="s">
        <v>575</v>
      </c>
      <c r="B73" s="335" t="s">
        <v>1463</v>
      </c>
      <c r="C73" s="336">
        <v>0</v>
      </c>
      <c r="D73" s="339" t="s">
        <v>797</v>
      </c>
      <c r="E73" s="338">
        <v>0</v>
      </c>
    </row>
    <row r="74" spans="1:5" ht="30" customHeight="1" x14ac:dyDescent="0.2">
      <c r="A74" s="322" t="s">
        <v>576</v>
      </c>
      <c r="B74" s="335" t="s">
        <v>797</v>
      </c>
      <c r="C74" s="336">
        <v>0</v>
      </c>
      <c r="D74" s="339" t="s">
        <v>797</v>
      </c>
      <c r="E74" s="338">
        <v>0</v>
      </c>
    </row>
    <row r="75" spans="1:5" ht="30" customHeight="1" x14ac:dyDescent="0.2">
      <c r="A75" s="322" t="s">
        <v>577</v>
      </c>
      <c r="B75" s="335" t="s">
        <v>1464</v>
      </c>
      <c r="C75" s="336">
        <v>0</v>
      </c>
      <c r="D75" s="339" t="s">
        <v>797</v>
      </c>
      <c r="E75" s="338">
        <v>0</v>
      </c>
    </row>
    <row r="76" spans="1:5" ht="30" customHeight="1" x14ac:dyDescent="0.2">
      <c r="A76" s="322" t="s">
        <v>578</v>
      </c>
      <c r="B76" s="335" t="s">
        <v>1465</v>
      </c>
      <c r="C76" s="336">
        <v>0</v>
      </c>
      <c r="D76" s="339" t="s">
        <v>797</v>
      </c>
      <c r="E76" s="338">
        <v>0</v>
      </c>
    </row>
    <row r="77" spans="1:5" ht="30" customHeight="1" x14ac:dyDescent="0.2">
      <c r="A77" s="322" t="s">
        <v>579</v>
      </c>
      <c r="B77" s="335" t="s">
        <v>1466</v>
      </c>
      <c r="C77" s="336">
        <v>0</v>
      </c>
      <c r="D77" s="339" t="s">
        <v>797</v>
      </c>
      <c r="E77" s="338">
        <v>0</v>
      </c>
    </row>
    <row r="78" spans="1:5" ht="30" customHeight="1" x14ac:dyDescent="0.2">
      <c r="A78" s="322" t="s">
        <v>580</v>
      </c>
      <c r="B78" s="335" t="s">
        <v>1467</v>
      </c>
      <c r="C78" s="336">
        <v>0</v>
      </c>
      <c r="D78" s="339" t="s">
        <v>797</v>
      </c>
      <c r="E78" s="338">
        <v>0</v>
      </c>
    </row>
    <row r="79" spans="1:5" ht="30" customHeight="1" x14ac:dyDescent="0.2">
      <c r="A79" s="322" t="s">
        <v>683</v>
      </c>
      <c r="B79" s="335" t="s">
        <v>797</v>
      </c>
      <c r="C79" s="336" t="s">
        <v>802</v>
      </c>
      <c r="D79" s="339" t="s">
        <v>797</v>
      </c>
      <c r="E79" s="338">
        <v>0</v>
      </c>
    </row>
    <row r="80" spans="1:5" ht="30" customHeight="1" x14ac:dyDescent="0.2">
      <c r="A80" s="322" t="s">
        <v>690</v>
      </c>
      <c r="B80" s="335" t="s">
        <v>1468</v>
      </c>
      <c r="C80" s="336" t="s">
        <v>803</v>
      </c>
      <c r="D80" s="339" t="s">
        <v>797</v>
      </c>
      <c r="E80" s="338">
        <v>0</v>
      </c>
    </row>
    <row r="81" spans="1:5" ht="30" customHeight="1" x14ac:dyDescent="0.2">
      <c r="A81" s="322" t="s">
        <v>697</v>
      </c>
      <c r="B81" s="335" t="s">
        <v>1469</v>
      </c>
      <c r="C81" s="336" t="s">
        <v>803</v>
      </c>
      <c r="D81" s="337">
        <v>0</v>
      </c>
      <c r="E81" s="337">
        <v>0</v>
      </c>
    </row>
    <row r="82" spans="1:5" ht="30" customHeight="1" x14ac:dyDescent="0.2">
      <c r="A82" s="322" t="s">
        <v>704</v>
      </c>
      <c r="B82" s="335" t="s">
        <v>1470</v>
      </c>
      <c r="C82" s="336" t="s">
        <v>803</v>
      </c>
      <c r="D82" s="338">
        <v>0</v>
      </c>
      <c r="E82" s="338">
        <v>0</v>
      </c>
    </row>
    <row r="83" spans="1:5" ht="30" customHeight="1" x14ac:dyDescent="0.2">
      <c r="A83" s="322" t="s">
        <v>711</v>
      </c>
      <c r="B83" s="335" t="s">
        <v>1471</v>
      </c>
      <c r="C83" s="336" t="s">
        <v>803</v>
      </c>
      <c r="D83" s="339" t="s">
        <v>797</v>
      </c>
      <c r="E83" s="338">
        <v>0</v>
      </c>
    </row>
    <row r="84" spans="1:5" ht="30" customHeight="1" x14ac:dyDescent="0.2">
      <c r="A84" s="322" t="s">
        <v>718</v>
      </c>
      <c r="B84" s="335" t="s">
        <v>1472</v>
      </c>
      <c r="C84" s="336" t="s">
        <v>803</v>
      </c>
      <c r="D84" s="339" t="s">
        <v>797</v>
      </c>
      <c r="E84" s="338">
        <v>0</v>
      </c>
    </row>
    <row r="85" spans="1:5" ht="30" customHeight="1" x14ac:dyDescent="0.2">
      <c r="A85" s="322" t="s">
        <v>582</v>
      </c>
      <c r="B85" s="335" t="s">
        <v>797</v>
      </c>
      <c r="C85" s="336">
        <v>0</v>
      </c>
      <c r="D85" s="339" t="s">
        <v>797</v>
      </c>
      <c r="E85" s="338">
        <v>0</v>
      </c>
    </row>
    <row r="86" spans="1:5" ht="30" customHeight="1" x14ac:dyDescent="0.2">
      <c r="A86" s="322" t="s">
        <v>583</v>
      </c>
      <c r="B86" s="335" t="s">
        <v>1473</v>
      </c>
      <c r="C86" s="336">
        <v>0</v>
      </c>
      <c r="D86" s="339" t="s">
        <v>797</v>
      </c>
      <c r="E86" s="338">
        <v>0</v>
      </c>
    </row>
    <row r="87" spans="1:5" ht="30" customHeight="1" x14ac:dyDescent="0.2">
      <c r="A87" s="322" t="s">
        <v>584</v>
      </c>
      <c r="B87" s="335" t="s">
        <v>1474</v>
      </c>
      <c r="C87" s="336">
        <v>0</v>
      </c>
      <c r="D87" s="339" t="s">
        <v>797</v>
      </c>
      <c r="E87" s="338">
        <v>0</v>
      </c>
    </row>
    <row r="88" spans="1:5" ht="30" customHeight="1" x14ac:dyDescent="0.2">
      <c r="A88" s="322" t="s">
        <v>585</v>
      </c>
      <c r="B88" s="335" t="s">
        <v>1475</v>
      </c>
      <c r="C88" s="336">
        <v>0</v>
      </c>
      <c r="D88" s="339" t="s">
        <v>797</v>
      </c>
      <c r="E88" s="338">
        <v>0</v>
      </c>
    </row>
    <row r="89" spans="1:5" ht="30" customHeight="1" x14ac:dyDescent="0.2">
      <c r="A89" s="322" t="s">
        <v>586</v>
      </c>
      <c r="B89" s="335" t="s">
        <v>1476</v>
      </c>
      <c r="C89" s="336">
        <v>0</v>
      </c>
      <c r="D89" s="339" t="s">
        <v>797</v>
      </c>
      <c r="E89" s="338">
        <v>0</v>
      </c>
    </row>
    <row r="90" spans="1:5" ht="30" customHeight="1" x14ac:dyDescent="0.2">
      <c r="A90" s="322" t="s">
        <v>587</v>
      </c>
      <c r="B90" s="335" t="s">
        <v>797</v>
      </c>
      <c r="C90" s="336">
        <v>0</v>
      </c>
      <c r="D90" s="339" t="s">
        <v>797</v>
      </c>
      <c r="E90" s="338">
        <v>0</v>
      </c>
    </row>
    <row r="91" spans="1:5" ht="30" customHeight="1" x14ac:dyDescent="0.2">
      <c r="A91" s="322" t="s">
        <v>588</v>
      </c>
      <c r="B91" s="335" t="s">
        <v>1477</v>
      </c>
      <c r="C91" s="336">
        <v>0</v>
      </c>
      <c r="D91" s="339" t="s">
        <v>797</v>
      </c>
      <c r="E91" s="338">
        <v>0</v>
      </c>
    </row>
    <row r="92" spans="1:5" ht="30" customHeight="1" x14ac:dyDescent="0.2">
      <c r="A92" s="322" t="s">
        <v>589</v>
      </c>
      <c r="B92" s="335" t="s">
        <v>1478</v>
      </c>
      <c r="C92" s="336">
        <v>0</v>
      </c>
      <c r="D92" s="339" t="s">
        <v>797</v>
      </c>
      <c r="E92" s="338">
        <v>0</v>
      </c>
    </row>
    <row r="93" spans="1:5" ht="30" customHeight="1" x14ac:dyDescent="0.2">
      <c r="A93" s="322" t="s">
        <v>590</v>
      </c>
      <c r="B93" s="335" t="s">
        <v>1479</v>
      </c>
      <c r="C93" s="336">
        <v>0</v>
      </c>
      <c r="D93" s="339" t="s">
        <v>797</v>
      </c>
      <c r="E93" s="338">
        <v>0</v>
      </c>
    </row>
    <row r="94" spans="1:5" ht="30" customHeight="1" x14ac:dyDescent="0.2">
      <c r="A94" s="322" t="s">
        <v>591</v>
      </c>
      <c r="B94" s="335" t="s">
        <v>1480</v>
      </c>
      <c r="C94" s="336">
        <v>0</v>
      </c>
      <c r="D94" s="339" t="s">
        <v>797</v>
      </c>
      <c r="E94" s="338">
        <v>0</v>
      </c>
    </row>
    <row r="95" spans="1:5" ht="30" customHeight="1" x14ac:dyDescent="0.2">
      <c r="A95" s="322" t="s">
        <v>592</v>
      </c>
      <c r="B95" s="335" t="s">
        <v>797</v>
      </c>
      <c r="C95" s="336">
        <v>0</v>
      </c>
      <c r="D95" s="339" t="s">
        <v>797</v>
      </c>
      <c r="E95" s="338">
        <v>0</v>
      </c>
    </row>
    <row r="96" spans="1:5" ht="30" customHeight="1" x14ac:dyDescent="0.2">
      <c r="A96" s="322" t="s">
        <v>593</v>
      </c>
      <c r="B96" s="335" t="s">
        <v>1481</v>
      </c>
      <c r="C96" s="336">
        <v>0</v>
      </c>
      <c r="D96" s="339" t="s">
        <v>797</v>
      </c>
      <c r="E96" s="338">
        <v>0</v>
      </c>
    </row>
    <row r="97" spans="1:5" ht="30" customHeight="1" x14ac:dyDescent="0.2">
      <c r="A97" s="322" t="s">
        <v>594</v>
      </c>
      <c r="B97" s="335" t="s">
        <v>1482</v>
      </c>
      <c r="C97" s="336">
        <v>0</v>
      </c>
      <c r="D97" s="339" t="s">
        <v>797</v>
      </c>
      <c r="E97" s="338">
        <v>0</v>
      </c>
    </row>
    <row r="98" spans="1:5" ht="30" customHeight="1" x14ac:dyDescent="0.2">
      <c r="A98" s="322" t="s">
        <v>595</v>
      </c>
      <c r="B98" s="335" t="s">
        <v>1483</v>
      </c>
      <c r="C98" s="336">
        <v>0</v>
      </c>
      <c r="D98" s="339" t="s">
        <v>797</v>
      </c>
      <c r="E98" s="338">
        <v>0</v>
      </c>
    </row>
    <row r="99" spans="1:5" ht="30" customHeight="1" x14ac:dyDescent="0.2">
      <c r="A99" s="322" t="s">
        <v>596</v>
      </c>
      <c r="B99" s="335"/>
      <c r="C99" s="336">
        <v>0</v>
      </c>
      <c r="D99" s="339" t="s">
        <v>797</v>
      </c>
      <c r="E99" s="338">
        <v>0</v>
      </c>
    </row>
    <row r="100" spans="1:5" ht="30" customHeight="1" x14ac:dyDescent="0.2">
      <c r="A100" s="322" t="s">
        <v>684</v>
      </c>
      <c r="B100" s="335"/>
      <c r="C100" s="336" t="s">
        <v>802</v>
      </c>
      <c r="D100" s="339" t="s">
        <v>797</v>
      </c>
      <c r="E100" s="338">
        <v>0</v>
      </c>
    </row>
    <row r="101" spans="1:5" ht="30" customHeight="1" x14ac:dyDescent="0.2">
      <c r="A101" s="322" t="s">
        <v>691</v>
      </c>
      <c r="B101" s="335"/>
      <c r="C101" s="336" t="s">
        <v>803</v>
      </c>
      <c r="D101" s="339" t="s">
        <v>797</v>
      </c>
      <c r="E101" s="338">
        <v>0</v>
      </c>
    </row>
    <row r="102" spans="1:5" ht="30" customHeight="1" x14ac:dyDescent="0.2">
      <c r="A102" s="322" t="s">
        <v>698</v>
      </c>
      <c r="B102" s="335"/>
      <c r="C102" s="336" t="s">
        <v>803</v>
      </c>
      <c r="D102" s="339" t="s">
        <v>797</v>
      </c>
      <c r="E102" s="338">
        <v>0</v>
      </c>
    </row>
    <row r="103" spans="1:5" ht="30" customHeight="1" x14ac:dyDescent="0.2">
      <c r="A103" s="322" t="s">
        <v>705</v>
      </c>
      <c r="B103" s="335"/>
      <c r="C103" s="336" t="s">
        <v>803</v>
      </c>
      <c r="D103" s="339" t="s">
        <v>797</v>
      </c>
      <c r="E103" s="338">
        <v>0</v>
      </c>
    </row>
    <row r="104" spans="1:5" ht="30" customHeight="1" x14ac:dyDescent="0.2">
      <c r="A104" s="322" t="s">
        <v>712</v>
      </c>
      <c r="B104" s="335"/>
      <c r="C104" s="336" t="s">
        <v>803</v>
      </c>
      <c r="D104" s="339" t="s">
        <v>797</v>
      </c>
      <c r="E104" s="338">
        <v>0</v>
      </c>
    </row>
    <row r="105" spans="1:5" ht="30" customHeight="1" x14ac:dyDescent="0.2">
      <c r="A105" s="322" t="s">
        <v>719</v>
      </c>
      <c r="B105" s="335"/>
      <c r="C105" s="336" t="s">
        <v>803</v>
      </c>
      <c r="D105" s="339" t="s">
        <v>797</v>
      </c>
      <c r="E105" s="338">
        <v>0</v>
      </c>
    </row>
    <row r="106" spans="1:5" ht="30" customHeight="1" x14ac:dyDescent="0.2">
      <c r="A106" s="322" t="s">
        <v>598</v>
      </c>
      <c r="B106" s="335"/>
      <c r="C106" s="336">
        <v>0</v>
      </c>
      <c r="D106" s="339" t="s">
        <v>797</v>
      </c>
      <c r="E106" s="338">
        <v>0</v>
      </c>
    </row>
    <row r="107" spans="1:5" ht="30" customHeight="1" x14ac:dyDescent="0.2">
      <c r="A107" s="322" t="s">
        <v>599</v>
      </c>
      <c r="B107" s="335"/>
      <c r="C107" s="336">
        <v>0</v>
      </c>
      <c r="D107" s="339" t="s">
        <v>797</v>
      </c>
      <c r="E107" s="338">
        <v>0</v>
      </c>
    </row>
    <row r="108" spans="1:5" ht="30" customHeight="1" x14ac:dyDescent="0.2">
      <c r="A108" s="322" t="s">
        <v>600</v>
      </c>
      <c r="B108" s="335"/>
      <c r="C108" s="336">
        <v>0</v>
      </c>
      <c r="D108" s="339" t="s">
        <v>797</v>
      </c>
      <c r="E108" s="338">
        <v>0</v>
      </c>
    </row>
    <row r="109" spans="1:5" ht="30" customHeight="1" x14ac:dyDescent="0.2">
      <c r="A109" s="322" t="s">
        <v>601</v>
      </c>
      <c r="B109" s="335"/>
      <c r="C109" s="336">
        <v>0</v>
      </c>
      <c r="D109" s="339" t="s">
        <v>797</v>
      </c>
      <c r="E109" s="338">
        <v>0</v>
      </c>
    </row>
    <row r="110" spans="1:5" ht="30" customHeight="1" x14ac:dyDescent="0.2">
      <c r="A110" s="322" t="s">
        <v>602</v>
      </c>
      <c r="B110" s="335"/>
      <c r="C110" s="336">
        <v>0</v>
      </c>
      <c r="D110" s="337">
        <v>0</v>
      </c>
      <c r="E110" s="337">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797</v>
      </c>
      <c r="E112" s="338">
        <v>0</v>
      </c>
    </row>
    <row r="113" spans="1:5" ht="30" customHeight="1" x14ac:dyDescent="0.2">
      <c r="A113" s="322" t="s">
        <v>605</v>
      </c>
      <c r="B113" s="335"/>
      <c r="C113" s="336">
        <v>0</v>
      </c>
      <c r="D113" s="339" t="s">
        <v>797</v>
      </c>
      <c r="E113" s="338">
        <v>0</v>
      </c>
    </row>
    <row r="114" spans="1:5" ht="30" customHeight="1" x14ac:dyDescent="0.2">
      <c r="A114" s="322" t="s">
        <v>606</v>
      </c>
      <c r="B114" s="335"/>
      <c r="C114" s="336">
        <v>0</v>
      </c>
      <c r="D114" s="339" t="s">
        <v>797</v>
      </c>
      <c r="E114" s="338">
        <v>0</v>
      </c>
    </row>
    <row r="115" spans="1:5" ht="30" customHeight="1" x14ac:dyDescent="0.2">
      <c r="A115" s="322" t="s">
        <v>607</v>
      </c>
      <c r="B115" s="335"/>
      <c r="C115" s="336">
        <v>0</v>
      </c>
      <c r="D115" s="339" t="s">
        <v>797</v>
      </c>
      <c r="E115" s="338">
        <v>0</v>
      </c>
    </row>
    <row r="116" spans="1:5" ht="30" customHeight="1" x14ac:dyDescent="0.2">
      <c r="A116" s="322" t="s">
        <v>608</v>
      </c>
      <c r="B116" s="335"/>
      <c r="C116" s="336">
        <v>0</v>
      </c>
      <c r="D116" s="339" t="s">
        <v>797</v>
      </c>
      <c r="E116" s="338">
        <v>0</v>
      </c>
    </row>
    <row r="117" spans="1:5" ht="30" customHeight="1" x14ac:dyDescent="0.2">
      <c r="A117" s="322" t="s">
        <v>609</v>
      </c>
      <c r="B117" s="335"/>
      <c r="C117" s="336">
        <v>0</v>
      </c>
      <c r="D117" s="339" t="s">
        <v>797</v>
      </c>
      <c r="E117" s="338">
        <v>0</v>
      </c>
    </row>
    <row r="118" spans="1:5" ht="30" customHeight="1" x14ac:dyDescent="0.2">
      <c r="A118" s="322" t="s">
        <v>610</v>
      </c>
      <c r="B118" s="335"/>
      <c r="C118" s="336">
        <v>0</v>
      </c>
      <c r="D118" s="339" t="s">
        <v>797</v>
      </c>
      <c r="E118" s="338">
        <v>0</v>
      </c>
    </row>
    <row r="119" spans="1:5" ht="30" customHeight="1" x14ac:dyDescent="0.2">
      <c r="A119" s="322" t="s">
        <v>611</v>
      </c>
      <c r="B119" s="335"/>
      <c r="C119" s="336">
        <v>0</v>
      </c>
      <c r="D119" s="339" t="s">
        <v>797</v>
      </c>
      <c r="E119" s="338">
        <v>0</v>
      </c>
    </row>
    <row r="120" spans="1:5" ht="30" customHeight="1" x14ac:dyDescent="0.2">
      <c r="A120" s="322" t="s">
        <v>612</v>
      </c>
      <c r="B120" s="335"/>
      <c r="C120" s="336">
        <v>0</v>
      </c>
      <c r="D120" s="339" t="s">
        <v>797</v>
      </c>
      <c r="E120" s="338">
        <v>0</v>
      </c>
    </row>
    <row r="121" spans="1:5" ht="30" customHeight="1" x14ac:dyDescent="0.2">
      <c r="A121" s="322" t="s">
        <v>685</v>
      </c>
      <c r="B121" s="335"/>
      <c r="C121" s="336" t="s">
        <v>802</v>
      </c>
      <c r="D121" s="339" t="s">
        <v>797</v>
      </c>
      <c r="E121" s="338">
        <v>0</v>
      </c>
    </row>
    <row r="122" spans="1:5" ht="30" customHeight="1" x14ac:dyDescent="0.2">
      <c r="A122" s="322" t="s">
        <v>692</v>
      </c>
      <c r="B122" s="335"/>
      <c r="C122" s="336" t="s">
        <v>803</v>
      </c>
      <c r="D122" s="339" t="s">
        <v>797</v>
      </c>
      <c r="E122" s="338">
        <v>0</v>
      </c>
    </row>
    <row r="123" spans="1:5" ht="30" customHeight="1" x14ac:dyDescent="0.2">
      <c r="A123" s="322" t="s">
        <v>699</v>
      </c>
      <c r="B123" s="335"/>
      <c r="C123" s="336" t="s">
        <v>803</v>
      </c>
      <c r="D123" s="339" t="s">
        <v>797</v>
      </c>
      <c r="E123" s="338">
        <v>0</v>
      </c>
    </row>
    <row r="124" spans="1:5" ht="30" customHeight="1" x14ac:dyDescent="0.2">
      <c r="A124" s="322" t="s">
        <v>706</v>
      </c>
      <c r="B124" s="335"/>
      <c r="C124" s="336" t="s">
        <v>803</v>
      </c>
      <c r="D124" s="339" t="s">
        <v>797</v>
      </c>
      <c r="E124" s="338">
        <v>0</v>
      </c>
    </row>
    <row r="125" spans="1:5" ht="30" customHeight="1" x14ac:dyDescent="0.2">
      <c r="A125" s="322" t="s">
        <v>713</v>
      </c>
      <c r="B125" s="335"/>
      <c r="C125" s="336" t="s">
        <v>803</v>
      </c>
      <c r="D125" s="339" t="s">
        <v>797</v>
      </c>
      <c r="E125" s="338">
        <v>0</v>
      </c>
    </row>
    <row r="126" spans="1:5" ht="30" customHeight="1" x14ac:dyDescent="0.2">
      <c r="A126" s="322" t="s">
        <v>720</v>
      </c>
      <c r="B126" s="335"/>
      <c r="C126" s="336" t="s">
        <v>803</v>
      </c>
      <c r="D126" s="339" t="s">
        <v>797</v>
      </c>
      <c r="E126" s="338">
        <v>0</v>
      </c>
    </row>
    <row r="127" spans="1:5" ht="30" customHeight="1" x14ac:dyDescent="0.2">
      <c r="A127" s="322" t="s">
        <v>614</v>
      </c>
      <c r="B127" s="335"/>
      <c r="C127" s="336">
        <v>0</v>
      </c>
      <c r="D127" s="339" t="s">
        <v>797</v>
      </c>
      <c r="E127" s="338">
        <v>0</v>
      </c>
    </row>
    <row r="128" spans="1:5" ht="30" customHeight="1" x14ac:dyDescent="0.2">
      <c r="A128" s="322" t="s">
        <v>615</v>
      </c>
      <c r="B128" s="335"/>
      <c r="C128" s="336">
        <v>0</v>
      </c>
      <c r="D128" s="339" t="s">
        <v>797</v>
      </c>
      <c r="E128" s="338">
        <v>0</v>
      </c>
    </row>
    <row r="129" spans="1:5" ht="30" customHeight="1" x14ac:dyDescent="0.2">
      <c r="A129" s="322" t="s">
        <v>616</v>
      </c>
      <c r="B129" s="335"/>
      <c r="C129" s="336">
        <v>0</v>
      </c>
      <c r="D129" s="339" t="s">
        <v>797</v>
      </c>
      <c r="E129" s="338">
        <v>0</v>
      </c>
    </row>
    <row r="130" spans="1:5" ht="30" customHeight="1" x14ac:dyDescent="0.2">
      <c r="A130" s="322" t="s">
        <v>617</v>
      </c>
      <c r="B130" s="335"/>
      <c r="C130" s="336">
        <v>0</v>
      </c>
      <c r="D130" s="339" t="s">
        <v>797</v>
      </c>
      <c r="E130" s="338">
        <v>0</v>
      </c>
    </row>
    <row r="131" spans="1:5" ht="30" customHeight="1" x14ac:dyDescent="0.2">
      <c r="A131" s="322" t="s">
        <v>618</v>
      </c>
      <c r="B131" s="335"/>
      <c r="C131" s="336">
        <v>0</v>
      </c>
      <c r="D131" s="339" t="s">
        <v>797</v>
      </c>
      <c r="E131" s="338">
        <v>0</v>
      </c>
    </row>
    <row r="132" spans="1:5" ht="30" customHeight="1" x14ac:dyDescent="0.2">
      <c r="A132" s="322" t="s">
        <v>619</v>
      </c>
      <c r="B132" s="335"/>
      <c r="C132" s="336">
        <v>0</v>
      </c>
      <c r="D132" s="339" t="s">
        <v>797</v>
      </c>
      <c r="E132" s="338">
        <v>0</v>
      </c>
    </row>
    <row r="133" spans="1:5" ht="30" customHeight="1" x14ac:dyDescent="0.2">
      <c r="A133" s="322" t="s">
        <v>620</v>
      </c>
      <c r="B133" s="335"/>
      <c r="C133" s="336">
        <v>0</v>
      </c>
      <c r="D133" s="339" t="s">
        <v>797</v>
      </c>
      <c r="E133" s="338">
        <v>0</v>
      </c>
    </row>
    <row r="134" spans="1:5" ht="30" customHeight="1" x14ac:dyDescent="0.2">
      <c r="A134" s="322" t="s">
        <v>621</v>
      </c>
      <c r="B134" s="335"/>
      <c r="C134" s="336">
        <v>0</v>
      </c>
      <c r="D134" s="339" t="s">
        <v>797</v>
      </c>
      <c r="E134" s="338">
        <v>0</v>
      </c>
    </row>
    <row r="135" spans="1:5" ht="30" customHeight="1" x14ac:dyDescent="0.2">
      <c r="A135" s="322" t="s">
        <v>622</v>
      </c>
      <c r="B135" s="335"/>
      <c r="C135" s="336">
        <v>0</v>
      </c>
      <c r="D135" s="339" t="s">
        <v>797</v>
      </c>
      <c r="E135" s="338">
        <v>0</v>
      </c>
    </row>
    <row r="136" spans="1:5" ht="30" customHeight="1" x14ac:dyDescent="0.2">
      <c r="A136" s="322" t="s">
        <v>623</v>
      </c>
      <c r="B136" s="335"/>
      <c r="C136" s="336">
        <v>0</v>
      </c>
      <c r="D136" s="339" t="s">
        <v>797</v>
      </c>
      <c r="E136" s="338">
        <v>0</v>
      </c>
    </row>
    <row r="137" spans="1:5" ht="30" customHeight="1" x14ac:dyDescent="0.2">
      <c r="A137" s="322" t="s">
        <v>624</v>
      </c>
      <c r="B137" s="335"/>
      <c r="C137" s="336">
        <v>0</v>
      </c>
      <c r="D137" s="339" t="s">
        <v>797</v>
      </c>
      <c r="E137" s="338">
        <v>0</v>
      </c>
    </row>
    <row r="138" spans="1:5" ht="30" customHeight="1" x14ac:dyDescent="0.2">
      <c r="A138" s="322" t="s">
        <v>625</v>
      </c>
      <c r="B138" s="335"/>
      <c r="C138" s="336">
        <v>0</v>
      </c>
      <c r="D138" s="339" t="s">
        <v>797</v>
      </c>
      <c r="E138" s="338">
        <v>0</v>
      </c>
    </row>
    <row r="139" spans="1:5" ht="30" customHeight="1" x14ac:dyDescent="0.2">
      <c r="A139" s="322" t="s">
        <v>626</v>
      </c>
      <c r="B139" s="335"/>
      <c r="C139" s="336">
        <v>0</v>
      </c>
      <c r="D139" s="337">
        <v>0</v>
      </c>
      <c r="E139" s="337">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797</v>
      </c>
      <c r="E141" s="338">
        <v>0</v>
      </c>
    </row>
    <row r="142" spans="1:5" ht="30" customHeight="1" x14ac:dyDescent="0.2">
      <c r="A142" s="322" t="s">
        <v>686</v>
      </c>
      <c r="B142" s="335"/>
      <c r="C142" s="336" t="s">
        <v>802</v>
      </c>
      <c r="D142" s="339" t="s">
        <v>797</v>
      </c>
      <c r="E142" s="338">
        <v>0</v>
      </c>
    </row>
    <row r="143" spans="1:5" ht="30" customHeight="1" x14ac:dyDescent="0.2">
      <c r="A143" s="322" t="s">
        <v>693</v>
      </c>
      <c r="B143" s="335"/>
      <c r="C143" s="336" t="s">
        <v>803</v>
      </c>
      <c r="D143" s="339" t="s">
        <v>797</v>
      </c>
      <c r="E143" s="338">
        <v>0</v>
      </c>
    </row>
    <row r="144" spans="1:5" ht="30" customHeight="1" x14ac:dyDescent="0.2">
      <c r="A144" s="322" t="s">
        <v>700</v>
      </c>
      <c r="B144" s="335"/>
      <c r="C144" s="336" t="s">
        <v>803</v>
      </c>
      <c r="D144" s="339" t="s">
        <v>797</v>
      </c>
      <c r="E144" s="338">
        <v>0</v>
      </c>
    </row>
    <row r="145" spans="1:5" ht="30" customHeight="1" x14ac:dyDescent="0.2">
      <c r="A145" s="322" t="s">
        <v>707</v>
      </c>
      <c r="B145" s="335"/>
      <c r="C145" s="336" t="s">
        <v>803</v>
      </c>
      <c r="D145" s="339" t="s">
        <v>797</v>
      </c>
      <c r="E145" s="338">
        <v>0</v>
      </c>
    </row>
    <row r="146" spans="1:5" ht="30" customHeight="1" x14ac:dyDescent="0.2">
      <c r="A146" s="322" t="s">
        <v>714</v>
      </c>
      <c r="B146" s="335"/>
      <c r="C146" s="336" t="s">
        <v>803</v>
      </c>
      <c r="D146" s="339" t="s">
        <v>797</v>
      </c>
      <c r="E146" s="338">
        <v>0</v>
      </c>
    </row>
    <row r="147" spans="1:5" ht="30" customHeight="1" x14ac:dyDescent="0.2">
      <c r="A147" s="322" t="s">
        <v>721</v>
      </c>
      <c r="B147" s="335"/>
      <c r="C147" s="336" t="s">
        <v>803</v>
      </c>
      <c r="D147" s="339" t="s">
        <v>797</v>
      </c>
      <c r="E147" s="338">
        <v>0</v>
      </c>
    </row>
    <row r="148" spans="1:5" ht="30" customHeight="1" x14ac:dyDescent="0.2">
      <c r="A148" s="322" t="s">
        <v>630</v>
      </c>
      <c r="B148" s="335"/>
      <c r="C148" s="336">
        <v>0</v>
      </c>
      <c r="D148" s="339" t="s">
        <v>797</v>
      </c>
      <c r="E148" s="338">
        <v>0</v>
      </c>
    </row>
    <row r="149" spans="1:5" ht="30" customHeight="1" x14ac:dyDescent="0.2">
      <c r="A149" s="322" t="s">
        <v>631</v>
      </c>
      <c r="B149" s="335"/>
      <c r="C149" s="336">
        <v>0</v>
      </c>
      <c r="D149" s="339" t="s">
        <v>797</v>
      </c>
      <c r="E149" s="338">
        <v>0</v>
      </c>
    </row>
    <row r="150" spans="1:5" ht="30" customHeight="1" x14ac:dyDescent="0.2">
      <c r="A150" s="322" t="s">
        <v>632</v>
      </c>
      <c r="B150" s="335"/>
      <c r="C150" s="336">
        <v>0</v>
      </c>
      <c r="D150" s="339" t="s">
        <v>797</v>
      </c>
      <c r="E150" s="338">
        <v>0</v>
      </c>
    </row>
    <row r="151" spans="1:5" ht="30" customHeight="1" x14ac:dyDescent="0.2">
      <c r="A151" s="322" t="s">
        <v>633</v>
      </c>
      <c r="B151" s="335"/>
      <c r="C151" s="336">
        <v>0</v>
      </c>
      <c r="D151" s="339" t="s">
        <v>797</v>
      </c>
      <c r="E151" s="338">
        <v>0</v>
      </c>
    </row>
    <row r="152" spans="1:5" ht="30" customHeight="1" x14ac:dyDescent="0.2">
      <c r="A152" s="322" t="s">
        <v>634</v>
      </c>
      <c r="B152" s="335"/>
      <c r="C152" s="336">
        <v>0</v>
      </c>
      <c r="D152" s="339" t="s">
        <v>797</v>
      </c>
      <c r="E152" s="338">
        <v>0</v>
      </c>
    </row>
    <row r="153" spans="1:5" ht="30" customHeight="1" x14ac:dyDescent="0.2">
      <c r="A153" s="322" t="s">
        <v>635</v>
      </c>
      <c r="B153" s="335"/>
      <c r="C153" s="336">
        <v>0</v>
      </c>
      <c r="D153" s="339" t="s">
        <v>797</v>
      </c>
      <c r="E153" s="338">
        <v>0</v>
      </c>
    </row>
    <row r="154" spans="1:5" ht="30" customHeight="1" x14ac:dyDescent="0.2">
      <c r="A154" s="322" t="s">
        <v>636</v>
      </c>
      <c r="B154" s="335"/>
      <c r="C154" s="336">
        <v>0</v>
      </c>
      <c r="D154" s="339" t="s">
        <v>797</v>
      </c>
      <c r="E154" s="338">
        <v>0</v>
      </c>
    </row>
    <row r="155" spans="1:5" ht="30" customHeight="1" x14ac:dyDescent="0.2">
      <c r="A155" s="322" t="s">
        <v>637</v>
      </c>
      <c r="B155" s="335"/>
      <c r="C155" s="336">
        <v>0</v>
      </c>
      <c r="D155" s="339" t="s">
        <v>797</v>
      </c>
      <c r="E155" s="338">
        <v>0</v>
      </c>
    </row>
    <row r="156" spans="1:5" ht="30" customHeight="1" x14ac:dyDescent="0.2">
      <c r="A156" s="322" t="s">
        <v>638</v>
      </c>
      <c r="B156" s="335"/>
      <c r="C156" s="336">
        <v>0</v>
      </c>
      <c r="D156" s="339" t="s">
        <v>797</v>
      </c>
      <c r="E156" s="338">
        <v>0</v>
      </c>
    </row>
    <row r="157" spans="1:5" ht="30" customHeight="1" x14ac:dyDescent="0.2">
      <c r="A157" s="322" t="s">
        <v>639</v>
      </c>
      <c r="B157" s="335"/>
      <c r="C157" s="336">
        <v>0</v>
      </c>
      <c r="D157" s="339" t="s">
        <v>797</v>
      </c>
      <c r="E157" s="338">
        <v>0</v>
      </c>
    </row>
    <row r="158" spans="1:5" ht="30" customHeight="1" x14ac:dyDescent="0.2">
      <c r="A158" s="322" t="s">
        <v>640</v>
      </c>
      <c r="B158" s="335"/>
      <c r="C158" s="336">
        <v>0</v>
      </c>
      <c r="D158" s="339" t="s">
        <v>797</v>
      </c>
      <c r="E158" s="338">
        <v>0</v>
      </c>
    </row>
    <row r="159" spans="1:5" ht="30" customHeight="1" x14ac:dyDescent="0.2">
      <c r="A159" s="322" t="s">
        <v>641</v>
      </c>
      <c r="B159" s="335"/>
      <c r="C159" s="336">
        <v>0</v>
      </c>
      <c r="D159" s="339" t="s">
        <v>797</v>
      </c>
      <c r="E159" s="338">
        <v>0</v>
      </c>
    </row>
    <row r="160" spans="1:5" ht="30" customHeight="1" x14ac:dyDescent="0.2">
      <c r="A160" s="322" t="s">
        <v>642</v>
      </c>
      <c r="B160" s="335"/>
      <c r="C160" s="336">
        <v>0</v>
      </c>
      <c r="D160" s="339" t="s">
        <v>797</v>
      </c>
      <c r="E160" s="338">
        <v>0</v>
      </c>
    </row>
    <row r="161" spans="1:5" ht="30" customHeight="1" x14ac:dyDescent="0.2">
      <c r="A161" s="322" t="s">
        <v>643</v>
      </c>
      <c r="B161" s="335"/>
      <c r="C161" s="336">
        <v>0</v>
      </c>
      <c r="D161" s="339" t="s">
        <v>797</v>
      </c>
      <c r="E161" s="338">
        <v>0</v>
      </c>
    </row>
    <row r="162" spans="1:5" ht="30" customHeight="1" x14ac:dyDescent="0.2">
      <c r="A162" s="322" t="s">
        <v>644</v>
      </c>
      <c r="B162" s="335" t="s">
        <v>797</v>
      </c>
      <c r="C162" s="336">
        <v>0</v>
      </c>
      <c r="D162" s="339" t="s">
        <v>797</v>
      </c>
      <c r="E162" s="338">
        <v>0</v>
      </c>
    </row>
    <row r="163" spans="1:5" x14ac:dyDescent="0.2">
      <c r="A163" s="1" t="s">
        <v>722</v>
      </c>
    </row>
    <row r="164" spans="1:5" x14ac:dyDescent="0.2">
      <c r="A164" s="1" t="s">
        <v>723</v>
      </c>
    </row>
  </sheetData>
  <mergeCells count="2">
    <mergeCell ref="B1:C1"/>
    <mergeCell ref="A2:E2"/>
  </mergeCells>
  <hyperlinks>
    <hyperlink ref="A1" location="Overview!A1" display="Back to Overview" xr:uid="{CA5F8EFD-F584-490B-A986-91D7301872C9}"/>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607A-B0CA-4748-A2FC-76FFDD6090E7}">
  <dimension ref="A1:F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NPG Northeast Area (GSP Group_F)"</f>
        <v>Leep Electricity Networks Limited - Effective from 1 April 2027 - Final Supplier of Last Resort and Eligible Bad Debt Pass-Through Costs in NPG Northeast Area (GSP Group_F)</v>
      </c>
      <c r="B2" s="526"/>
      <c r="C2" s="526"/>
      <c r="D2" s="526"/>
      <c r="E2" s="527"/>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802</v>
      </c>
      <c r="D5" s="328">
        <v>0</v>
      </c>
      <c r="E5" s="328" t="s">
        <v>797</v>
      </c>
    </row>
    <row r="6" spans="1:6" ht="27" customHeight="1" x14ac:dyDescent="0.2">
      <c r="A6" s="10" t="s">
        <v>675</v>
      </c>
      <c r="B6" s="27"/>
      <c r="C6" s="311" t="s">
        <v>803</v>
      </c>
      <c r="D6" s="329">
        <v>0</v>
      </c>
      <c r="E6" s="328" t="s">
        <v>797</v>
      </c>
    </row>
    <row r="7" spans="1:6" ht="27" customHeight="1" x14ac:dyDescent="0.2">
      <c r="A7" s="10" t="s">
        <v>676</v>
      </c>
      <c r="B7" s="27"/>
      <c r="C7" s="311" t="s">
        <v>803</v>
      </c>
      <c r="D7" s="329">
        <v>0</v>
      </c>
      <c r="E7" s="328" t="s">
        <v>797</v>
      </c>
    </row>
    <row r="8" spans="1:6" ht="27" customHeight="1" x14ac:dyDescent="0.2">
      <c r="A8" s="10" t="s">
        <v>677</v>
      </c>
      <c r="B8" s="27"/>
      <c r="C8" s="311" t="s">
        <v>803</v>
      </c>
      <c r="D8" s="329">
        <v>0</v>
      </c>
      <c r="E8" s="328" t="s">
        <v>797</v>
      </c>
    </row>
    <row r="9" spans="1:6" ht="27" customHeight="1" x14ac:dyDescent="0.2">
      <c r="A9" s="10" t="s">
        <v>678</v>
      </c>
      <c r="B9" s="27"/>
      <c r="C9" s="311" t="s">
        <v>803</v>
      </c>
      <c r="D9" s="329">
        <v>0</v>
      </c>
      <c r="E9" s="328" t="s">
        <v>797</v>
      </c>
    </row>
    <row r="10" spans="1:6" ht="27" customHeight="1" x14ac:dyDescent="0.2">
      <c r="A10" s="10" t="s">
        <v>679</v>
      </c>
      <c r="B10" s="27"/>
      <c r="C10" s="311" t="s">
        <v>803</v>
      </c>
      <c r="D10" s="329">
        <v>0</v>
      </c>
      <c r="E10" s="328" t="s">
        <v>797</v>
      </c>
    </row>
    <row r="11" spans="1:6" ht="27" customHeight="1" x14ac:dyDescent="0.2">
      <c r="A11" s="322" t="s">
        <v>496</v>
      </c>
      <c r="B11" s="27"/>
      <c r="C11" s="311">
        <v>0</v>
      </c>
      <c r="D11" s="329">
        <v>0</v>
      </c>
      <c r="E11" s="328" t="s">
        <v>797</v>
      </c>
    </row>
    <row r="12" spans="1:6" ht="27" customHeight="1" x14ac:dyDescent="0.2">
      <c r="A12" s="322" t="s">
        <v>497</v>
      </c>
      <c r="B12" s="27"/>
      <c r="C12" s="311">
        <v>0</v>
      </c>
      <c r="D12" s="329">
        <v>0</v>
      </c>
      <c r="E12" s="328" t="s">
        <v>797</v>
      </c>
    </row>
    <row r="13" spans="1:6" ht="27.75" customHeight="1" x14ac:dyDescent="0.2">
      <c r="A13" s="322" t="s">
        <v>498</v>
      </c>
      <c r="B13" s="27"/>
      <c r="C13" s="311">
        <v>0</v>
      </c>
      <c r="D13" s="329">
        <v>0</v>
      </c>
      <c r="E13" s="328" t="s">
        <v>797</v>
      </c>
    </row>
    <row r="14" spans="1:6" ht="27.75" customHeight="1" x14ac:dyDescent="0.2">
      <c r="A14" s="322" t="s">
        <v>499</v>
      </c>
      <c r="B14" s="27"/>
      <c r="C14" s="311">
        <v>0</v>
      </c>
      <c r="D14" s="329">
        <v>0</v>
      </c>
      <c r="E14" s="328" t="s">
        <v>797</v>
      </c>
    </row>
    <row r="15" spans="1:6" ht="27.75" customHeight="1" x14ac:dyDescent="0.2">
      <c r="A15" s="323" t="s">
        <v>500</v>
      </c>
      <c r="B15" s="27"/>
      <c r="C15" s="311">
        <v>0</v>
      </c>
      <c r="D15" s="329">
        <v>0</v>
      </c>
      <c r="E15" s="328" t="s">
        <v>797</v>
      </c>
    </row>
    <row r="16" spans="1:6" ht="27.75" customHeight="1" x14ac:dyDescent="0.2">
      <c r="A16" s="323" t="s">
        <v>501</v>
      </c>
      <c r="B16" s="27"/>
      <c r="C16" s="311">
        <v>0</v>
      </c>
      <c r="D16" s="329">
        <v>0</v>
      </c>
      <c r="E16" s="328" t="s">
        <v>797</v>
      </c>
    </row>
    <row r="17" spans="1:5" ht="27.75" customHeight="1" x14ac:dyDescent="0.2">
      <c r="A17" s="323" t="s">
        <v>502</v>
      </c>
      <c r="B17" s="27"/>
      <c r="C17" s="311">
        <v>0</v>
      </c>
      <c r="D17" s="329">
        <v>0</v>
      </c>
      <c r="E17" s="328" t="s">
        <v>797</v>
      </c>
    </row>
    <row r="18" spans="1:5" ht="27.75" customHeight="1" x14ac:dyDescent="0.2">
      <c r="A18" s="323" t="s">
        <v>503</v>
      </c>
      <c r="B18" s="27"/>
      <c r="C18" s="311">
        <v>0</v>
      </c>
      <c r="D18" s="329">
        <v>0</v>
      </c>
      <c r="E18" s="328" t="s">
        <v>797</v>
      </c>
    </row>
    <row r="19" spans="1:5" ht="27.75" customHeight="1" x14ac:dyDescent="0.2">
      <c r="A19" s="323" t="s">
        <v>504</v>
      </c>
      <c r="B19" s="27"/>
      <c r="C19" s="311">
        <v>0</v>
      </c>
      <c r="D19" s="329">
        <v>0</v>
      </c>
      <c r="E19" s="328" t="s">
        <v>797</v>
      </c>
    </row>
    <row r="20" spans="1:5" ht="27.75" customHeight="1" x14ac:dyDescent="0.2">
      <c r="A20" s="323" t="s">
        <v>505</v>
      </c>
      <c r="B20" s="27"/>
      <c r="C20" s="311">
        <v>0</v>
      </c>
      <c r="D20" s="329">
        <v>0</v>
      </c>
      <c r="E20" s="328" t="s">
        <v>797</v>
      </c>
    </row>
    <row r="21" spans="1:5" ht="27.75" customHeight="1" x14ac:dyDescent="0.2">
      <c r="A21" s="323" t="s">
        <v>506</v>
      </c>
      <c r="B21" s="27"/>
      <c r="C21" s="311">
        <v>0</v>
      </c>
      <c r="D21" s="329">
        <v>0</v>
      </c>
      <c r="E21" s="328" t="s">
        <v>797</v>
      </c>
    </row>
    <row r="22" spans="1:5" ht="27.75" customHeight="1" x14ac:dyDescent="0.2">
      <c r="A22" s="323" t="s">
        <v>507</v>
      </c>
      <c r="B22" s="27"/>
      <c r="C22" s="311">
        <v>0</v>
      </c>
      <c r="D22" s="329">
        <v>0</v>
      </c>
      <c r="E22" s="328" t="s">
        <v>797</v>
      </c>
    </row>
    <row r="23" spans="1:5" ht="27.75" customHeight="1" x14ac:dyDescent="0.2">
      <c r="A23" s="322" t="s">
        <v>508</v>
      </c>
      <c r="B23" s="27"/>
      <c r="C23" s="311">
        <v>0</v>
      </c>
      <c r="D23" s="329">
        <v>0</v>
      </c>
      <c r="E23" s="328" t="s">
        <v>797</v>
      </c>
    </row>
    <row r="24" spans="1:5" ht="27.75" customHeight="1" x14ac:dyDescent="0.2">
      <c r="A24" s="322" t="s">
        <v>509</v>
      </c>
      <c r="B24" s="27"/>
      <c r="C24" s="311">
        <v>0</v>
      </c>
      <c r="D24" s="329">
        <v>0</v>
      </c>
      <c r="E24" s="328" t="s">
        <v>797</v>
      </c>
    </row>
    <row r="25" spans="1:5" ht="27.75" customHeight="1" x14ac:dyDescent="0.2">
      <c r="A25" s="322" t="s">
        <v>510</v>
      </c>
      <c r="B25" s="27"/>
      <c r="C25" s="311">
        <v>0</v>
      </c>
      <c r="D25" s="328">
        <v>0</v>
      </c>
      <c r="E25" s="328" t="s">
        <v>797</v>
      </c>
    </row>
    <row r="26" spans="1:5" ht="27.75" customHeight="1" x14ac:dyDescent="0.2">
      <c r="A26" s="322" t="s">
        <v>680</v>
      </c>
      <c r="B26" s="27" t="s">
        <v>1484</v>
      </c>
      <c r="C26" s="311" t="s">
        <v>802</v>
      </c>
      <c r="D26" s="329">
        <v>0</v>
      </c>
      <c r="E26" s="328" t="s">
        <v>797</v>
      </c>
    </row>
    <row r="27" spans="1:5" ht="27.75" customHeight="1" x14ac:dyDescent="0.2">
      <c r="A27" s="322" t="s">
        <v>687</v>
      </c>
      <c r="B27" s="27" t="s">
        <v>1485</v>
      </c>
      <c r="C27" s="311" t="s">
        <v>803</v>
      </c>
      <c r="D27" s="329">
        <v>0</v>
      </c>
      <c r="E27" s="328" t="s">
        <v>797</v>
      </c>
    </row>
    <row r="28" spans="1:5" ht="27.75" customHeight="1" x14ac:dyDescent="0.2">
      <c r="A28" s="322" t="s">
        <v>694</v>
      </c>
      <c r="B28" s="27" t="s">
        <v>1486</v>
      </c>
      <c r="C28" s="311" t="s">
        <v>803</v>
      </c>
      <c r="D28" s="329">
        <v>0</v>
      </c>
      <c r="E28" s="328" t="s">
        <v>797</v>
      </c>
    </row>
    <row r="29" spans="1:5" ht="27.75" customHeight="1" x14ac:dyDescent="0.2">
      <c r="A29" s="322" t="s">
        <v>701</v>
      </c>
      <c r="B29" s="27" t="s">
        <v>1487</v>
      </c>
      <c r="C29" s="311" t="s">
        <v>803</v>
      </c>
      <c r="D29" s="329">
        <v>0</v>
      </c>
      <c r="E29" s="328" t="s">
        <v>797</v>
      </c>
    </row>
    <row r="30" spans="1:5" ht="27.75" customHeight="1" x14ac:dyDescent="0.2">
      <c r="A30" s="322" t="s">
        <v>708</v>
      </c>
      <c r="B30" s="27" t="s">
        <v>1488</v>
      </c>
      <c r="C30" s="311" t="s">
        <v>803</v>
      </c>
      <c r="D30" s="329">
        <v>0</v>
      </c>
      <c r="E30" s="328" t="s">
        <v>797</v>
      </c>
    </row>
    <row r="31" spans="1:5" ht="27.75" customHeight="1" x14ac:dyDescent="0.2">
      <c r="A31" s="322" t="s">
        <v>715</v>
      </c>
      <c r="B31" s="27" t="s">
        <v>1489</v>
      </c>
      <c r="C31" s="311" t="s">
        <v>803</v>
      </c>
      <c r="D31" s="329">
        <v>0</v>
      </c>
      <c r="E31" s="328" t="s">
        <v>797</v>
      </c>
    </row>
    <row r="32" spans="1:5" ht="27.75" customHeight="1" x14ac:dyDescent="0.2">
      <c r="A32" s="322" t="s">
        <v>544</v>
      </c>
      <c r="B32" s="27" t="s">
        <v>797</v>
      </c>
      <c r="C32" s="311">
        <v>0</v>
      </c>
      <c r="D32" s="329">
        <v>0</v>
      </c>
      <c r="E32" s="328" t="s">
        <v>797</v>
      </c>
    </row>
    <row r="33" spans="1:5" ht="27.75" customHeight="1" x14ac:dyDescent="0.2">
      <c r="A33" s="322" t="s">
        <v>545</v>
      </c>
      <c r="B33" s="27" t="s">
        <v>1490</v>
      </c>
      <c r="C33" s="311">
        <v>0</v>
      </c>
      <c r="D33" s="329">
        <v>0</v>
      </c>
      <c r="E33" s="328" t="s">
        <v>797</v>
      </c>
    </row>
    <row r="34" spans="1:5" ht="27.75" customHeight="1" x14ac:dyDescent="0.2">
      <c r="A34" s="322" t="s">
        <v>546</v>
      </c>
      <c r="B34" s="27" t="s">
        <v>1491</v>
      </c>
      <c r="C34" s="311">
        <v>0</v>
      </c>
      <c r="D34" s="329">
        <v>0</v>
      </c>
      <c r="E34" s="328" t="s">
        <v>797</v>
      </c>
    </row>
    <row r="35" spans="1:5" ht="27.75" customHeight="1" x14ac:dyDescent="0.2">
      <c r="A35" s="322" t="s">
        <v>547</v>
      </c>
      <c r="B35" s="27" t="s">
        <v>1492</v>
      </c>
      <c r="C35" s="311">
        <v>0</v>
      </c>
      <c r="D35" s="329">
        <v>0</v>
      </c>
      <c r="E35" s="328" t="s">
        <v>797</v>
      </c>
    </row>
    <row r="36" spans="1:5" ht="27.75" customHeight="1" x14ac:dyDescent="0.2">
      <c r="A36" s="322" t="s">
        <v>548</v>
      </c>
      <c r="B36" s="27" t="s">
        <v>1493</v>
      </c>
      <c r="C36" s="311">
        <v>0</v>
      </c>
      <c r="D36" s="328">
        <v>0</v>
      </c>
      <c r="E36" s="328" t="s">
        <v>797</v>
      </c>
    </row>
    <row r="37" spans="1:5" ht="27.75" customHeight="1" x14ac:dyDescent="0.2">
      <c r="A37" s="323" t="s">
        <v>681</v>
      </c>
      <c r="B37" s="27" t="e">
        <v>#N/A</v>
      </c>
      <c r="C37" s="311" t="s">
        <v>802</v>
      </c>
      <c r="D37" s="329">
        <v>0</v>
      </c>
      <c r="E37" s="328" t="s">
        <v>797</v>
      </c>
    </row>
    <row r="38" spans="1:5" ht="27.75" customHeight="1" x14ac:dyDescent="0.2">
      <c r="A38" s="322" t="s">
        <v>688</v>
      </c>
      <c r="B38" s="27" t="s">
        <v>1494</v>
      </c>
      <c r="C38" s="311" t="s">
        <v>803</v>
      </c>
      <c r="D38" s="329">
        <v>0</v>
      </c>
      <c r="E38" s="328" t="s">
        <v>797</v>
      </c>
    </row>
    <row r="39" spans="1:5" ht="27.75" customHeight="1" x14ac:dyDescent="0.2">
      <c r="A39" s="322" t="s">
        <v>695</v>
      </c>
      <c r="B39" s="27" t="s">
        <v>1495</v>
      </c>
      <c r="C39" s="311" t="s">
        <v>803</v>
      </c>
      <c r="D39" s="329">
        <v>0</v>
      </c>
      <c r="E39" s="328" t="s">
        <v>797</v>
      </c>
    </row>
    <row r="40" spans="1:5" ht="27.75" customHeight="1" x14ac:dyDescent="0.2">
      <c r="A40" s="322" t="s">
        <v>702</v>
      </c>
      <c r="B40" s="27" t="s">
        <v>1496</v>
      </c>
      <c r="C40" s="311" t="s">
        <v>803</v>
      </c>
      <c r="D40" s="329">
        <v>0</v>
      </c>
      <c r="E40" s="328" t="s">
        <v>797</v>
      </c>
    </row>
    <row r="41" spans="1:5" ht="27.75" customHeight="1" x14ac:dyDescent="0.2">
      <c r="A41" s="322" t="s">
        <v>709</v>
      </c>
      <c r="B41" s="27" t="s">
        <v>1497</v>
      </c>
      <c r="C41" s="311" t="s">
        <v>803</v>
      </c>
      <c r="D41" s="329">
        <v>0</v>
      </c>
      <c r="E41" s="328" t="s">
        <v>797</v>
      </c>
    </row>
    <row r="42" spans="1:5" ht="27.75" customHeight="1" x14ac:dyDescent="0.2">
      <c r="A42" s="322" t="s">
        <v>716</v>
      </c>
      <c r="B42" s="27" t="s">
        <v>1498</v>
      </c>
      <c r="C42" s="311" t="s">
        <v>803</v>
      </c>
      <c r="D42" s="329">
        <v>0</v>
      </c>
      <c r="E42" s="328" t="s">
        <v>797</v>
      </c>
    </row>
    <row r="43" spans="1:5" ht="27.75" customHeight="1" x14ac:dyDescent="0.2">
      <c r="A43" s="322" t="s">
        <v>550</v>
      </c>
      <c r="B43" s="27" t="s">
        <v>797</v>
      </c>
      <c r="C43" s="311">
        <v>0</v>
      </c>
      <c r="D43" s="329">
        <v>0</v>
      </c>
      <c r="E43" s="328" t="s">
        <v>797</v>
      </c>
    </row>
    <row r="44" spans="1:5" ht="27.75" customHeight="1" x14ac:dyDescent="0.2">
      <c r="A44" s="322" t="s">
        <v>551</v>
      </c>
      <c r="B44" s="27" t="s">
        <v>1499</v>
      </c>
      <c r="C44" s="311">
        <v>0</v>
      </c>
      <c r="D44" s="329">
        <v>0</v>
      </c>
      <c r="E44" s="328" t="s">
        <v>797</v>
      </c>
    </row>
    <row r="45" spans="1:5" ht="27.75" customHeight="1" x14ac:dyDescent="0.2">
      <c r="A45" s="322" t="s">
        <v>552</v>
      </c>
      <c r="B45" s="27" t="s">
        <v>1500</v>
      </c>
      <c r="C45" s="311">
        <v>0</v>
      </c>
      <c r="D45" s="329">
        <v>0</v>
      </c>
      <c r="E45" s="328" t="s">
        <v>797</v>
      </c>
    </row>
    <row r="46" spans="1:5" ht="27.75" customHeight="1" x14ac:dyDescent="0.2">
      <c r="A46" s="322" t="s">
        <v>553</v>
      </c>
      <c r="B46" s="27" t="s">
        <v>1501</v>
      </c>
      <c r="C46" s="311">
        <v>0</v>
      </c>
      <c r="D46" s="329">
        <v>0</v>
      </c>
      <c r="E46" s="328" t="s">
        <v>797</v>
      </c>
    </row>
    <row r="47" spans="1:5" ht="27.75" customHeight="1" x14ac:dyDescent="0.2">
      <c r="A47" s="322" t="s">
        <v>554</v>
      </c>
      <c r="B47" s="27" t="s">
        <v>1502</v>
      </c>
      <c r="C47" s="311">
        <v>0</v>
      </c>
      <c r="D47" s="329">
        <v>0</v>
      </c>
      <c r="E47" s="328" t="s">
        <v>797</v>
      </c>
    </row>
    <row r="48" spans="1:5" ht="27.75" customHeight="1" x14ac:dyDescent="0.2">
      <c r="A48" s="322" t="s">
        <v>555</v>
      </c>
      <c r="B48" s="27" t="s">
        <v>797</v>
      </c>
      <c r="C48" s="311">
        <v>0</v>
      </c>
      <c r="D48" s="329">
        <v>0</v>
      </c>
      <c r="E48" s="328" t="s">
        <v>797</v>
      </c>
    </row>
    <row r="49" spans="1:5" ht="27.75" customHeight="1" x14ac:dyDescent="0.2">
      <c r="A49" s="322" t="s">
        <v>556</v>
      </c>
      <c r="B49" s="27" t="s">
        <v>1503</v>
      </c>
      <c r="C49" s="311">
        <v>0</v>
      </c>
      <c r="D49" s="329">
        <v>0</v>
      </c>
      <c r="E49" s="328" t="s">
        <v>797</v>
      </c>
    </row>
    <row r="50" spans="1:5" ht="27.75" customHeight="1" x14ac:dyDescent="0.2">
      <c r="A50" s="322" t="s">
        <v>557</v>
      </c>
      <c r="B50" s="27" t="s">
        <v>1504</v>
      </c>
      <c r="C50" s="311">
        <v>0</v>
      </c>
      <c r="D50" s="329">
        <v>0</v>
      </c>
      <c r="E50" s="328" t="s">
        <v>797</v>
      </c>
    </row>
    <row r="51" spans="1:5" ht="27.75" customHeight="1" x14ac:dyDescent="0.2">
      <c r="A51" s="322" t="s">
        <v>558</v>
      </c>
      <c r="B51" s="27" t="s">
        <v>1505</v>
      </c>
      <c r="C51" s="311">
        <v>0</v>
      </c>
      <c r="D51" s="329">
        <v>0</v>
      </c>
      <c r="E51" s="328" t="s">
        <v>797</v>
      </c>
    </row>
    <row r="52" spans="1:5" ht="27.75" customHeight="1" x14ac:dyDescent="0.2">
      <c r="A52" s="322" t="s">
        <v>559</v>
      </c>
      <c r="B52" s="27" t="s">
        <v>1506</v>
      </c>
      <c r="C52" s="311">
        <v>0</v>
      </c>
      <c r="D52" s="329">
        <v>0</v>
      </c>
      <c r="E52" s="328" t="s">
        <v>797</v>
      </c>
    </row>
    <row r="53" spans="1:5" ht="27.75" customHeight="1" x14ac:dyDescent="0.2">
      <c r="A53" s="322" t="s">
        <v>560</v>
      </c>
      <c r="B53" s="27" t="s">
        <v>797</v>
      </c>
      <c r="C53" s="311">
        <v>0</v>
      </c>
      <c r="D53" s="329">
        <v>0</v>
      </c>
      <c r="E53" s="328" t="s">
        <v>797</v>
      </c>
    </row>
    <row r="54" spans="1:5" ht="27.75" customHeight="1" x14ac:dyDescent="0.2">
      <c r="A54" s="322" t="s">
        <v>561</v>
      </c>
      <c r="B54" s="27" t="s">
        <v>1507</v>
      </c>
      <c r="C54" s="311">
        <v>0</v>
      </c>
      <c r="D54" s="329">
        <v>0</v>
      </c>
      <c r="E54" s="328" t="s">
        <v>797</v>
      </c>
    </row>
    <row r="55" spans="1:5" ht="27.75" customHeight="1" x14ac:dyDescent="0.2">
      <c r="A55" s="322" t="s">
        <v>562</v>
      </c>
      <c r="B55" s="27" t="s">
        <v>1508</v>
      </c>
      <c r="C55" s="311">
        <v>0</v>
      </c>
      <c r="D55" s="329">
        <v>0</v>
      </c>
      <c r="E55" s="328" t="s">
        <v>797</v>
      </c>
    </row>
    <row r="56" spans="1:5" ht="27.75" customHeight="1" x14ac:dyDescent="0.2">
      <c r="A56" s="322" t="s">
        <v>563</v>
      </c>
      <c r="B56" s="27" t="s">
        <v>1509</v>
      </c>
      <c r="C56" s="311">
        <v>0</v>
      </c>
      <c r="D56" s="329">
        <v>0</v>
      </c>
      <c r="E56" s="328" t="s">
        <v>797</v>
      </c>
    </row>
    <row r="57" spans="1:5" ht="27.75" customHeight="1" x14ac:dyDescent="0.2">
      <c r="A57" s="322" t="s">
        <v>564</v>
      </c>
      <c r="B57" s="27" t="s">
        <v>1510</v>
      </c>
      <c r="C57" s="311">
        <v>0</v>
      </c>
      <c r="D57" s="328">
        <v>0</v>
      </c>
      <c r="E57" s="328" t="s">
        <v>797</v>
      </c>
    </row>
    <row r="58" spans="1:5" ht="27.75" customHeight="1" x14ac:dyDescent="0.2">
      <c r="A58" s="322" t="s">
        <v>682</v>
      </c>
      <c r="B58" s="27" t="e">
        <v>#N/A</v>
      </c>
      <c r="C58" s="311" t="s">
        <v>802</v>
      </c>
      <c r="D58" s="329">
        <v>0</v>
      </c>
      <c r="E58" s="328" t="s">
        <v>797</v>
      </c>
    </row>
    <row r="59" spans="1:5" ht="27.75" customHeight="1" x14ac:dyDescent="0.2">
      <c r="A59" s="322" t="s">
        <v>689</v>
      </c>
      <c r="B59" s="27" t="s">
        <v>1511</v>
      </c>
      <c r="C59" s="311" t="s">
        <v>803</v>
      </c>
      <c r="D59" s="329">
        <v>0</v>
      </c>
      <c r="E59" s="328" t="s">
        <v>797</v>
      </c>
    </row>
    <row r="60" spans="1:5" ht="27.75" customHeight="1" x14ac:dyDescent="0.2">
      <c r="A60" s="322" t="s">
        <v>696</v>
      </c>
      <c r="B60" s="27" t="s">
        <v>1512</v>
      </c>
      <c r="C60" s="311" t="s">
        <v>803</v>
      </c>
      <c r="D60" s="329">
        <v>0</v>
      </c>
      <c r="E60" s="328" t="s">
        <v>797</v>
      </c>
    </row>
    <row r="61" spans="1:5" ht="27.75" customHeight="1" x14ac:dyDescent="0.2">
      <c r="A61" s="322" t="s">
        <v>703</v>
      </c>
      <c r="B61" s="27" t="s">
        <v>1513</v>
      </c>
      <c r="C61" s="311" t="s">
        <v>803</v>
      </c>
      <c r="D61" s="329">
        <v>0</v>
      </c>
      <c r="E61" s="328" t="s">
        <v>797</v>
      </c>
    </row>
    <row r="62" spans="1:5" ht="27.75" customHeight="1" x14ac:dyDescent="0.2">
      <c r="A62" s="322" t="s">
        <v>710</v>
      </c>
      <c r="B62" s="27" t="s">
        <v>1514</v>
      </c>
      <c r="C62" s="311" t="s">
        <v>803</v>
      </c>
      <c r="D62" s="329">
        <v>0</v>
      </c>
      <c r="E62" s="328" t="s">
        <v>797</v>
      </c>
    </row>
    <row r="63" spans="1:5" ht="27.75" customHeight="1" x14ac:dyDescent="0.2">
      <c r="A63" s="322" t="s">
        <v>717</v>
      </c>
      <c r="B63" s="27" t="s">
        <v>1515</v>
      </c>
      <c r="C63" s="311" t="s">
        <v>803</v>
      </c>
      <c r="D63" s="329">
        <v>0</v>
      </c>
      <c r="E63" s="328" t="s">
        <v>797</v>
      </c>
    </row>
    <row r="64" spans="1:5" ht="27.75" customHeight="1" x14ac:dyDescent="0.2">
      <c r="A64" s="322" t="s">
        <v>566</v>
      </c>
      <c r="B64" s="27" t="s">
        <v>797</v>
      </c>
      <c r="C64" s="311">
        <v>0</v>
      </c>
      <c r="D64" s="329">
        <v>0</v>
      </c>
      <c r="E64" s="328" t="s">
        <v>797</v>
      </c>
    </row>
    <row r="65" spans="1:5" ht="27.75" customHeight="1" x14ac:dyDescent="0.2">
      <c r="A65" s="322" t="s">
        <v>567</v>
      </c>
      <c r="B65" s="27" t="s">
        <v>1516</v>
      </c>
      <c r="C65" s="311">
        <v>0</v>
      </c>
      <c r="D65" s="329">
        <v>0</v>
      </c>
      <c r="E65" s="328" t="s">
        <v>797</v>
      </c>
    </row>
    <row r="66" spans="1:5" ht="27.75" customHeight="1" x14ac:dyDescent="0.2">
      <c r="A66" s="322" t="s">
        <v>568</v>
      </c>
      <c r="B66" s="27" t="s">
        <v>1517</v>
      </c>
      <c r="C66" s="311">
        <v>0</v>
      </c>
      <c r="D66" s="329">
        <v>0</v>
      </c>
      <c r="E66" s="328" t="s">
        <v>797</v>
      </c>
    </row>
    <row r="67" spans="1:5" ht="27.75" customHeight="1" x14ac:dyDescent="0.2">
      <c r="A67" s="322" t="s">
        <v>569</v>
      </c>
      <c r="B67" s="27" t="s">
        <v>1518</v>
      </c>
      <c r="C67" s="311">
        <v>0</v>
      </c>
      <c r="D67" s="329">
        <v>0</v>
      </c>
      <c r="E67" s="328" t="s">
        <v>797</v>
      </c>
    </row>
    <row r="68" spans="1:5" ht="27.75" customHeight="1" x14ac:dyDescent="0.2">
      <c r="A68" s="322" t="s">
        <v>570</v>
      </c>
      <c r="B68" s="27" t="s">
        <v>1519</v>
      </c>
      <c r="C68" s="311">
        <v>0</v>
      </c>
      <c r="D68" s="329">
        <v>0</v>
      </c>
      <c r="E68" s="328" t="s">
        <v>797</v>
      </c>
    </row>
    <row r="69" spans="1:5" ht="27.75" customHeight="1" x14ac:dyDescent="0.2">
      <c r="A69" s="322" t="s">
        <v>571</v>
      </c>
      <c r="B69" s="27" t="s">
        <v>797</v>
      </c>
      <c r="C69" s="311">
        <v>0</v>
      </c>
      <c r="D69" s="329">
        <v>0</v>
      </c>
      <c r="E69" s="328" t="s">
        <v>797</v>
      </c>
    </row>
    <row r="70" spans="1:5" ht="27.75" customHeight="1" x14ac:dyDescent="0.2">
      <c r="A70" s="322" t="s">
        <v>572</v>
      </c>
      <c r="B70" s="27" t="s">
        <v>1520</v>
      </c>
      <c r="C70" s="311">
        <v>0</v>
      </c>
      <c r="D70" s="329">
        <v>0</v>
      </c>
      <c r="E70" s="328" t="s">
        <v>797</v>
      </c>
    </row>
    <row r="71" spans="1:5" ht="27.75" customHeight="1" x14ac:dyDescent="0.2">
      <c r="A71" s="322" t="s">
        <v>573</v>
      </c>
      <c r="B71" s="27" t="s">
        <v>1521</v>
      </c>
      <c r="C71" s="311">
        <v>0</v>
      </c>
      <c r="D71" s="329">
        <v>0</v>
      </c>
      <c r="E71" s="328" t="s">
        <v>797</v>
      </c>
    </row>
    <row r="72" spans="1:5" ht="27.75" customHeight="1" x14ac:dyDescent="0.2">
      <c r="A72" s="322" t="s">
        <v>574</v>
      </c>
      <c r="B72" s="27" t="s">
        <v>1522</v>
      </c>
      <c r="C72" s="311">
        <v>0</v>
      </c>
      <c r="D72" s="329">
        <v>0</v>
      </c>
      <c r="E72" s="328" t="s">
        <v>797</v>
      </c>
    </row>
    <row r="73" spans="1:5" ht="27.75" customHeight="1" x14ac:dyDescent="0.2">
      <c r="A73" s="322" t="s">
        <v>575</v>
      </c>
      <c r="B73" s="27" t="s">
        <v>1523</v>
      </c>
      <c r="C73" s="311">
        <v>0</v>
      </c>
      <c r="D73" s="329">
        <v>0</v>
      </c>
      <c r="E73" s="328" t="s">
        <v>797</v>
      </c>
    </row>
    <row r="74" spans="1:5" ht="27.75" customHeight="1" x14ac:dyDescent="0.2">
      <c r="A74" s="322" t="s">
        <v>576</v>
      </c>
      <c r="B74" s="27" t="s">
        <v>797</v>
      </c>
      <c r="C74" s="311">
        <v>0</v>
      </c>
      <c r="D74" s="329">
        <v>0</v>
      </c>
      <c r="E74" s="328" t="s">
        <v>797</v>
      </c>
    </row>
    <row r="75" spans="1:5" ht="27.75" customHeight="1" x14ac:dyDescent="0.2">
      <c r="A75" s="322" t="s">
        <v>577</v>
      </c>
      <c r="B75" s="27" t="s">
        <v>1524</v>
      </c>
      <c r="C75" s="311">
        <v>0</v>
      </c>
      <c r="D75" s="329">
        <v>0</v>
      </c>
      <c r="E75" s="328" t="s">
        <v>797</v>
      </c>
    </row>
    <row r="76" spans="1:5" ht="27.75" customHeight="1" x14ac:dyDescent="0.2">
      <c r="A76" s="322" t="s">
        <v>578</v>
      </c>
      <c r="B76" s="27" t="s">
        <v>1525</v>
      </c>
      <c r="C76" s="311">
        <v>0</v>
      </c>
      <c r="D76" s="329">
        <v>0</v>
      </c>
      <c r="E76" s="328" t="s">
        <v>797</v>
      </c>
    </row>
    <row r="77" spans="1:5" ht="27.75" customHeight="1" x14ac:dyDescent="0.2">
      <c r="A77" s="322" t="s">
        <v>579</v>
      </c>
      <c r="B77" s="27" t="s">
        <v>1526</v>
      </c>
      <c r="C77" s="311">
        <v>0</v>
      </c>
      <c r="D77" s="329">
        <v>0</v>
      </c>
      <c r="E77" s="328" t="s">
        <v>797</v>
      </c>
    </row>
    <row r="78" spans="1:5" ht="27.75" customHeight="1" x14ac:dyDescent="0.2">
      <c r="A78" s="322" t="s">
        <v>580</v>
      </c>
      <c r="B78" s="27" t="s">
        <v>1527</v>
      </c>
      <c r="C78" s="311">
        <v>0</v>
      </c>
      <c r="D78" s="328">
        <v>0</v>
      </c>
      <c r="E78" s="328" t="s">
        <v>797</v>
      </c>
    </row>
    <row r="79" spans="1:5" ht="27.75" customHeight="1" x14ac:dyDescent="0.2">
      <c r="A79" s="322" t="s">
        <v>683</v>
      </c>
      <c r="B79" s="27" t="e">
        <v>#N/A</v>
      </c>
      <c r="C79" s="311" t="s">
        <v>802</v>
      </c>
      <c r="D79" s="329">
        <v>0</v>
      </c>
      <c r="E79" s="328" t="s">
        <v>797</v>
      </c>
    </row>
    <row r="80" spans="1:5" ht="27.75" customHeight="1" x14ac:dyDescent="0.2">
      <c r="A80" s="322" t="s">
        <v>690</v>
      </c>
      <c r="B80" s="27" t="s">
        <v>1528</v>
      </c>
      <c r="C80" s="311" t="s">
        <v>803</v>
      </c>
      <c r="D80" s="329">
        <v>0</v>
      </c>
      <c r="E80" s="328" t="s">
        <v>797</v>
      </c>
    </row>
    <row r="81" spans="1:5" ht="27.75" customHeight="1" x14ac:dyDescent="0.2">
      <c r="A81" s="322" t="s">
        <v>697</v>
      </c>
      <c r="B81" s="27" t="s">
        <v>1529</v>
      </c>
      <c r="C81" s="311" t="s">
        <v>803</v>
      </c>
      <c r="D81" s="329">
        <v>0</v>
      </c>
      <c r="E81" s="328" t="s">
        <v>797</v>
      </c>
    </row>
    <row r="82" spans="1:5" ht="27.75" customHeight="1" x14ac:dyDescent="0.2">
      <c r="A82" s="322" t="s">
        <v>704</v>
      </c>
      <c r="B82" s="27" t="s">
        <v>1530</v>
      </c>
      <c r="C82" s="311" t="s">
        <v>803</v>
      </c>
      <c r="D82" s="329">
        <v>0</v>
      </c>
      <c r="E82" s="328" t="s">
        <v>797</v>
      </c>
    </row>
    <row r="83" spans="1:5" ht="27.75" customHeight="1" x14ac:dyDescent="0.2">
      <c r="A83" s="322" t="s">
        <v>711</v>
      </c>
      <c r="B83" s="27" t="s">
        <v>1531</v>
      </c>
      <c r="C83" s="311" t="s">
        <v>803</v>
      </c>
      <c r="D83" s="329">
        <v>0</v>
      </c>
      <c r="E83" s="328" t="s">
        <v>797</v>
      </c>
    </row>
    <row r="84" spans="1:5" ht="27.75" customHeight="1" x14ac:dyDescent="0.2">
      <c r="A84" s="322" t="s">
        <v>718</v>
      </c>
      <c r="B84" s="27" t="s">
        <v>1532</v>
      </c>
      <c r="C84" s="311" t="s">
        <v>803</v>
      </c>
      <c r="D84" s="329">
        <v>0</v>
      </c>
      <c r="E84" s="328" t="s">
        <v>797</v>
      </c>
    </row>
    <row r="85" spans="1:5" ht="27.75" customHeight="1" x14ac:dyDescent="0.2">
      <c r="A85" s="322" t="s">
        <v>582</v>
      </c>
      <c r="B85" s="27" t="s">
        <v>797</v>
      </c>
      <c r="C85" s="311">
        <v>0</v>
      </c>
      <c r="D85" s="329">
        <v>0</v>
      </c>
      <c r="E85" s="328" t="s">
        <v>797</v>
      </c>
    </row>
    <row r="86" spans="1:5" ht="27.75" customHeight="1" x14ac:dyDescent="0.2">
      <c r="A86" s="322" t="s">
        <v>583</v>
      </c>
      <c r="B86" s="27" t="s">
        <v>1533</v>
      </c>
      <c r="C86" s="311">
        <v>0</v>
      </c>
      <c r="D86" s="329">
        <v>0</v>
      </c>
      <c r="E86" s="328" t="s">
        <v>797</v>
      </c>
    </row>
    <row r="87" spans="1:5" ht="27.75" customHeight="1" x14ac:dyDescent="0.2">
      <c r="A87" s="322" t="s">
        <v>584</v>
      </c>
      <c r="B87" s="27" t="s">
        <v>1534</v>
      </c>
      <c r="C87" s="311">
        <v>0</v>
      </c>
      <c r="D87" s="329">
        <v>0</v>
      </c>
      <c r="E87" s="328" t="s">
        <v>797</v>
      </c>
    </row>
    <row r="88" spans="1:5" ht="27.75" customHeight="1" x14ac:dyDescent="0.2">
      <c r="A88" s="322" t="s">
        <v>585</v>
      </c>
      <c r="B88" s="27" t="s">
        <v>1535</v>
      </c>
      <c r="C88" s="311">
        <v>0</v>
      </c>
      <c r="D88" s="329">
        <v>0</v>
      </c>
      <c r="E88" s="328" t="s">
        <v>797</v>
      </c>
    </row>
    <row r="89" spans="1:5" ht="27.75" customHeight="1" x14ac:dyDescent="0.2">
      <c r="A89" s="322" t="s">
        <v>586</v>
      </c>
      <c r="B89" s="27" t="s">
        <v>1536</v>
      </c>
      <c r="C89" s="311">
        <v>0</v>
      </c>
      <c r="D89" s="329">
        <v>0</v>
      </c>
      <c r="E89" s="328" t="s">
        <v>797</v>
      </c>
    </row>
    <row r="90" spans="1:5" ht="27.75" customHeight="1" x14ac:dyDescent="0.2">
      <c r="A90" s="322" t="s">
        <v>587</v>
      </c>
      <c r="B90" s="27" t="s">
        <v>797</v>
      </c>
      <c r="C90" s="311">
        <v>0</v>
      </c>
      <c r="D90" s="329">
        <v>0</v>
      </c>
      <c r="E90" s="328" t="s">
        <v>797</v>
      </c>
    </row>
    <row r="91" spans="1:5" ht="27.75" customHeight="1" x14ac:dyDescent="0.2">
      <c r="A91" s="322" t="s">
        <v>588</v>
      </c>
      <c r="B91" s="27" t="s">
        <v>1537</v>
      </c>
      <c r="C91" s="311">
        <v>0</v>
      </c>
      <c r="D91" s="329">
        <v>0</v>
      </c>
      <c r="E91" s="328" t="s">
        <v>797</v>
      </c>
    </row>
    <row r="92" spans="1:5" ht="27.75" customHeight="1" x14ac:dyDescent="0.2">
      <c r="A92" s="322" t="s">
        <v>589</v>
      </c>
      <c r="B92" s="27" t="s">
        <v>1538</v>
      </c>
      <c r="C92" s="311">
        <v>0</v>
      </c>
      <c r="D92" s="329">
        <v>0</v>
      </c>
      <c r="E92" s="328" t="s">
        <v>797</v>
      </c>
    </row>
    <row r="93" spans="1:5" ht="27.75" customHeight="1" x14ac:dyDescent="0.2">
      <c r="A93" s="322" t="s">
        <v>590</v>
      </c>
      <c r="B93" s="27" t="s">
        <v>1539</v>
      </c>
      <c r="C93" s="311">
        <v>0</v>
      </c>
      <c r="D93" s="329">
        <v>0</v>
      </c>
      <c r="E93" s="328" t="s">
        <v>797</v>
      </c>
    </row>
    <row r="94" spans="1:5" ht="27.75" customHeight="1" x14ac:dyDescent="0.2">
      <c r="A94" s="322" t="s">
        <v>591</v>
      </c>
      <c r="B94" s="27" t="s">
        <v>1540</v>
      </c>
      <c r="C94" s="311">
        <v>0</v>
      </c>
      <c r="D94" s="329">
        <v>0</v>
      </c>
      <c r="E94" s="328" t="s">
        <v>797</v>
      </c>
    </row>
    <row r="95" spans="1:5" ht="27.75" customHeight="1" x14ac:dyDescent="0.2">
      <c r="A95" s="322" t="s">
        <v>592</v>
      </c>
      <c r="B95" s="27" t="s">
        <v>797</v>
      </c>
      <c r="C95" s="311">
        <v>0</v>
      </c>
      <c r="D95" s="329">
        <v>0</v>
      </c>
      <c r="E95" s="328" t="s">
        <v>797</v>
      </c>
    </row>
    <row r="96" spans="1:5" ht="27.75" customHeight="1" x14ac:dyDescent="0.2">
      <c r="A96" s="322" t="s">
        <v>593</v>
      </c>
      <c r="B96" s="27" t="s">
        <v>1541</v>
      </c>
      <c r="C96" s="311">
        <v>0</v>
      </c>
      <c r="D96" s="329">
        <v>0</v>
      </c>
      <c r="E96" s="328" t="s">
        <v>797</v>
      </c>
    </row>
    <row r="97" spans="1:5" ht="27.75" customHeight="1" x14ac:dyDescent="0.2">
      <c r="A97" s="322" t="s">
        <v>594</v>
      </c>
      <c r="B97" s="27" t="s">
        <v>1542</v>
      </c>
      <c r="C97" s="311">
        <v>0</v>
      </c>
      <c r="D97" s="329">
        <v>0</v>
      </c>
      <c r="E97" s="328" t="s">
        <v>797</v>
      </c>
    </row>
    <row r="98" spans="1:5" ht="27.75" customHeight="1" x14ac:dyDescent="0.2">
      <c r="A98" s="322" t="s">
        <v>595</v>
      </c>
      <c r="B98" s="27" t="s">
        <v>1543</v>
      </c>
      <c r="C98" s="311">
        <v>0</v>
      </c>
      <c r="D98" s="329">
        <v>0</v>
      </c>
      <c r="E98" s="328" t="s">
        <v>797</v>
      </c>
    </row>
    <row r="99" spans="1:5" ht="27.75" customHeight="1" x14ac:dyDescent="0.2">
      <c r="A99" s="322" t="s">
        <v>596</v>
      </c>
      <c r="B99" s="27"/>
      <c r="C99" s="311">
        <v>0</v>
      </c>
      <c r="D99" s="328">
        <v>0</v>
      </c>
      <c r="E99" s="328" t="s">
        <v>797</v>
      </c>
    </row>
    <row r="100" spans="1:5" ht="27.75" customHeight="1" x14ac:dyDescent="0.2">
      <c r="A100" s="322" t="s">
        <v>684</v>
      </c>
      <c r="B100" s="27"/>
      <c r="C100" s="311" t="s">
        <v>802</v>
      </c>
      <c r="D100" s="329">
        <v>0</v>
      </c>
      <c r="E100" s="328" t="s">
        <v>797</v>
      </c>
    </row>
    <row r="101" spans="1:5" ht="27.75" customHeight="1" x14ac:dyDescent="0.2">
      <c r="A101" s="322" t="s">
        <v>691</v>
      </c>
      <c r="B101" s="27"/>
      <c r="C101" s="311" t="s">
        <v>803</v>
      </c>
      <c r="D101" s="329">
        <v>0</v>
      </c>
      <c r="E101" s="328" t="s">
        <v>797</v>
      </c>
    </row>
    <row r="102" spans="1:5" ht="27.75" customHeight="1" x14ac:dyDescent="0.2">
      <c r="A102" s="322" t="s">
        <v>698</v>
      </c>
      <c r="B102" s="27"/>
      <c r="C102" s="311" t="s">
        <v>803</v>
      </c>
      <c r="D102" s="329">
        <v>0</v>
      </c>
      <c r="E102" s="328" t="s">
        <v>797</v>
      </c>
    </row>
    <row r="103" spans="1:5" ht="27.75" customHeight="1" x14ac:dyDescent="0.2">
      <c r="A103" s="322" t="s">
        <v>705</v>
      </c>
      <c r="B103" s="27"/>
      <c r="C103" s="311" t="s">
        <v>803</v>
      </c>
      <c r="D103" s="329">
        <v>0</v>
      </c>
      <c r="E103" s="328" t="s">
        <v>797</v>
      </c>
    </row>
    <row r="104" spans="1:5" ht="27.75" customHeight="1" x14ac:dyDescent="0.2">
      <c r="A104" s="322" t="s">
        <v>712</v>
      </c>
      <c r="B104" s="27"/>
      <c r="C104" s="311" t="s">
        <v>803</v>
      </c>
      <c r="D104" s="329">
        <v>0</v>
      </c>
      <c r="E104" s="328" t="s">
        <v>797</v>
      </c>
    </row>
    <row r="105" spans="1:5" ht="27.75" customHeight="1" x14ac:dyDescent="0.2">
      <c r="A105" s="322" t="s">
        <v>719</v>
      </c>
      <c r="B105" s="27"/>
      <c r="C105" s="311" t="s">
        <v>803</v>
      </c>
      <c r="D105" s="329">
        <v>0</v>
      </c>
      <c r="E105" s="328" t="s">
        <v>797</v>
      </c>
    </row>
    <row r="106" spans="1:5" ht="27.75" customHeight="1" x14ac:dyDescent="0.2">
      <c r="A106" s="322" t="s">
        <v>598</v>
      </c>
      <c r="B106" s="27"/>
      <c r="C106" s="311">
        <v>0</v>
      </c>
      <c r="D106" s="329">
        <v>0</v>
      </c>
      <c r="E106" s="328" t="s">
        <v>797</v>
      </c>
    </row>
    <row r="107" spans="1:5" ht="27.75" customHeight="1" x14ac:dyDescent="0.2">
      <c r="A107" s="322" t="s">
        <v>599</v>
      </c>
      <c r="B107" s="27"/>
      <c r="C107" s="311">
        <v>0</v>
      </c>
      <c r="D107" s="329">
        <v>0</v>
      </c>
      <c r="E107" s="328" t="s">
        <v>797</v>
      </c>
    </row>
    <row r="108" spans="1:5" ht="27.75" customHeight="1" x14ac:dyDescent="0.2">
      <c r="A108" s="322" t="s">
        <v>600</v>
      </c>
      <c r="B108" s="27"/>
      <c r="C108" s="311">
        <v>0</v>
      </c>
      <c r="D108" s="329">
        <v>0</v>
      </c>
      <c r="E108" s="328" t="s">
        <v>797</v>
      </c>
    </row>
    <row r="109" spans="1:5" ht="27.75" customHeight="1" x14ac:dyDescent="0.2">
      <c r="A109" s="322" t="s">
        <v>601</v>
      </c>
      <c r="B109" s="27"/>
      <c r="C109" s="311">
        <v>0</v>
      </c>
      <c r="D109" s="329">
        <v>0</v>
      </c>
      <c r="E109" s="328" t="s">
        <v>797</v>
      </c>
    </row>
    <row r="110" spans="1:5" ht="27.75" customHeight="1" x14ac:dyDescent="0.2">
      <c r="A110" s="322" t="s">
        <v>602</v>
      </c>
      <c r="B110" s="27"/>
      <c r="C110" s="311">
        <v>0</v>
      </c>
      <c r="D110" s="329">
        <v>0</v>
      </c>
      <c r="E110" s="328" t="s">
        <v>797</v>
      </c>
    </row>
    <row r="111" spans="1:5" ht="27.75" customHeight="1" x14ac:dyDescent="0.2">
      <c r="A111" s="322" t="s">
        <v>603</v>
      </c>
      <c r="B111" s="27"/>
      <c r="C111" s="311">
        <v>0</v>
      </c>
      <c r="D111" s="329">
        <v>0</v>
      </c>
      <c r="E111" s="328" t="s">
        <v>797</v>
      </c>
    </row>
    <row r="112" spans="1:5" ht="27.75" customHeight="1" x14ac:dyDescent="0.2">
      <c r="A112" s="322" t="s">
        <v>604</v>
      </c>
      <c r="B112" s="27"/>
      <c r="C112" s="311">
        <v>0</v>
      </c>
      <c r="D112" s="329">
        <v>0</v>
      </c>
      <c r="E112" s="328" t="s">
        <v>797</v>
      </c>
    </row>
    <row r="113" spans="1:5" ht="27.75" customHeight="1" x14ac:dyDescent="0.2">
      <c r="A113" s="322" t="s">
        <v>605</v>
      </c>
      <c r="B113" s="27"/>
      <c r="C113" s="311">
        <v>0</v>
      </c>
      <c r="D113" s="329">
        <v>0</v>
      </c>
      <c r="E113" s="328" t="s">
        <v>797</v>
      </c>
    </row>
    <row r="114" spans="1:5" ht="27.75" customHeight="1" x14ac:dyDescent="0.2">
      <c r="A114" s="322" t="s">
        <v>606</v>
      </c>
      <c r="B114" s="27"/>
      <c r="C114" s="311">
        <v>0</v>
      </c>
      <c r="D114" s="329">
        <v>0</v>
      </c>
      <c r="E114" s="328" t="s">
        <v>797</v>
      </c>
    </row>
    <row r="115" spans="1:5" ht="27.75" customHeight="1" x14ac:dyDescent="0.2">
      <c r="A115" s="322" t="s">
        <v>607</v>
      </c>
      <c r="B115" s="27"/>
      <c r="C115" s="311">
        <v>0</v>
      </c>
      <c r="D115" s="329">
        <v>0</v>
      </c>
      <c r="E115" s="328" t="s">
        <v>797</v>
      </c>
    </row>
    <row r="116" spans="1:5" ht="27.75" customHeight="1" x14ac:dyDescent="0.2">
      <c r="A116" s="322" t="s">
        <v>608</v>
      </c>
      <c r="B116" s="27"/>
      <c r="C116" s="311">
        <v>0</v>
      </c>
      <c r="D116" s="329">
        <v>0</v>
      </c>
      <c r="E116" s="328" t="s">
        <v>797</v>
      </c>
    </row>
    <row r="117" spans="1:5" ht="27.75" customHeight="1" x14ac:dyDescent="0.2">
      <c r="A117" s="322" t="s">
        <v>609</v>
      </c>
      <c r="B117" s="27"/>
      <c r="C117" s="311">
        <v>0</v>
      </c>
      <c r="D117" s="329">
        <v>0</v>
      </c>
      <c r="E117" s="328" t="s">
        <v>797</v>
      </c>
    </row>
    <row r="118" spans="1:5" ht="27.75" customHeight="1" x14ac:dyDescent="0.2">
      <c r="A118" s="322" t="s">
        <v>610</v>
      </c>
      <c r="B118" s="27"/>
      <c r="C118" s="311">
        <v>0</v>
      </c>
      <c r="D118" s="329">
        <v>0</v>
      </c>
      <c r="E118" s="328" t="s">
        <v>797</v>
      </c>
    </row>
    <row r="119" spans="1:5" ht="27.75" customHeight="1" x14ac:dyDescent="0.2">
      <c r="A119" s="322" t="s">
        <v>611</v>
      </c>
      <c r="B119" s="27"/>
      <c r="C119" s="311">
        <v>0</v>
      </c>
      <c r="D119" s="329">
        <v>0</v>
      </c>
      <c r="E119" s="328" t="s">
        <v>797</v>
      </c>
    </row>
    <row r="120" spans="1:5" ht="27.75" customHeight="1" x14ac:dyDescent="0.2">
      <c r="A120" s="322" t="s">
        <v>612</v>
      </c>
      <c r="B120" s="27"/>
      <c r="C120" s="311">
        <v>0</v>
      </c>
      <c r="D120" s="328">
        <v>0</v>
      </c>
      <c r="E120" s="328" t="s">
        <v>797</v>
      </c>
    </row>
    <row r="121" spans="1:5" ht="27.75" customHeight="1" x14ac:dyDescent="0.2">
      <c r="A121" s="322" t="s">
        <v>685</v>
      </c>
      <c r="B121" s="27"/>
      <c r="C121" s="311" t="s">
        <v>802</v>
      </c>
      <c r="D121" s="329">
        <v>0</v>
      </c>
      <c r="E121" s="328" t="s">
        <v>797</v>
      </c>
    </row>
    <row r="122" spans="1:5" ht="27.75" customHeight="1" x14ac:dyDescent="0.2">
      <c r="A122" s="322" t="s">
        <v>692</v>
      </c>
      <c r="B122" s="27"/>
      <c r="C122" s="311" t="s">
        <v>803</v>
      </c>
      <c r="D122" s="329">
        <v>0</v>
      </c>
      <c r="E122" s="328" t="s">
        <v>797</v>
      </c>
    </row>
    <row r="123" spans="1:5" ht="27.75" customHeight="1" x14ac:dyDescent="0.2">
      <c r="A123" s="322" t="s">
        <v>699</v>
      </c>
      <c r="B123" s="27"/>
      <c r="C123" s="311" t="s">
        <v>803</v>
      </c>
      <c r="D123" s="329">
        <v>0</v>
      </c>
      <c r="E123" s="328" t="s">
        <v>797</v>
      </c>
    </row>
    <row r="124" spans="1:5" ht="27.75" customHeight="1" x14ac:dyDescent="0.2">
      <c r="A124" s="322" t="s">
        <v>706</v>
      </c>
      <c r="B124" s="27"/>
      <c r="C124" s="311" t="s">
        <v>803</v>
      </c>
      <c r="D124" s="329">
        <v>0</v>
      </c>
      <c r="E124" s="328" t="s">
        <v>797</v>
      </c>
    </row>
    <row r="125" spans="1:5" ht="27.75" customHeight="1" x14ac:dyDescent="0.2">
      <c r="A125" s="322" t="s">
        <v>713</v>
      </c>
      <c r="B125" s="27"/>
      <c r="C125" s="311" t="s">
        <v>803</v>
      </c>
      <c r="D125" s="329">
        <v>0</v>
      </c>
      <c r="E125" s="328" t="s">
        <v>797</v>
      </c>
    </row>
    <row r="126" spans="1:5" ht="27.75" customHeight="1" x14ac:dyDescent="0.2">
      <c r="A126" s="322" t="s">
        <v>720</v>
      </c>
      <c r="B126" s="27"/>
      <c r="C126" s="311" t="s">
        <v>803</v>
      </c>
      <c r="D126" s="329">
        <v>0</v>
      </c>
      <c r="E126" s="328" t="s">
        <v>797</v>
      </c>
    </row>
    <row r="127" spans="1:5" ht="27.75" customHeight="1" x14ac:dyDescent="0.2">
      <c r="A127" s="322" t="s">
        <v>614</v>
      </c>
      <c r="B127" s="27"/>
      <c r="C127" s="311">
        <v>0</v>
      </c>
      <c r="D127" s="329">
        <v>0</v>
      </c>
      <c r="E127" s="328" t="s">
        <v>797</v>
      </c>
    </row>
    <row r="128" spans="1:5" ht="27.75" customHeight="1" x14ac:dyDescent="0.2">
      <c r="A128" s="322" t="s">
        <v>615</v>
      </c>
      <c r="B128" s="27"/>
      <c r="C128" s="311">
        <v>0</v>
      </c>
      <c r="D128" s="329">
        <v>0</v>
      </c>
      <c r="E128" s="328" t="s">
        <v>797</v>
      </c>
    </row>
    <row r="129" spans="1:5" ht="27.75" customHeight="1" x14ac:dyDescent="0.2">
      <c r="A129" s="322" t="s">
        <v>616</v>
      </c>
      <c r="B129" s="27"/>
      <c r="C129" s="311">
        <v>0</v>
      </c>
      <c r="D129" s="329">
        <v>0</v>
      </c>
      <c r="E129" s="328" t="s">
        <v>797</v>
      </c>
    </row>
    <row r="130" spans="1:5" ht="27.75" customHeight="1" x14ac:dyDescent="0.2">
      <c r="A130" s="322" t="s">
        <v>617</v>
      </c>
      <c r="B130" s="27"/>
      <c r="C130" s="311">
        <v>0</v>
      </c>
      <c r="D130" s="329">
        <v>0</v>
      </c>
      <c r="E130" s="328" t="s">
        <v>797</v>
      </c>
    </row>
    <row r="131" spans="1:5" ht="27.75" customHeight="1" x14ac:dyDescent="0.2">
      <c r="A131" s="322" t="s">
        <v>618</v>
      </c>
      <c r="B131" s="27"/>
      <c r="C131" s="311">
        <v>0</v>
      </c>
      <c r="D131" s="329">
        <v>0</v>
      </c>
      <c r="E131" s="328" t="s">
        <v>797</v>
      </c>
    </row>
    <row r="132" spans="1:5" ht="27.75" customHeight="1" x14ac:dyDescent="0.2">
      <c r="A132" s="322" t="s">
        <v>619</v>
      </c>
      <c r="B132" s="27"/>
      <c r="C132" s="311">
        <v>0</v>
      </c>
      <c r="D132" s="329">
        <v>0</v>
      </c>
      <c r="E132" s="328" t="s">
        <v>797</v>
      </c>
    </row>
    <row r="133" spans="1:5" ht="27.75" customHeight="1" x14ac:dyDescent="0.2">
      <c r="A133" s="322" t="s">
        <v>620</v>
      </c>
      <c r="B133" s="27"/>
      <c r="C133" s="311">
        <v>0</v>
      </c>
      <c r="D133" s="329">
        <v>0</v>
      </c>
      <c r="E133" s="328" t="s">
        <v>797</v>
      </c>
    </row>
    <row r="134" spans="1:5" ht="27.75" customHeight="1" x14ac:dyDescent="0.2">
      <c r="A134" s="322" t="s">
        <v>621</v>
      </c>
      <c r="B134" s="27"/>
      <c r="C134" s="311">
        <v>0</v>
      </c>
      <c r="D134" s="329">
        <v>0</v>
      </c>
      <c r="E134" s="328" t="s">
        <v>797</v>
      </c>
    </row>
    <row r="135" spans="1:5" ht="27.75" customHeight="1" x14ac:dyDescent="0.2">
      <c r="A135" s="322" t="s">
        <v>622</v>
      </c>
      <c r="B135" s="27"/>
      <c r="C135" s="311">
        <v>0</v>
      </c>
      <c r="D135" s="329">
        <v>0</v>
      </c>
      <c r="E135" s="328" t="s">
        <v>797</v>
      </c>
    </row>
    <row r="136" spans="1:5" ht="27.75" customHeight="1" x14ac:dyDescent="0.2">
      <c r="A136" s="322" t="s">
        <v>623</v>
      </c>
      <c r="B136" s="27"/>
      <c r="C136" s="311">
        <v>0</v>
      </c>
      <c r="D136" s="329">
        <v>0</v>
      </c>
      <c r="E136" s="328" t="s">
        <v>797</v>
      </c>
    </row>
    <row r="137" spans="1:5" ht="27.75" customHeight="1" x14ac:dyDescent="0.2">
      <c r="A137" s="322" t="s">
        <v>624</v>
      </c>
      <c r="B137" s="27"/>
      <c r="C137" s="311">
        <v>0</v>
      </c>
      <c r="D137" s="329">
        <v>0</v>
      </c>
      <c r="E137" s="328" t="s">
        <v>797</v>
      </c>
    </row>
    <row r="138" spans="1:5" ht="27.75" customHeight="1" x14ac:dyDescent="0.2">
      <c r="A138" s="322" t="s">
        <v>625</v>
      </c>
      <c r="B138" s="27"/>
      <c r="C138" s="311">
        <v>0</v>
      </c>
      <c r="D138" s="329">
        <v>0</v>
      </c>
      <c r="E138" s="328" t="s">
        <v>797</v>
      </c>
    </row>
    <row r="139" spans="1:5" ht="27.75" customHeight="1" x14ac:dyDescent="0.2">
      <c r="A139" s="322" t="s">
        <v>626</v>
      </c>
      <c r="B139" s="27"/>
      <c r="C139" s="311">
        <v>0</v>
      </c>
      <c r="D139" s="329">
        <v>0</v>
      </c>
      <c r="E139" s="328" t="s">
        <v>797</v>
      </c>
    </row>
    <row r="140" spans="1:5" ht="27.75" customHeight="1" x14ac:dyDescent="0.2">
      <c r="A140" s="322" t="s">
        <v>627</v>
      </c>
      <c r="B140" s="27"/>
      <c r="C140" s="311">
        <v>0</v>
      </c>
      <c r="D140" s="329">
        <v>0</v>
      </c>
      <c r="E140" s="328" t="s">
        <v>797</v>
      </c>
    </row>
    <row r="141" spans="1:5" ht="27.75" customHeight="1" x14ac:dyDescent="0.2">
      <c r="A141" s="322" t="s">
        <v>628</v>
      </c>
      <c r="B141" s="27"/>
      <c r="C141" s="311">
        <v>0</v>
      </c>
      <c r="D141" s="328">
        <v>0</v>
      </c>
      <c r="E141" s="328" t="s">
        <v>797</v>
      </c>
    </row>
    <row r="142" spans="1:5" ht="27.75" customHeight="1" x14ac:dyDescent="0.2">
      <c r="A142" s="322" t="s">
        <v>686</v>
      </c>
      <c r="B142" s="27"/>
      <c r="C142" s="311" t="s">
        <v>802</v>
      </c>
      <c r="D142" s="329">
        <v>0</v>
      </c>
      <c r="E142" s="328" t="s">
        <v>797</v>
      </c>
    </row>
    <row r="143" spans="1:5" ht="27.75" customHeight="1" x14ac:dyDescent="0.2">
      <c r="A143" s="322" t="s">
        <v>693</v>
      </c>
      <c r="B143" s="27"/>
      <c r="C143" s="311" t="s">
        <v>803</v>
      </c>
      <c r="D143" s="329">
        <v>0</v>
      </c>
      <c r="E143" s="328" t="s">
        <v>797</v>
      </c>
    </row>
    <row r="144" spans="1:5" ht="27.75" customHeight="1" x14ac:dyDescent="0.2">
      <c r="A144" s="322" t="s">
        <v>700</v>
      </c>
      <c r="B144" s="27"/>
      <c r="C144" s="311" t="s">
        <v>803</v>
      </c>
      <c r="D144" s="329">
        <v>0</v>
      </c>
      <c r="E144" s="328" t="s">
        <v>797</v>
      </c>
    </row>
    <row r="145" spans="1:5" ht="27.75" customHeight="1" x14ac:dyDescent="0.2">
      <c r="A145" s="322" t="s">
        <v>707</v>
      </c>
      <c r="B145" s="27"/>
      <c r="C145" s="311" t="s">
        <v>803</v>
      </c>
      <c r="D145" s="329">
        <v>0</v>
      </c>
      <c r="E145" s="328" t="s">
        <v>797</v>
      </c>
    </row>
    <row r="146" spans="1:5" ht="27.75" customHeight="1" x14ac:dyDescent="0.2">
      <c r="A146" s="322" t="s">
        <v>714</v>
      </c>
      <c r="B146" s="27"/>
      <c r="C146" s="311" t="s">
        <v>803</v>
      </c>
      <c r="D146" s="329">
        <v>0</v>
      </c>
      <c r="E146" s="328" t="s">
        <v>797</v>
      </c>
    </row>
    <row r="147" spans="1:5" ht="27.75" customHeight="1" x14ac:dyDescent="0.2">
      <c r="A147" s="322" t="s">
        <v>721</v>
      </c>
      <c r="B147" s="27"/>
      <c r="C147" s="311" t="s">
        <v>803</v>
      </c>
      <c r="D147" s="329">
        <v>0</v>
      </c>
      <c r="E147" s="328" t="s">
        <v>797</v>
      </c>
    </row>
    <row r="148" spans="1:5" ht="27.75" customHeight="1" x14ac:dyDescent="0.2">
      <c r="A148" s="322" t="s">
        <v>630</v>
      </c>
      <c r="B148" s="27"/>
      <c r="C148" s="311">
        <v>0</v>
      </c>
      <c r="D148" s="329">
        <v>0</v>
      </c>
      <c r="E148" s="328" t="s">
        <v>797</v>
      </c>
    </row>
    <row r="149" spans="1:5" ht="27.75" customHeight="1" x14ac:dyDescent="0.2">
      <c r="A149" s="322" t="s">
        <v>631</v>
      </c>
      <c r="B149" s="27"/>
      <c r="C149" s="311">
        <v>0</v>
      </c>
      <c r="D149" s="329">
        <v>0</v>
      </c>
      <c r="E149" s="328" t="s">
        <v>797</v>
      </c>
    </row>
    <row r="150" spans="1:5" ht="27.75" customHeight="1" x14ac:dyDescent="0.2">
      <c r="A150" s="322" t="s">
        <v>632</v>
      </c>
      <c r="B150" s="27"/>
      <c r="C150" s="311">
        <v>0</v>
      </c>
      <c r="D150" s="329">
        <v>0</v>
      </c>
      <c r="E150" s="328" t="s">
        <v>797</v>
      </c>
    </row>
    <row r="151" spans="1:5" ht="27.75" customHeight="1" x14ac:dyDescent="0.2">
      <c r="A151" s="322" t="s">
        <v>633</v>
      </c>
      <c r="B151" s="27"/>
      <c r="C151" s="311">
        <v>0</v>
      </c>
      <c r="D151" s="329">
        <v>0</v>
      </c>
      <c r="E151" s="328" t="s">
        <v>797</v>
      </c>
    </row>
    <row r="152" spans="1:5" ht="27.75" customHeight="1" x14ac:dyDescent="0.2">
      <c r="A152" s="322" t="s">
        <v>634</v>
      </c>
      <c r="B152" s="27"/>
      <c r="C152" s="311">
        <v>0</v>
      </c>
      <c r="D152" s="329">
        <v>0</v>
      </c>
      <c r="E152" s="328" t="s">
        <v>797</v>
      </c>
    </row>
    <row r="153" spans="1:5" ht="27.75" customHeight="1" x14ac:dyDescent="0.2">
      <c r="A153" s="322" t="s">
        <v>635</v>
      </c>
      <c r="B153" s="27"/>
      <c r="C153" s="311">
        <v>0</v>
      </c>
      <c r="D153" s="329">
        <v>0</v>
      </c>
      <c r="E153" s="328" t="s">
        <v>797</v>
      </c>
    </row>
    <row r="154" spans="1:5" ht="27.75" customHeight="1" x14ac:dyDescent="0.2">
      <c r="A154" s="322" t="s">
        <v>636</v>
      </c>
      <c r="B154" s="27"/>
      <c r="C154" s="311">
        <v>0</v>
      </c>
      <c r="D154" s="329">
        <v>0</v>
      </c>
      <c r="E154" s="328" t="s">
        <v>797</v>
      </c>
    </row>
    <row r="155" spans="1:5" ht="27.75" customHeight="1" x14ac:dyDescent="0.2">
      <c r="A155" s="322" t="s">
        <v>637</v>
      </c>
      <c r="B155" s="27"/>
      <c r="C155" s="311">
        <v>0</v>
      </c>
      <c r="D155" s="329">
        <v>0</v>
      </c>
      <c r="E155" s="328" t="s">
        <v>797</v>
      </c>
    </row>
    <row r="156" spans="1:5" ht="27.75" customHeight="1" x14ac:dyDescent="0.2">
      <c r="A156" s="322" t="s">
        <v>638</v>
      </c>
      <c r="B156" s="27"/>
      <c r="C156" s="311">
        <v>0</v>
      </c>
      <c r="D156" s="329">
        <v>0</v>
      </c>
      <c r="E156" s="328" t="s">
        <v>797</v>
      </c>
    </row>
    <row r="157" spans="1:5" ht="27.75" customHeight="1" x14ac:dyDescent="0.2">
      <c r="A157" s="322" t="s">
        <v>639</v>
      </c>
      <c r="B157" s="27"/>
      <c r="C157" s="311">
        <v>0</v>
      </c>
      <c r="D157" s="329">
        <v>0</v>
      </c>
      <c r="E157" s="328" t="s">
        <v>797</v>
      </c>
    </row>
    <row r="158" spans="1:5" ht="27.75" customHeight="1" x14ac:dyDescent="0.2">
      <c r="A158" s="322" t="s">
        <v>640</v>
      </c>
      <c r="B158" s="27"/>
      <c r="C158" s="311">
        <v>0</v>
      </c>
      <c r="D158" s="329">
        <v>0</v>
      </c>
      <c r="E158" s="328" t="s">
        <v>797</v>
      </c>
    </row>
    <row r="159" spans="1:5" ht="27.75" customHeight="1" x14ac:dyDescent="0.2">
      <c r="A159" s="322" t="s">
        <v>641</v>
      </c>
      <c r="B159" s="27"/>
      <c r="C159" s="311">
        <v>0</v>
      </c>
      <c r="D159" s="329">
        <v>0</v>
      </c>
      <c r="E159" s="328" t="s">
        <v>797</v>
      </c>
    </row>
    <row r="160" spans="1:5" ht="27.75" customHeight="1" x14ac:dyDescent="0.2">
      <c r="A160" s="322" t="s">
        <v>642</v>
      </c>
      <c r="B160" s="27"/>
      <c r="C160" s="311">
        <v>0</v>
      </c>
      <c r="D160" s="329">
        <v>0</v>
      </c>
      <c r="E160" s="328" t="s">
        <v>797</v>
      </c>
    </row>
    <row r="161" spans="1:5" ht="27.75" customHeight="1" x14ac:dyDescent="0.2">
      <c r="A161" s="322" t="s">
        <v>643</v>
      </c>
      <c r="B161" s="27"/>
      <c r="C161" s="311">
        <v>0</v>
      </c>
      <c r="D161" s="329">
        <v>0</v>
      </c>
      <c r="E161" s="328" t="s">
        <v>797</v>
      </c>
    </row>
    <row r="162" spans="1:5" ht="27.75" customHeight="1" x14ac:dyDescent="0.2">
      <c r="A162" s="322" t="s">
        <v>644</v>
      </c>
      <c r="B162" s="27"/>
      <c r="C162" s="311">
        <v>0</v>
      </c>
      <c r="D162" s="329">
        <v>0</v>
      </c>
      <c r="E162" s="328" t="s">
        <v>797</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46D91F9-3E3E-4867-9610-7C085E2BFEC8}"/>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02C8-B7AB-4337-A43E-53F32A274AA2}">
  <dimension ref="A1:M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4"/>
      <c r="C1" s="524"/>
      <c r="D1" s="327"/>
      <c r="E1" s="327"/>
    </row>
    <row r="2" spans="1:13" ht="35.1" customHeight="1" x14ac:dyDescent="0.2">
      <c r="A2" s="525" t="str">
        <f>Overview!B4&amp; " - Effective from "&amp;TEXT(Overview!D4,"d mmmm yyyy")&amp;" - "&amp;Overview!E4&amp;" Supplier of Last Resort and Eligible Bad Debt Pass-Through Costs"&amp;" in Electricity North West Area (GSP Group_G)"</f>
        <v>Leep Electricity Networks Limited - Effective from 1 April 2027 - Final Supplier of Last Resort and Eligible Bad Debt Pass-Through Costs in Electricity North West Area (GSP Group_G)</v>
      </c>
      <c r="B2" s="526"/>
      <c r="C2" s="526"/>
      <c r="D2" s="526"/>
      <c r="E2" s="527"/>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399"/>
      <c r="H4" s="400"/>
      <c r="I4" s="400"/>
      <c r="J4" s="400"/>
      <c r="K4" s="400"/>
      <c r="L4" s="400"/>
      <c r="M4" s="401"/>
    </row>
    <row r="5" spans="1:13" ht="32.25" customHeight="1" x14ac:dyDescent="0.2">
      <c r="A5" s="10" t="s">
        <v>724</v>
      </c>
      <c r="B5" s="27"/>
      <c r="C5" s="311" t="s">
        <v>802</v>
      </c>
      <c r="D5" s="328">
        <v>0</v>
      </c>
      <c r="E5" s="328" t="s">
        <v>797</v>
      </c>
      <c r="G5" s="400"/>
      <c r="H5" s="400"/>
      <c r="I5" s="400"/>
      <c r="J5" s="400"/>
      <c r="K5" s="400"/>
      <c r="L5" s="400"/>
      <c r="M5" s="401"/>
    </row>
    <row r="6" spans="1:13" ht="27" customHeight="1" x14ac:dyDescent="0.2">
      <c r="A6" s="10" t="s">
        <v>675</v>
      </c>
      <c r="B6" s="27"/>
      <c r="C6" s="311" t="s">
        <v>803</v>
      </c>
      <c r="D6" s="329" t="s">
        <v>797</v>
      </c>
      <c r="E6" s="328" t="s">
        <v>797</v>
      </c>
    </row>
    <row r="7" spans="1:13" ht="27" customHeight="1" x14ac:dyDescent="0.2">
      <c r="A7" s="10" t="s">
        <v>676</v>
      </c>
      <c r="B7" s="27"/>
      <c r="C7" s="311" t="s">
        <v>803</v>
      </c>
      <c r="D7" s="329" t="s">
        <v>797</v>
      </c>
      <c r="E7" s="328" t="s">
        <v>797</v>
      </c>
    </row>
    <row r="8" spans="1:13" ht="27" customHeight="1" x14ac:dyDescent="0.2">
      <c r="A8" s="10" t="s">
        <v>677</v>
      </c>
      <c r="B8" s="27"/>
      <c r="C8" s="311" t="s">
        <v>803</v>
      </c>
      <c r="D8" s="329" t="s">
        <v>797</v>
      </c>
      <c r="E8" s="328" t="s">
        <v>797</v>
      </c>
    </row>
    <row r="9" spans="1:13" ht="27" customHeight="1" x14ac:dyDescent="0.2">
      <c r="A9" s="10" t="s">
        <v>678</v>
      </c>
      <c r="B9" s="27"/>
      <c r="C9" s="311" t="s">
        <v>803</v>
      </c>
      <c r="D9" s="329" t="s">
        <v>797</v>
      </c>
      <c r="E9" s="328" t="s">
        <v>797</v>
      </c>
    </row>
    <row r="10" spans="1:13" ht="27" customHeight="1" x14ac:dyDescent="0.2">
      <c r="A10" s="10" t="s">
        <v>679</v>
      </c>
      <c r="B10" s="27"/>
      <c r="C10" s="311" t="s">
        <v>803</v>
      </c>
      <c r="D10" s="329" t="s">
        <v>797</v>
      </c>
      <c r="E10" s="328" t="s">
        <v>797</v>
      </c>
    </row>
    <row r="11" spans="1:13" ht="27" customHeight="1" x14ac:dyDescent="0.2">
      <c r="A11" s="322" t="s">
        <v>496</v>
      </c>
      <c r="B11" s="27"/>
      <c r="C11" s="311">
        <v>0</v>
      </c>
      <c r="D11" s="329" t="s">
        <v>797</v>
      </c>
      <c r="E11" s="328" t="s">
        <v>797</v>
      </c>
    </row>
    <row r="12" spans="1:13" ht="27" customHeight="1" x14ac:dyDescent="0.2">
      <c r="A12" s="322" t="s">
        <v>497</v>
      </c>
      <c r="B12" s="27"/>
      <c r="C12" s="311">
        <v>0</v>
      </c>
      <c r="D12" s="329" t="s">
        <v>797</v>
      </c>
      <c r="E12" s="328" t="s">
        <v>797</v>
      </c>
    </row>
    <row r="13" spans="1:13" ht="27.75" customHeight="1" x14ac:dyDescent="0.2">
      <c r="A13" s="322" t="s">
        <v>498</v>
      </c>
      <c r="B13" s="27"/>
      <c r="C13" s="311">
        <v>0</v>
      </c>
      <c r="D13" s="329" t="s">
        <v>797</v>
      </c>
      <c r="E13" s="328" t="s">
        <v>797</v>
      </c>
    </row>
    <row r="14" spans="1:13" ht="27.75" customHeight="1" x14ac:dyDescent="0.2">
      <c r="A14" s="323" t="s">
        <v>499</v>
      </c>
      <c r="B14" s="27"/>
      <c r="C14" s="311">
        <v>0</v>
      </c>
      <c r="D14" s="329" t="s">
        <v>797</v>
      </c>
      <c r="E14" s="328" t="s">
        <v>797</v>
      </c>
    </row>
    <row r="15" spans="1:13" ht="27.75" customHeight="1" x14ac:dyDescent="0.2">
      <c r="A15" s="323" t="s">
        <v>500</v>
      </c>
      <c r="B15" s="27"/>
      <c r="C15" s="311">
        <v>0</v>
      </c>
      <c r="D15" s="329" t="s">
        <v>797</v>
      </c>
      <c r="E15" s="328" t="s">
        <v>797</v>
      </c>
    </row>
    <row r="16" spans="1:13" ht="27.75" customHeight="1" x14ac:dyDescent="0.2">
      <c r="A16" s="323" t="s">
        <v>501</v>
      </c>
      <c r="B16" s="27"/>
      <c r="C16" s="311">
        <v>0</v>
      </c>
      <c r="D16" s="329" t="s">
        <v>797</v>
      </c>
      <c r="E16" s="328" t="s">
        <v>797</v>
      </c>
    </row>
    <row r="17" spans="1:6" ht="27.75" customHeight="1" x14ac:dyDescent="0.2">
      <c r="A17" s="323" t="s">
        <v>502</v>
      </c>
      <c r="B17" s="27"/>
      <c r="C17" s="311">
        <v>0</v>
      </c>
      <c r="D17" s="329" t="s">
        <v>797</v>
      </c>
      <c r="E17" s="328" t="s">
        <v>797</v>
      </c>
    </row>
    <row r="18" spans="1:6" ht="27.75" customHeight="1" x14ac:dyDescent="0.2">
      <c r="A18" s="323" t="s">
        <v>503</v>
      </c>
      <c r="B18" s="27"/>
      <c r="C18" s="311">
        <v>0</v>
      </c>
      <c r="D18" s="329" t="s">
        <v>797</v>
      </c>
      <c r="E18" s="328" t="s">
        <v>797</v>
      </c>
    </row>
    <row r="19" spans="1:6" ht="27.75" customHeight="1" x14ac:dyDescent="0.2">
      <c r="A19" s="323" t="s">
        <v>504</v>
      </c>
      <c r="B19" s="27"/>
      <c r="C19" s="311">
        <v>0</v>
      </c>
      <c r="D19" s="329" t="s">
        <v>797</v>
      </c>
      <c r="E19" s="328" t="s">
        <v>797</v>
      </c>
    </row>
    <row r="20" spans="1:6" ht="27.75" customHeight="1" x14ac:dyDescent="0.2">
      <c r="A20" s="323" t="s">
        <v>505</v>
      </c>
      <c r="B20" s="27"/>
      <c r="C20" s="311">
        <v>0</v>
      </c>
      <c r="D20" s="329" t="s">
        <v>797</v>
      </c>
      <c r="E20" s="328" t="s">
        <v>797</v>
      </c>
    </row>
    <row r="21" spans="1:6" ht="27.75" customHeight="1" x14ac:dyDescent="0.2">
      <c r="A21" s="323" t="s">
        <v>506</v>
      </c>
      <c r="B21" s="27"/>
      <c r="C21" s="311">
        <v>0</v>
      </c>
      <c r="D21" s="329" t="s">
        <v>797</v>
      </c>
      <c r="E21" s="328" t="s">
        <v>797</v>
      </c>
    </row>
    <row r="22" spans="1:6" ht="27.75" customHeight="1" x14ac:dyDescent="0.2">
      <c r="A22" s="322" t="s">
        <v>507</v>
      </c>
      <c r="B22" s="27"/>
      <c r="C22" s="311">
        <v>0</v>
      </c>
      <c r="D22" s="329" t="s">
        <v>797</v>
      </c>
      <c r="E22" s="328" t="s">
        <v>797</v>
      </c>
    </row>
    <row r="23" spans="1:6" ht="27.75" customHeight="1" x14ac:dyDescent="0.2">
      <c r="A23" s="322" t="s">
        <v>508</v>
      </c>
      <c r="B23" s="27"/>
      <c r="C23" s="311">
        <v>0</v>
      </c>
      <c r="D23" s="329" t="s">
        <v>797</v>
      </c>
      <c r="E23" s="328" t="s">
        <v>797</v>
      </c>
    </row>
    <row r="24" spans="1:6" ht="27.75" customHeight="1" x14ac:dyDescent="0.2">
      <c r="A24" s="322" t="s">
        <v>509</v>
      </c>
      <c r="B24" s="27"/>
      <c r="C24" s="311">
        <v>0</v>
      </c>
      <c r="D24" s="329" t="s">
        <v>797</v>
      </c>
      <c r="E24" s="328" t="s">
        <v>797</v>
      </c>
    </row>
    <row r="25" spans="1:6" ht="27.75" customHeight="1" x14ac:dyDescent="0.2">
      <c r="A25" s="322" t="s">
        <v>510</v>
      </c>
      <c r="B25" s="27"/>
      <c r="C25" s="311">
        <v>0</v>
      </c>
      <c r="D25" s="328">
        <v>0</v>
      </c>
      <c r="E25" s="328" t="s">
        <v>797</v>
      </c>
    </row>
    <row r="26" spans="1:6" ht="27.75" customHeight="1" x14ac:dyDescent="0.2">
      <c r="A26" s="322" t="s">
        <v>725</v>
      </c>
      <c r="B26" s="27" t="s">
        <v>1544</v>
      </c>
      <c r="C26" s="311" t="s">
        <v>802</v>
      </c>
      <c r="D26" s="329" t="s">
        <v>797</v>
      </c>
      <c r="E26" s="328" t="s">
        <v>797</v>
      </c>
      <c r="F26" s="347" t="str">
        <f>A26&amp;" with Residual"</f>
        <v>LDNO LV: Domestic Aggregated or CT with Residual</v>
      </c>
    </row>
    <row r="27" spans="1:6" ht="27.75" customHeight="1" x14ac:dyDescent="0.2">
      <c r="A27" s="322" t="s">
        <v>687</v>
      </c>
      <c r="B27" s="27" t="s">
        <v>1545</v>
      </c>
      <c r="C27" s="311" t="s">
        <v>803</v>
      </c>
      <c r="D27" s="329" t="s">
        <v>797</v>
      </c>
      <c r="E27" s="328" t="s">
        <v>797</v>
      </c>
    </row>
    <row r="28" spans="1:6" ht="27.75" customHeight="1" x14ac:dyDescent="0.2">
      <c r="A28" s="322" t="s">
        <v>694</v>
      </c>
      <c r="B28" s="27" t="s">
        <v>1546</v>
      </c>
      <c r="C28" s="311" t="s">
        <v>803</v>
      </c>
      <c r="D28" s="329" t="s">
        <v>797</v>
      </c>
      <c r="E28" s="328" t="s">
        <v>797</v>
      </c>
    </row>
    <row r="29" spans="1:6" ht="27.75" customHeight="1" x14ac:dyDescent="0.2">
      <c r="A29" s="322" t="s">
        <v>701</v>
      </c>
      <c r="B29" s="27" t="s">
        <v>1547</v>
      </c>
      <c r="C29" s="311" t="s">
        <v>803</v>
      </c>
      <c r="D29" s="329" t="s">
        <v>797</v>
      </c>
      <c r="E29" s="328" t="s">
        <v>797</v>
      </c>
    </row>
    <row r="30" spans="1:6" ht="27.75" customHeight="1" x14ac:dyDescent="0.2">
      <c r="A30" s="322" t="s">
        <v>708</v>
      </c>
      <c r="B30" s="27" t="s">
        <v>1548</v>
      </c>
      <c r="C30" s="311" t="s">
        <v>803</v>
      </c>
      <c r="D30" s="329" t="s">
        <v>797</v>
      </c>
      <c r="E30" s="328" t="s">
        <v>797</v>
      </c>
    </row>
    <row r="31" spans="1:6" ht="27.75" customHeight="1" x14ac:dyDescent="0.2">
      <c r="A31" s="322" t="s">
        <v>715</v>
      </c>
      <c r="B31" s="27" t="s">
        <v>1549</v>
      </c>
      <c r="C31" s="311" t="s">
        <v>803</v>
      </c>
      <c r="D31" s="329" t="s">
        <v>797</v>
      </c>
      <c r="E31" s="328" t="s">
        <v>797</v>
      </c>
    </row>
    <row r="32" spans="1:6" ht="27.75" customHeight="1" x14ac:dyDescent="0.2">
      <c r="A32" s="322" t="s">
        <v>544</v>
      </c>
      <c r="B32" s="27" t="s">
        <v>797</v>
      </c>
      <c r="C32" s="311">
        <v>0</v>
      </c>
      <c r="D32" s="329" t="s">
        <v>797</v>
      </c>
      <c r="E32" s="328" t="s">
        <v>797</v>
      </c>
    </row>
    <row r="33" spans="1:6" ht="27.75" customHeight="1" x14ac:dyDescent="0.2">
      <c r="A33" s="322" t="s">
        <v>545</v>
      </c>
      <c r="B33" s="27" t="s">
        <v>1550</v>
      </c>
      <c r="C33" s="311">
        <v>0</v>
      </c>
      <c r="D33" s="329" t="s">
        <v>797</v>
      </c>
      <c r="E33" s="328" t="s">
        <v>797</v>
      </c>
    </row>
    <row r="34" spans="1:6" ht="27.75" customHeight="1" x14ac:dyDescent="0.2">
      <c r="A34" s="322" t="s">
        <v>546</v>
      </c>
      <c r="B34" s="27" t="s">
        <v>1551</v>
      </c>
      <c r="C34" s="311">
        <v>0</v>
      </c>
      <c r="D34" s="329" t="s">
        <v>797</v>
      </c>
      <c r="E34" s="328" t="s">
        <v>797</v>
      </c>
    </row>
    <row r="35" spans="1:6" ht="27.75" customHeight="1" x14ac:dyDescent="0.2">
      <c r="A35" s="322" t="s">
        <v>547</v>
      </c>
      <c r="B35" s="27" t="s">
        <v>1552</v>
      </c>
      <c r="C35" s="311">
        <v>0</v>
      </c>
      <c r="D35" s="329" t="s">
        <v>797</v>
      </c>
      <c r="E35" s="328" t="s">
        <v>797</v>
      </c>
    </row>
    <row r="36" spans="1:6" ht="27.75" customHeight="1" x14ac:dyDescent="0.2">
      <c r="A36" s="323" t="s">
        <v>548</v>
      </c>
      <c r="B36" s="27" t="s">
        <v>1553</v>
      </c>
      <c r="C36" s="311">
        <v>0</v>
      </c>
      <c r="D36" s="328">
        <v>0</v>
      </c>
      <c r="E36" s="328" t="s">
        <v>797</v>
      </c>
    </row>
    <row r="37" spans="1:6" ht="27.75" customHeight="1" x14ac:dyDescent="0.2">
      <c r="A37" s="322" t="s">
        <v>726</v>
      </c>
      <c r="B37" s="27" t="e">
        <v>#N/A</v>
      </c>
      <c r="C37" s="311" t="s">
        <v>802</v>
      </c>
      <c r="D37" s="329" t="s">
        <v>797</v>
      </c>
      <c r="E37" s="328" t="s">
        <v>797</v>
      </c>
      <c r="F37" s="347" t="str">
        <f>A37&amp;" with Residual"</f>
        <v>LDNO HV: Domestic Aggregated or CT with Residual</v>
      </c>
    </row>
    <row r="38" spans="1:6" ht="27.75" customHeight="1" x14ac:dyDescent="0.2">
      <c r="A38" s="322" t="s">
        <v>688</v>
      </c>
      <c r="B38" s="27" t="s">
        <v>1554</v>
      </c>
      <c r="C38" s="311" t="s">
        <v>803</v>
      </c>
      <c r="D38" s="329" t="s">
        <v>797</v>
      </c>
      <c r="E38" s="328" t="s">
        <v>797</v>
      </c>
    </row>
    <row r="39" spans="1:6" ht="27.75" customHeight="1" x14ac:dyDescent="0.2">
      <c r="A39" s="322" t="s">
        <v>695</v>
      </c>
      <c r="B39" s="27" t="s">
        <v>1555</v>
      </c>
      <c r="C39" s="311" t="s">
        <v>803</v>
      </c>
      <c r="D39" s="329" t="s">
        <v>797</v>
      </c>
      <c r="E39" s="328" t="s">
        <v>797</v>
      </c>
    </row>
    <row r="40" spans="1:6" ht="27.75" customHeight="1" x14ac:dyDescent="0.2">
      <c r="A40" s="322" t="s">
        <v>702</v>
      </c>
      <c r="B40" s="27" t="s">
        <v>1556</v>
      </c>
      <c r="C40" s="311" t="s">
        <v>803</v>
      </c>
      <c r="D40" s="329" t="s">
        <v>797</v>
      </c>
      <c r="E40" s="328" t="s">
        <v>797</v>
      </c>
    </row>
    <row r="41" spans="1:6" ht="27.75" customHeight="1" x14ac:dyDescent="0.2">
      <c r="A41" s="322" t="s">
        <v>709</v>
      </c>
      <c r="B41" s="27" t="s">
        <v>1557</v>
      </c>
      <c r="C41" s="311" t="s">
        <v>803</v>
      </c>
      <c r="D41" s="329" t="s">
        <v>797</v>
      </c>
      <c r="E41" s="328" t="s">
        <v>797</v>
      </c>
    </row>
    <row r="42" spans="1:6" ht="27.75" customHeight="1" x14ac:dyDescent="0.2">
      <c r="A42" s="322" t="s">
        <v>716</v>
      </c>
      <c r="B42" s="27" t="s">
        <v>1558</v>
      </c>
      <c r="C42" s="311" t="s">
        <v>803</v>
      </c>
      <c r="D42" s="329" t="s">
        <v>797</v>
      </c>
      <c r="E42" s="328" t="s">
        <v>797</v>
      </c>
    </row>
    <row r="43" spans="1:6" ht="27.75" customHeight="1" x14ac:dyDescent="0.2">
      <c r="A43" s="322" t="s">
        <v>550</v>
      </c>
      <c r="B43" s="27" t="s">
        <v>797</v>
      </c>
      <c r="C43" s="311">
        <v>0</v>
      </c>
      <c r="D43" s="329" t="s">
        <v>797</v>
      </c>
      <c r="E43" s="328" t="s">
        <v>797</v>
      </c>
    </row>
    <row r="44" spans="1:6" ht="27.75" customHeight="1" x14ac:dyDescent="0.2">
      <c r="A44" s="322" t="s">
        <v>551</v>
      </c>
      <c r="B44" s="27" t="s">
        <v>1559</v>
      </c>
      <c r="C44" s="311">
        <v>0</v>
      </c>
      <c r="D44" s="329" t="s">
        <v>797</v>
      </c>
      <c r="E44" s="328" t="s">
        <v>797</v>
      </c>
    </row>
    <row r="45" spans="1:6" ht="27.75" customHeight="1" x14ac:dyDescent="0.2">
      <c r="A45" s="322" t="s">
        <v>552</v>
      </c>
      <c r="B45" s="27" t="s">
        <v>1560</v>
      </c>
      <c r="C45" s="311">
        <v>0</v>
      </c>
      <c r="D45" s="329" t="s">
        <v>797</v>
      </c>
      <c r="E45" s="328" t="s">
        <v>797</v>
      </c>
    </row>
    <row r="46" spans="1:6" ht="27.75" customHeight="1" x14ac:dyDescent="0.2">
      <c r="A46" s="322" t="s">
        <v>553</v>
      </c>
      <c r="B46" s="27" t="s">
        <v>1561</v>
      </c>
      <c r="C46" s="311">
        <v>0</v>
      </c>
      <c r="D46" s="329" t="s">
        <v>797</v>
      </c>
      <c r="E46" s="328" t="s">
        <v>797</v>
      </c>
    </row>
    <row r="47" spans="1:6" ht="27.75" customHeight="1" x14ac:dyDescent="0.2">
      <c r="A47" s="322" t="s">
        <v>554</v>
      </c>
      <c r="B47" s="27" t="s">
        <v>1562</v>
      </c>
      <c r="C47" s="311">
        <v>0</v>
      </c>
      <c r="D47" s="329" t="s">
        <v>797</v>
      </c>
      <c r="E47" s="328" t="s">
        <v>797</v>
      </c>
    </row>
    <row r="48" spans="1:6" ht="27.75" customHeight="1" x14ac:dyDescent="0.2">
      <c r="A48" s="322" t="s">
        <v>555</v>
      </c>
      <c r="B48" s="27" t="s">
        <v>797</v>
      </c>
      <c r="C48" s="311">
        <v>0</v>
      </c>
      <c r="D48" s="329" t="s">
        <v>797</v>
      </c>
      <c r="E48" s="328" t="s">
        <v>797</v>
      </c>
    </row>
    <row r="49" spans="1:6" ht="27.75" customHeight="1" x14ac:dyDescent="0.2">
      <c r="A49" s="322" t="s">
        <v>556</v>
      </c>
      <c r="B49" s="27" t="s">
        <v>1563</v>
      </c>
      <c r="C49" s="311">
        <v>0</v>
      </c>
      <c r="D49" s="329" t="s">
        <v>797</v>
      </c>
      <c r="E49" s="328" t="s">
        <v>797</v>
      </c>
    </row>
    <row r="50" spans="1:6" ht="27.75" customHeight="1" x14ac:dyDescent="0.2">
      <c r="A50" s="322" t="s">
        <v>557</v>
      </c>
      <c r="B50" s="27" t="s">
        <v>1564</v>
      </c>
      <c r="C50" s="311">
        <v>0</v>
      </c>
      <c r="D50" s="329" t="s">
        <v>797</v>
      </c>
      <c r="E50" s="328" t="s">
        <v>797</v>
      </c>
    </row>
    <row r="51" spans="1:6" ht="27.75" customHeight="1" x14ac:dyDescent="0.2">
      <c r="A51" s="322" t="s">
        <v>558</v>
      </c>
      <c r="B51" s="27" t="s">
        <v>1565</v>
      </c>
      <c r="C51" s="311">
        <v>0</v>
      </c>
      <c r="D51" s="329" t="s">
        <v>797</v>
      </c>
      <c r="E51" s="328" t="s">
        <v>797</v>
      </c>
    </row>
    <row r="52" spans="1:6" ht="27.75" customHeight="1" x14ac:dyDescent="0.2">
      <c r="A52" s="322" t="s">
        <v>559</v>
      </c>
      <c r="B52" s="27" t="s">
        <v>1566</v>
      </c>
      <c r="C52" s="311">
        <v>0</v>
      </c>
      <c r="D52" s="329" t="s">
        <v>797</v>
      </c>
      <c r="E52" s="328" t="s">
        <v>797</v>
      </c>
    </row>
    <row r="53" spans="1:6" ht="27.75" customHeight="1" x14ac:dyDescent="0.2">
      <c r="A53" s="322" t="s">
        <v>560</v>
      </c>
      <c r="B53" s="27" t="s">
        <v>797</v>
      </c>
      <c r="C53" s="311">
        <v>0</v>
      </c>
      <c r="D53" s="329" t="s">
        <v>797</v>
      </c>
      <c r="E53" s="328" t="s">
        <v>797</v>
      </c>
    </row>
    <row r="54" spans="1:6" ht="27.75" customHeight="1" x14ac:dyDescent="0.2">
      <c r="A54" s="322" t="s">
        <v>561</v>
      </c>
      <c r="B54" s="27" t="s">
        <v>1567</v>
      </c>
      <c r="C54" s="311">
        <v>0</v>
      </c>
      <c r="D54" s="329" t="s">
        <v>797</v>
      </c>
      <c r="E54" s="328" t="s">
        <v>797</v>
      </c>
    </row>
    <row r="55" spans="1:6" ht="27.75" customHeight="1" x14ac:dyDescent="0.2">
      <c r="A55" s="322" t="s">
        <v>562</v>
      </c>
      <c r="B55" s="27" t="s">
        <v>1568</v>
      </c>
      <c r="C55" s="311">
        <v>0</v>
      </c>
      <c r="D55" s="329" t="s">
        <v>797</v>
      </c>
      <c r="E55" s="328" t="s">
        <v>797</v>
      </c>
    </row>
    <row r="56" spans="1:6" ht="27.75" customHeight="1" x14ac:dyDescent="0.2">
      <c r="A56" s="322" t="s">
        <v>563</v>
      </c>
      <c r="B56" s="27" t="s">
        <v>1569</v>
      </c>
      <c r="C56" s="311">
        <v>0</v>
      </c>
      <c r="D56" s="329" t="s">
        <v>797</v>
      </c>
      <c r="E56" s="328" t="s">
        <v>797</v>
      </c>
    </row>
    <row r="57" spans="1:6" ht="27.75" customHeight="1" x14ac:dyDescent="0.2">
      <c r="A57" s="322" t="s">
        <v>564</v>
      </c>
      <c r="B57" s="27" t="s">
        <v>1570</v>
      </c>
      <c r="C57" s="311">
        <v>0</v>
      </c>
      <c r="D57" s="328">
        <v>0</v>
      </c>
      <c r="E57" s="328" t="s">
        <v>797</v>
      </c>
    </row>
    <row r="58" spans="1:6" ht="27.75" customHeight="1" x14ac:dyDescent="0.2">
      <c r="A58" s="322" t="s">
        <v>727</v>
      </c>
      <c r="B58" s="27" t="e">
        <v>#N/A</v>
      </c>
      <c r="C58" s="311" t="s">
        <v>802</v>
      </c>
      <c r="D58" s="329" t="s">
        <v>797</v>
      </c>
      <c r="E58" s="328" t="s">
        <v>797</v>
      </c>
      <c r="F58" s="347" t="str">
        <f>A58&amp;" with Residual"</f>
        <v>LDNO HVplus: Domestic Aggregated or CT with Residual</v>
      </c>
    </row>
    <row r="59" spans="1:6" ht="27.75" customHeight="1" x14ac:dyDescent="0.2">
      <c r="A59" s="322" t="s">
        <v>689</v>
      </c>
      <c r="B59" s="27" t="s">
        <v>1571</v>
      </c>
      <c r="C59" s="311" t="s">
        <v>803</v>
      </c>
      <c r="D59" s="329" t="s">
        <v>797</v>
      </c>
      <c r="E59" s="328" t="s">
        <v>797</v>
      </c>
    </row>
    <row r="60" spans="1:6" ht="27.75" customHeight="1" x14ac:dyDescent="0.2">
      <c r="A60" s="322" t="s">
        <v>696</v>
      </c>
      <c r="B60" s="27" t="s">
        <v>1572</v>
      </c>
      <c r="C60" s="311" t="s">
        <v>803</v>
      </c>
      <c r="D60" s="329" t="s">
        <v>797</v>
      </c>
      <c r="E60" s="328" t="s">
        <v>797</v>
      </c>
    </row>
    <row r="61" spans="1:6" ht="27.75" customHeight="1" x14ac:dyDescent="0.2">
      <c r="A61" s="322" t="s">
        <v>703</v>
      </c>
      <c r="B61" s="27" t="s">
        <v>1573</v>
      </c>
      <c r="C61" s="311" t="s">
        <v>803</v>
      </c>
      <c r="D61" s="329" t="s">
        <v>797</v>
      </c>
      <c r="E61" s="328" t="s">
        <v>797</v>
      </c>
    </row>
    <row r="62" spans="1:6" ht="27.75" customHeight="1" x14ac:dyDescent="0.2">
      <c r="A62" s="322" t="s">
        <v>710</v>
      </c>
      <c r="B62" s="27" t="s">
        <v>1574</v>
      </c>
      <c r="C62" s="311" t="s">
        <v>803</v>
      </c>
      <c r="D62" s="329" t="s">
        <v>797</v>
      </c>
      <c r="E62" s="328" t="s">
        <v>797</v>
      </c>
    </row>
    <row r="63" spans="1:6" ht="27.75" customHeight="1" x14ac:dyDescent="0.2">
      <c r="A63" s="322" t="s">
        <v>717</v>
      </c>
      <c r="B63" s="27" t="s">
        <v>1575</v>
      </c>
      <c r="C63" s="311" t="s">
        <v>803</v>
      </c>
      <c r="D63" s="329" t="s">
        <v>797</v>
      </c>
      <c r="E63" s="328" t="s">
        <v>797</v>
      </c>
    </row>
    <row r="64" spans="1:6" ht="27.75" customHeight="1" x14ac:dyDescent="0.2">
      <c r="A64" s="322" t="s">
        <v>566</v>
      </c>
      <c r="B64" s="27" t="s">
        <v>797</v>
      </c>
      <c r="C64" s="311">
        <v>0</v>
      </c>
      <c r="D64" s="329" t="s">
        <v>797</v>
      </c>
      <c r="E64" s="328" t="s">
        <v>797</v>
      </c>
    </row>
    <row r="65" spans="1:6" ht="27.75" customHeight="1" x14ac:dyDescent="0.2">
      <c r="A65" s="322" t="s">
        <v>567</v>
      </c>
      <c r="B65" s="27" t="s">
        <v>1576</v>
      </c>
      <c r="C65" s="311">
        <v>0</v>
      </c>
      <c r="D65" s="329" t="s">
        <v>797</v>
      </c>
      <c r="E65" s="328" t="s">
        <v>797</v>
      </c>
    </row>
    <row r="66" spans="1:6" ht="27.75" customHeight="1" x14ac:dyDescent="0.2">
      <c r="A66" s="322" t="s">
        <v>568</v>
      </c>
      <c r="B66" s="27" t="s">
        <v>1577</v>
      </c>
      <c r="C66" s="311">
        <v>0</v>
      </c>
      <c r="D66" s="329" t="s">
        <v>797</v>
      </c>
      <c r="E66" s="328" t="s">
        <v>797</v>
      </c>
    </row>
    <row r="67" spans="1:6" ht="27.75" customHeight="1" x14ac:dyDescent="0.2">
      <c r="A67" s="322" t="s">
        <v>569</v>
      </c>
      <c r="B67" s="27" t="s">
        <v>1578</v>
      </c>
      <c r="C67" s="311">
        <v>0</v>
      </c>
      <c r="D67" s="329" t="s">
        <v>797</v>
      </c>
      <c r="E67" s="328" t="s">
        <v>797</v>
      </c>
    </row>
    <row r="68" spans="1:6" ht="27.75" customHeight="1" x14ac:dyDescent="0.2">
      <c r="A68" s="322" t="s">
        <v>570</v>
      </c>
      <c r="B68" s="27" t="s">
        <v>1579</v>
      </c>
      <c r="C68" s="311">
        <v>0</v>
      </c>
      <c r="D68" s="329" t="s">
        <v>797</v>
      </c>
      <c r="E68" s="328" t="s">
        <v>797</v>
      </c>
    </row>
    <row r="69" spans="1:6" ht="27.75" customHeight="1" x14ac:dyDescent="0.2">
      <c r="A69" s="322" t="s">
        <v>571</v>
      </c>
      <c r="B69" s="27" t="s">
        <v>797</v>
      </c>
      <c r="C69" s="311">
        <v>0</v>
      </c>
      <c r="D69" s="329" t="s">
        <v>797</v>
      </c>
      <c r="E69" s="328" t="s">
        <v>797</v>
      </c>
    </row>
    <row r="70" spans="1:6" ht="27.75" customHeight="1" x14ac:dyDescent="0.2">
      <c r="A70" s="322" t="s">
        <v>572</v>
      </c>
      <c r="B70" s="27" t="s">
        <v>1580</v>
      </c>
      <c r="C70" s="311">
        <v>0</v>
      </c>
      <c r="D70" s="329" t="s">
        <v>797</v>
      </c>
      <c r="E70" s="328" t="s">
        <v>797</v>
      </c>
    </row>
    <row r="71" spans="1:6" ht="27.75" customHeight="1" x14ac:dyDescent="0.2">
      <c r="A71" s="322" t="s">
        <v>573</v>
      </c>
      <c r="B71" s="27" t="s">
        <v>1581</v>
      </c>
      <c r="C71" s="311">
        <v>0</v>
      </c>
      <c r="D71" s="329" t="s">
        <v>797</v>
      </c>
      <c r="E71" s="328" t="s">
        <v>797</v>
      </c>
    </row>
    <row r="72" spans="1:6" ht="27.75" customHeight="1" x14ac:dyDescent="0.2">
      <c r="A72" s="322" t="s">
        <v>574</v>
      </c>
      <c r="B72" s="27" t="s">
        <v>1582</v>
      </c>
      <c r="C72" s="311">
        <v>0</v>
      </c>
      <c r="D72" s="329" t="s">
        <v>797</v>
      </c>
      <c r="E72" s="328" t="s">
        <v>797</v>
      </c>
    </row>
    <row r="73" spans="1:6" ht="27.75" customHeight="1" x14ac:dyDescent="0.2">
      <c r="A73" s="322" t="s">
        <v>575</v>
      </c>
      <c r="B73" s="27" t="s">
        <v>1583</v>
      </c>
      <c r="C73" s="311">
        <v>0</v>
      </c>
      <c r="D73" s="329" t="s">
        <v>797</v>
      </c>
      <c r="E73" s="328" t="s">
        <v>797</v>
      </c>
    </row>
    <row r="74" spans="1:6" ht="27.75" customHeight="1" x14ac:dyDescent="0.2">
      <c r="A74" s="322" t="s">
        <v>576</v>
      </c>
      <c r="B74" s="27" t="s">
        <v>797</v>
      </c>
      <c r="C74" s="311">
        <v>0</v>
      </c>
      <c r="D74" s="329" t="s">
        <v>797</v>
      </c>
      <c r="E74" s="328" t="s">
        <v>797</v>
      </c>
    </row>
    <row r="75" spans="1:6" ht="27.75" customHeight="1" x14ac:dyDescent="0.2">
      <c r="A75" s="322" t="s">
        <v>577</v>
      </c>
      <c r="B75" s="27" t="s">
        <v>1584</v>
      </c>
      <c r="C75" s="311">
        <v>0</v>
      </c>
      <c r="D75" s="329" t="s">
        <v>797</v>
      </c>
      <c r="E75" s="328" t="s">
        <v>797</v>
      </c>
    </row>
    <row r="76" spans="1:6" ht="27.75" customHeight="1" x14ac:dyDescent="0.2">
      <c r="A76" s="322" t="s">
        <v>578</v>
      </c>
      <c r="B76" s="27" t="s">
        <v>1585</v>
      </c>
      <c r="C76" s="311">
        <v>0</v>
      </c>
      <c r="D76" s="329" t="s">
        <v>797</v>
      </c>
      <c r="E76" s="328" t="s">
        <v>797</v>
      </c>
    </row>
    <row r="77" spans="1:6" ht="27.75" customHeight="1" x14ac:dyDescent="0.2">
      <c r="A77" s="322" t="s">
        <v>579</v>
      </c>
      <c r="B77" s="27" t="s">
        <v>1586</v>
      </c>
      <c r="C77" s="311">
        <v>0</v>
      </c>
      <c r="D77" s="329" t="s">
        <v>797</v>
      </c>
      <c r="E77" s="328" t="s">
        <v>797</v>
      </c>
    </row>
    <row r="78" spans="1:6" ht="27.75" customHeight="1" x14ac:dyDescent="0.2">
      <c r="A78" s="322" t="s">
        <v>580</v>
      </c>
      <c r="B78" s="27" t="s">
        <v>1587</v>
      </c>
      <c r="C78" s="311">
        <v>0</v>
      </c>
      <c r="D78" s="328">
        <v>0</v>
      </c>
      <c r="E78" s="328" t="s">
        <v>797</v>
      </c>
    </row>
    <row r="79" spans="1:6" ht="27.75" customHeight="1" x14ac:dyDescent="0.2">
      <c r="A79" s="322" t="s">
        <v>728</v>
      </c>
      <c r="B79" s="27" t="e">
        <v>#N/A</v>
      </c>
      <c r="C79" s="311" t="s">
        <v>802</v>
      </c>
      <c r="D79" s="329" t="s">
        <v>797</v>
      </c>
      <c r="E79" s="328" t="s">
        <v>797</v>
      </c>
      <c r="F79" s="347" t="str">
        <f>A79&amp;" with Residual"</f>
        <v>LDNO EHV: Domestic Aggregated or CT with Residual</v>
      </c>
    </row>
    <row r="80" spans="1:6" ht="27.75" customHeight="1" x14ac:dyDescent="0.2">
      <c r="A80" s="322" t="s">
        <v>690</v>
      </c>
      <c r="B80" s="27" t="s">
        <v>1588</v>
      </c>
      <c r="C80" s="311" t="s">
        <v>803</v>
      </c>
      <c r="D80" s="329" t="s">
        <v>797</v>
      </c>
      <c r="E80" s="328" t="s">
        <v>797</v>
      </c>
    </row>
    <row r="81" spans="1:5" ht="27.75" customHeight="1" x14ac:dyDescent="0.2">
      <c r="A81" s="322" t="s">
        <v>697</v>
      </c>
      <c r="B81" s="27" t="s">
        <v>1589</v>
      </c>
      <c r="C81" s="311" t="s">
        <v>803</v>
      </c>
      <c r="D81" s="329" t="s">
        <v>797</v>
      </c>
      <c r="E81" s="328" t="s">
        <v>797</v>
      </c>
    </row>
    <row r="82" spans="1:5" ht="27.75" customHeight="1" x14ac:dyDescent="0.2">
      <c r="A82" s="322" t="s">
        <v>704</v>
      </c>
      <c r="B82" s="27" t="s">
        <v>1590</v>
      </c>
      <c r="C82" s="311" t="s">
        <v>803</v>
      </c>
      <c r="D82" s="329" t="s">
        <v>797</v>
      </c>
      <c r="E82" s="328" t="s">
        <v>797</v>
      </c>
    </row>
    <row r="83" spans="1:5" ht="27.75" customHeight="1" x14ac:dyDescent="0.2">
      <c r="A83" s="322" t="s">
        <v>711</v>
      </c>
      <c r="B83" s="27" t="s">
        <v>1591</v>
      </c>
      <c r="C83" s="311" t="s">
        <v>803</v>
      </c>
      <c r="D83" s="329" t="s">
        <v>797</v>
      </c>
      <c r="E83" s="328" t="s">
        <v>797</v>
      </c>
    </row>
    <row r="84" spans="1:5" ht="27.75" customHeight="1" x14ac:dyDescent="0.2">
      <c r="A84" s="322" t="s">
        <v>718</v>
      </c>
      <c r="B84" s="27" t="s">
        <v>1592</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1593</v>
      </c>
      <c r="C86" s="311">
        <v>0</v>
      </c>
      <c r="D86" s="329" t="s">
        <v>797</v>
      </c>
      <c r="E86" s="328" t="s">
        <v>797</v>
      </c>
    </row>
    <row r="87" spans="1:5" ht="27.75" customHeight="1" x14ac:dyDescent="0.2">
      <c r="A87" s="322" t="s">
        <v>584</v>
      </c>
      <c r="B87" s="27" t="s">
        <v>1594</v>
      </c>
      <c r="C87" s="311">
        <v>0</v>
      </c>
      <c r="D87" s="329" t="s">
        <v>797</v>
      </c>
      <c r="E87" s="328" t="s">
        <v>797</v>
      </c>
    </row>
    <row r="88" spans="1:5" ht="27.75" customHeight="1" x14ac:dyDescent="0.2">
      <c r="A88" s="322" t="s">
        <v>585</v>
      </c>
      <c r="B88" s="27" t="s">
        <v>1595</v>
      </c>
      <c r="C88" s="311">
        <v>0</v>
      </c>
      <c r="D88" s="329" t="s">
        <v>797</v>
      </c>
      <c r="E88" s="328" t="s">
        <v>797</v>
      </c>
    </row>
    <row r="89" spans="1:5" ht="27.75" customHeight="1" x14ac:dyDescent="0.2">
      <c r="A89" s="322" t="s">
        <v>586</v>
      </c>
      <c r="B89" s="27" t="s">
        <v>1596</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1597</v>
      </c>
      <c r="C91" s="311">
        <v>0</v>
      </c>
      <c r="D91" s="329" t="s">
        <v>797</v>
      </c>
      <c r="E91" s="328" t="s">
        <v>797</v>
      </c>
    </row>
    <row r="92" spans="1:5" ht="27.75" customHeight="1" x14ac:dyDescent="0.2">
      <c r="A92" s="322" t="s">
        <v>589</v>
      </c>
      <c r="B92" s="27" t="s">
        <v>1598</v>
      </c>
      <c r="C92" s="311">
        <v>0</v>
      </c>
      <c r="D92" s="329" t="s">
        <v>797</v>
      </c>
      <c r="E92" s="328" t="s">
        <v>797</v>
      </c>
    </row>
    <row r="93" spans="1:5" ht="27.75" customHeight="1" x14ac:dyDescent="0.2">
      <c r="A93" s="322" t="s">
        <v>590</v>
      </c>
      <c r="B93" s="27" t="s">
        <v>1599</v>
      </c>
      <c r="C93" s="311">
        <v>0</v>
      </c>
      <c r="D93" s="329" t="s">
        <v>797</v>
      </c>
      <c r="E93" s="328" t="s">
        <v>797</v>
      </c>
    </row>
    <row r="94" spans="1:5" ht="27.75" customHeight="1" x14ac:dyDescent="0.2">
      <c r="A94" s="322" t="s">
        <v>591</v>
      </c>
      <c r="B94" s="27" t="s">
        <v>1600</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1601</v>
      </c>
      <c r="C96" s="311">
        <v>0</v>
      </c>
      <c r="D96" s="329" t="s">
        <v>797</v>
      </c>
      <c r="E96" s="328" t="s">
        <v>797</v>
      </c>
    </row>
    <row r="97" spans="1:5" ht="27.75" customHeight="1" x14ac:dyDescent="0.2">
      <c r="A97" s="322" t="s">
        <v>594</v>
      </c>
      <c r="B97" s="27" t="s">
        <v>1602</v>
      </c>
      <c r="C97" s="311">
        <v>0</v>
      </c>
      <c r="D97" s="329" t="s">
        <v>797</v>
      </c>
      <c r="E97" s="328" t="s">
        <v>797</v>
      </c>
    </row>
    <row r="98" spans="1:5" ht="27.75" customHeight="1" x14ac:dyDescent="0.2">
      <c r="A98" s="322" t="s">
        <v>595</v>
      </c>
      <c r="B98" s="27" t="s">
        <v>1603</v>
      </c>
      <c r="C98" s="311">
        <v>0</v>
      </c>
      <c r="D98" s="329" t="s">
        <v>797</v>
      </c>
      <c r="E98" s="328" t="s">
        <v>797</v>
      </c>
    </row>
    <row r="99" spans="1:5" ht="27.75" customHeight="1" x14ac:dyDescent="0.2">
      <c r="A99" s="322" t="s">
        <v>596</v>
      </c>
      <c r="B99" s="27"/>
      <c r="C99" s="311">
        <v>0</v>
      </c>
      <c r="D99" s="328">
        <v>0</v>
      </c>
      <c r="E99" s="328" t="s">
        <v>797</v>
      </c>
    </row>
    <row r="100" spans="1:5" ht="27.75" customHeight="1" x14ac:dyDescent="0.2">
      <c r="A100" s="322" t="s">
        <v>729</v>
      </c>
      <c r="B100" s="27"/>
      <c r="C100" s="311" t="s">
        <v>802</v>
      </c>
      <c r="D100" s="329"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8">
        <v>0</v>
      </c>
      <c r="E120" s="328" t="s">
        <v>797</v>
      </c>
    </row>
    <row r="121" spans="1:5" ht="27.75" customHeight="1" x14ac:dyDescent="0.2">
      <c r="A121" s="322" t="s">
        <v>730</v>
      </c>
      <c r="B121" s="27"/>
      <c r="C121" s="311" t="s">
        <v>802</v>
      </c>
      <c r="D121" s="329"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8">
        <v>0</v>
      </c>
      <c r="E141" s="328" t="s">
        <v>797</v>
      </c>
    </row>
    <row r="142" spans="1:5" ht="27.75" customHeight="1" x14ac:dyDescent="0.2">
      <c r="A142" s="322" t="s">
        <v>731</v>
      </c>
      <c r="B142" s="27"/>
      <c r="C142" s="311" t="s">
        <v>802</v>
      </c>
      <c r="D142" s="329"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8634C2B6-0051-4FAA-AFA1-910B9B2764D7}"/>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4EA6-7BF0-4664-84C4-49002857E5C3}">
  <dimension ref="A1:M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4"/>
      <c r="C1" s="524"/>
      <c r="D1" s="327"/>
      <c r="E1" s="327"/>
    </row>
    <row r="2" spans="1:13" ht="35.1" customHeight="1" x14ac:dyDescent="0.2">
      <c r="A2" s="525" t="str">
        <f>Overview!B4&amp; " - Effective from "&amp;TEXT(Overview!D4,"d mmmm yyyy")&amp;" - "&amp;Overview!E4&amp;" Supplier of Last Resort and Eligible Bad Debt Pass-Through Costs"&amp;" in SSE SEPD Area (GSP Group_H)"</f>
        <v>Leep Electricity Networks Limited - Effective from 1 April 2027 - Final Supplier of Last Resort and Eligible Bad Debt Pass-Through Costs in SSE SEPD Area (GSP Group_H)</v>
      </c>
      <c r="B2" s="526"/>
      <c r="C2" s="526"/>
      <c r="D2" s="526"/>
      <c r="E2" s="526"/>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399"/>
      <c r="H4" s="400"/>
      <c r="I4" s="400"/>
      <c r="J4" s="400"/>
      <c r="K4" s="400"/>
      <c r="L4" s="400"/>
      <c r="M4" s="401"/>
    </row>
    <row r="5" spans="1:13" ht="32.25" customHeight="1" x14ac:dyDescent="0.2">
      <c r="A5" s="10" t="s">
        <v>674</v>
      </c>
      <c r="B5" s="27"/>
      <c r="C5" s="311" t="s">
        <v>802</v>
      </c>
      <c r="D5" s="328" t="s">
        <v>797</v>
      </c>
      <c r="E5" s="328" t="s">
        <v>797</v>
      </c>
      <c r="G5" s="400"/>
      <c r="H5" s="400"/>
      <c r="I5" s="400"/>
      <c r="J5" s="400"/>
      <c r="K5" s="400"/>
      <c r="L5" s="400"/>
      <c r="M5" s="401"/>
    </row>
    <row r="6" spans="1:13" ht="27" customHeight="1" x14ac:dyDescent="0.2">
      <c r="A6" s="10" t="s">
        <v>675</v>
      </c>
      <c r="B6" s="27"/>
      <c r="C6" s="311" t="s">
        <v>803</v>
      </c>
      <c r="D6" s="329" t="s">
        <v>797</v>
      </c>
      <c r="E6" s="328" t="s">
        <v>797</v>
      </c>
    </row>
    <row r="7" spans="1:13" ht="27" customHeight="1" x14ac:dyDescent="0.2">
      <c r="A7" s="10" t="s">
        <v>676</v>
      </c>
      <c r="B7" s="27"/>
      <c r="C7" s="311" t="s">
        <v>803</v>
      </c>
      <c r="D7" s="329" t="s">
        <v>797</v>
      </c>
      <c r="E7" s="328" t="s">
        <v>797</v>
      </c>
    </row>
    <row r="8" spans="1:13" ht="27" customHeight="1" x14ac:dyDescent="0.2">
      <c r="A8" s="10" t="s">
        <v>677</v>
      </c>
      <c r="B8" s="27"/>
      <c r="C8" s="311" t="s">
        <v>803</v>
      </c>
      <c r="D8" s="329" t="s">
        <v>797</v>
      </c>
      <c r="E8" s="328" t="s">
        <v>797</v>
      </c>
    </row>
    <row r="9" spans="1:13" ht="27" customHeight="1" x14ac:dyDescent="0.2">
      <c r="A9" s="10" t="s">
        <v>678</v>
      </c>
      <c r="B9" s="27"/>
      <c r="C9" s="311" t="s">
        <v>803</v>
      </c>
      <c r="D9" s="329" t="s">
        <v>797</v>
      </c>
      <c r="E9" s="328" t="s">
        <v>797</v>
      </c>
    </row>
    <row r="10" spans="1:13" ht="27" customHeight="1" x14ac:dyDescent="0.2">
      <c r="A10" s="10" t="s">
        <v>679</v>
      </c>
      <c r="B10" s="27"/>
      <c r="C10" s="311" t="s">
        <v>803</v>
      </c>
      <c r="D10" s="329" t="s">
        <v>797</v>
      </c>
      <c r="E10" s="328" t="s">
        <v>797</v>
      </c>
    </row>
    <row r="11" spans="1:13" ht="27" customHeight="1" x14ac:dyDescent="0.2">
      <c r="A11" s="322" t="s">
        <v>496</v>
      </c>
      <c r="B11" s="27"/>
      <c r="C11" s="311">
        <v>0</v>
      </c>
      <c r="D11" s="329" t="s">
        <v>797</v>
      </c>
      <c r="E11" s="328" t="s">
        <v>797</v>
      </c>
    </row>
    <row r="12" spans="1:13" ht="27" customHeight="1" x14ac:dyDescent="0.2">
      <c r="A12" s="322" t="s">
        <v>497</v>
      </c>
      <c r="B12" s="27"/>
      <c r="C12" s="311">
        <v>0</v>
      </c>
      <c r="D12" s="329" t="s">
        <v>797</v>
      </c>
      <c r="E12" s="328" t="s">
        <v>797</v>
      </c>
    </row>
    <row r="13" spans="1:13" ht="27.75" customHeight="1" x14ac:dyDescent="0.2">
      <c r="A13" s="322" t="s">
        <v>498</v>
      </c>
      <c r="B13" s="27"/>
      <c r="C13" s="311">
        <v>0</v>
      </c>
      <c r="D13" s="329" t="s">
        <v>797</v>
      </c>
      <c r="E13" s="328" t="s">
        <v>797</v>
      </c>
    </row>
    <row r="14" spans="1:13" ht="27.75" customHeight="1" x14ac:dyDescent="0.2">
      <c r="A14" s="323" t="s">
        <v>499</v>
      </c>
      <c r="B14" s="27"/>
      <c r="C14" s="311">
        <v>0</v>
      </c>
      <c r="D14" s="329" t="s">
        <v>797</v>
      </c>
      <c r="E14" s="328" t="s">
        <v>797</v>
      </c>
    </row>
    <row r="15" spans="1:13" ht="27.75" customHeight="1" x14ac:dyDescent="0.2">
      <c r="A15" s="323" t="s">
        <v>500</v>
      </c>
      <c r="B15" s="27"/>
      <c r="C15" s="311">
        <v>0</v>
      </c>
      <c r="D15" s="329" t="s">
        <v>797</v>
      </c>
      <c r="E15" s="328" t="s">
        <v>797</v>
      </c>
    </row>
    <row r="16" spans="1:13" ht="27.75" customHeight="1" x14ac:dyDescent="0.2">
      <c r="A16" s="323" t="s">
        <v>501</v>
      </c>
      <c r="B16" s="27"/>
      <c r="C16" s="311">
        <v>0</v>
      </c>
      <c r="D16" s="329" t="s">
        <v>797</v>
      </c>
      <c r="E16" s="328" t="s">
        <v>797</v>
      </c>
    </row>
    <row r="17" spans="1:6" ht="27.75" customHeight="1" x14ac:dyDescent="0.2">
      <c r="A17" s="323" t="s">
        <v>502</v>
      </c>
      <c r="B17" s="27"/>
      <c r="C17" s="311">
        <v>0</v>
      </c>
      <c r="D17" s="329" t="s">
        <v>797</v>
      </c>
      <c r="E17" s="328" t="s">
        <v>797</v>
      </c>
    </row>
    <row r="18" spans="1:6" ht="27.75" customHeight="1" x14ac:dyDescent="0.2">
      <c r="A18" s="323" t="s">
        <v>503</v>
      </c>
      <c r="B18" s="27"/>
      <c r="C18" s="311">
        <v>0</v>
      </c>
      <c r="D18" s="329" t="s">
        <v>797</v>
      </c>
      <c r="E18" s="328" t="s">
        <v>797</v>
      </c>
    </row>
    <row r="19" spans="1:6" ht="27.75" customHeight="1" x14ac:dyDescent="0.2">
      <c r="A19" s="323" t="s">
        <v>504</v>
      </c>
      <c r="B19" s="27"/>
      <c r="C19" s="311">
        <v>0</v>
      </c>
      <c r="D19" s="329" t="s">
        <v>797</v>
      </c>
      <c r="E19" s="328" t="s">
        <v>797</v>
      </c>
    </row>
    <row r="20" spans="1:6" ht="27.75" customHeight="1" x14ac:dyDescent="0.2">
      <c r="A20" s="323" t="s">
        <v>505</v>
      </c>
      <c r="B20" s="27"/>
      <c r="C20" s="311">
        <v>0</v>
      </c>
      <c r="D20" s="329" t="s">
        <v>797</v>
      </c>
      <c r="E20" s="328" t="s">
        <v>797</v>
      </c>
    </row>
    <row r="21" spans="1:6" ht="27.75" customHeight="1" x14ac:dyDescent="0.2">
      <c r="A21" s="323" t="s">
        <v>506</v>
      </c>
      <c r="B21" s="27"/>
      <c r="C21" s="311">
        <v>0</v>
      </c>
      <c r="D21" s="329" t="s">
        <v>797</v>
      </c>
      <c r="E21" s="328" t="s">
        <v>797</v>
      </c>
    </row>
    <row r="22" spans="1:6" ht="27.75" customHeight="1" x14ac:dyDescent="0.2">
      <c r="A22" s="322" t="s">
        <v>507</v>
      </c>
      <c r="B22" s="27"/>
      <c r="C22" s="311">
        <v>0</v>
      </c>
      <c r="D22" s="329" t="s">
        <v>797</v>
      </c>
      <c r="E22" s="328" t="s">
        <v>797</v>
      </c>
    </row>
    <row r="23" spans="1:6" ht="27.75" customHeight="1" x14ac:dyDescent="0.2">
      <c r="A23" s="322" t="s">
        <v>508</v>
      </c>
      <c r="B23" s="27"/>
      <c r="C23" s="311">
        <v>0</v>
      </c>
      <c r="D23" s="329" t="s">
        <v>797</v>
      </c>
      <c r="E23" s="328" t="s">
        <v>797</v>
      </c>
    </row>
    <row r="24" spans="1:6" ht="27.75" customHeight="1" x14ac:dyDescent="0.2">
      <c r="A24" s="322" t="s">
        <v>509</v>
      </c>
      <c r="B24" s="27"/>
      <c r="C24" s="311">
        <v>0</v>
      </c>
      <c r="D24" s="329" t="s">
        <v>797</v>
      </c>
      <c r="E24" s="328" t="s">
        <v>797</v>
      </c>
    </row>
    <row r="25" spans="1:6" ht="27.75" customHeight="1" x14ac:dyDescent="0.2">
      <c r="A25" s="322" t="s">
        <v>510</v>
      </c>
      <c r="B25" s="27"/>
      <c r="C25" s="311">
        <v>0</v>
      </c>
      <c r="D25" s="328" t="s">
        <v>797</v>
      </c>
      <c r="E25" s="328" t="s">
        <v>797</v>
      </c>
    </row>
    <row r="26" spans="1:6" ht="27.75" customHeight="1" x14ac:dyDescent="0.2">
      <c r="A26" s="322" t="s">
        <v>680</v>
      </c>
      <c r="B26" s="27" t="s">
        <v>1604</v>
      </c>
      <c r="C26" s="311" t="s">
        <v>802</v>
      </c>
      <c r="D26" s="329" t="s">
        <v>797</v>
      </c>
      <c r="E26" s="328" t="s">
        <v>797</v>
      </c>
      <c r="F26" s="347" t="str">
        <f>A26&amp;" with Residual"</f>
        <v>LDNO LV: Domestic Aggregated or CT with Residual with Residual</v>
      </c>
    </row>
    <row r="27" spans="1:6" ht="27.75" customHeight="1" x14ac:dyDescent="0.2">
      <c r="A27" s="322" t="s">
        <v>687</v>
      </c>
      <c r="B27" s="27" t="s">
        <v>1605</v>
      </c>
      <c r="C27" s="311" t="s">
        <v>803</v>
      </c>
      <c r="D27" s="329" t="s">
        <v>797</v>
      </c>
      <c r="E27" s="328" t="s">
        <v>797</v>
      </c>
    </row>
    <row r="28" spans="1:6" ht="27.75" customHeight="1" x14ac:dyDescent="0.2">
      <c r="A28" s="322" t="s">
        <v>694</v>
      </c>
      <c r="B28" s="27" t="s">
        <v>1606</v>
      </c>
      <c r="C28" s="311" t="s">
        <v>803</v>
      </c>
      <c r="D28" s="329" t="s">
        <v>797</v>
      </c>
      <c r="E28" s="328" t="s">
        <v>797</v>
      </c>
    </row>
    <row r="29" spans="1:6" ht="27.75" customHeight="1" x14ac:dyDescent="0.2">
      <c r="A29" s="322" t="s">
        <v>701</v>
      </c>
      <c r="B29" s="27" t="s">
        <v>1607</v>
      </c>
      <c r="C29" s="311" t="s">
        <v>803</v>
      </c>
      <c r="D29" s="329" t="s">
        <v>797</v>
      </c>
      <c r="E29" s="328" t="s">
        <v>797</v>
      </c>
    </row>
    <row r="30" spans="1:6" ht="27.75" customHeight="1" x14ac:dyDescent="0.2">
      <c r="A30" s="322" t="s">
        <v>708</v>
      </c>
      <c r="B30" s="27" t="s">
        <v>1608</v>
      </c>
      <c r="C30" s="311" t="s">
        <v>803</v>
      </c>
      <c r="D30" s="329" t="s">
        <v>797</v>
      </c>
      <c r="E30" s="328" t="s">
        <v>797</v>
      </c>
    </row>
    <row r="31" spans="1:6" ht="27.75" customHeight="1" x14ac:dyDescent="0.2">
      <c r="A31" s="322" t="s">
        <v>715</v>
      </c>
      <c r="B31" s="27" t="s">
        <v>1609</v>
      </c>
      <c r="C31" s="311" t="s">
        <v>803</v>
      </c>
      <c r="D31" s="329" t="s">
        <v>797</v>
      </c>
      <c r="E31" s="328" t="s">
        <v>797</v>
      </c>
    </row>
    <row r="32" spans="1:6" ht="27.75" customHeight="1" x14ac:dyDescent="0.2">
      <c r="A32" s="322" t="s">
        <v>544</v>
      </c>
      <c r="B32" s="27" t="s">
        <v>797</v>
      </c>
      <c r="C32" s="311">
        <v>0</v>
      </c>
      <c r="D32" s="329" t="s">
        <v>797</v>
      </c>
      <c r="E32" s="328" t="s">
        <v>797</v>
      </c>
    </row>
    <row r="33" spans="1:6" ht="27.75" customHeight="1" x14ac:dyDescent="0.2">
      <c r="A33" s="322" t="s">
        <v>545</v>
      </c>
      <c r="B33" s="27" t="s">
        <v>1610</v>
      </c>
      <c r="C33" s="311">
        <v>0</v>
      </c>
      <c r="D33" s="329" t="s">
        <v>797</v>
      </c>
      <c r="E33" s="328" t="s">
        <v>797</v>
      </c>
    </row>
    <row r="34" spans="1:6" ht="27.75" customHeight="1" x14ac:dyDescent="0.2">
      <c r="A34" s="322" t="s">
        <v>546</v>
      </c>
      <c r="B34" s="27" t="s">
        <v>1611</v>
      </c>
      <c r="C34" s="311">
        <v>0</v>
      </c>
      <c r="D34" s="329" t="s">
        <v>797</v>
      </c>
      <c r="E34" s="328" t="s">
        <v>797</v>
      </c>
    </row>
    <row r="35" spans="1:6" ht="27.75" customHeight="1" x14ac:dyDescent="0.2">
      <c r="A35" s="322" t="s">
        <v>547</v>
      </c>
      <c r="B35" s="27" t="s">
        <v>1612</v>
      </c>
      <c r="C35" s="311">
        <v>0</v>
      </c>
      <c r="D35" s="329" t="s">
        <v>797</v>
      </c>
      <c r="E35" s="328" t="s">
        <v>797</v>
      </c>
    </row>
    <row r="36" spans="1:6" ht="27.75" customHeight="1" x14ac:dyDescent="0.2">
      <c r="A36" s="323" t="s">
        <v>548</v>
      </c>
      <c r="B36" s="27" t="s">
        <v>1613</v>
      </c>
      <c r="C36" s="311">
        <v>0</v>
      </c>
      <c r="D36" s="328" t="s">
        <v>797</v>
      </c>
      <c r="E36" s="328" t="s">
        <v>797</v>
      </c>
    </row>
    <row r="37" spans="1:6" ht="27.75" customHeight="1" x14ac:dyDescent="0.2">
      <c r="A37" s="322" t="s">
        <v>681</v>
      </c>
      <c r="B37" s="27" t="e">
        <v>#N/A</v>
      </c>
      <c r="C37" s="311" t="s">
        <v>802</v>
      </c>
      <c r="D37" s="329" t="s">
        <v>797</v>
      </c>
      <c r="E37" s="328" t="s">
        <v>797</v>
      </c>
      <c r="F37" s="347" t="str">
        <f>A37&amp;" with Residual"</f>
        <v>LDNO HV: Domestic Aggregated or CT with Residual with Residual</v>
      </c>
    </row>
    <row r="38" spans="1:6" ht="27.75" customHeight="1" x14ac:dyDescent="0.2">
      <c r="A38" s="322" t="s">
        <v>688</v>
      </c>
      <c r="B38" s="27" t="s">
        <v>1614</v>
      </c>
      <c r="C38" s="311" t="s">
        <v>803</v>
      </c>
      <c r="D38" s="329" t="s">
        <v>797</v>
      </c>
      <c r="E38" s="328" t="s">
        <v>797</v>
      </c>
    </row>
    <row r="39" spans="1:6" ht="27.75" customHeight="1" x14ac:dyDescent="0.2">
      <c r="A39" s="322" t="s">
        <v>695</v>
      </c>
      <c r="B39" s="27" t="s">
        <v>1615</v>
      </c>
      <c r="C39" s="311" t="s">
        <v>803</v>
      </c>
      <c r="D39" s="329" t="s">
        <v>797</v>
      </c>
      <c r="E39" s="328" t="s">
        <v>797</v>
      </c>
    </row>
    <row r="40" spans="1:6" ht="27.75" customHeight="1" x14ac:dyDescent="0.2">
      <c r="A40" s="322" t="s">
        <v>702</v>
      </c>
      <c r="B40" s="27" t="s">
        <v>1616</v>
      </c>
      <c r="C40" s="311" t="s">
        <v>803</v>
      </c>
      <c r="D40" s="329" t="s">
        <v>797</v>
      </c>
      <c r="E40" s="328" t="s">
        <v>797</v>
      </c>
    </row>
    <row r="41" spans="1:6" ht="27.75" customHeight="1" x14ac:dyDescent="0.2">
      <c r="A41" s="322" t="s">
        <v>709</v>
      </c>
      <c r="B41" s="27" t="s">
        <v>1617</v>
      </c>
      <c r="C41" s="311" t="s">
        <v>803</v>
      </c>
      <c r="D41" s="329" t="s">
        <v>797</v>
      </c>
      <c r="E41" s="328" t="s">
        <v>797</v>
      </c>
    </row>
    <row r="42" spans="1:6" ht="27.75" customHeight="1" x14ac:dyDescent="0.2">
      <c r="A42" s="322" t="s">
        <v>716</v>
      </c>
      <c r="B42" s="27" t="s">
        <v>1618</v>
      </c>
      <c r="C42" s="311" t="s">
        <v>803</v>
      </c>
      <c r="D42" s="329" t="s">
        <v>797</v>
      </c>
      <c r="E42" s="328" t="s">
        <v>797</v>
      </c>
    </row>
    <row r="43" spans="1:6" ht="27.75" customHeight="1" x14ac:dyDescent="0.2">
      <c r="A43" s="322" t="s">
        <v>550</v>
      </c>
      <c r="B43" s="27" t="s">
        <v>797</v>
      </c>
      <c r="C43" s="311">
        <v>0</v>
      </c>
      <c r="D43" s="329" t="s">
        <v>797</v>
      </c>
      <c r="E43" s="328" t="s">
        <v>797</v>
      </c>
    </row>
    <row r="44" spans="1:6" ht="27.75" customHeight="1" x14ac:dyDescent="0.2">
      <c r="A44" s="322" t="s">
        <v>551</v>
      </c>
      <c r="B44" s="27" t="s">
        <v>1619</v>
      </c>
      <c r="C44" s="311">
        <v>0</v>
      </c>
      <c r="D44" s="329" t="s">
        <v>797</v>
      </c>
      <c r="E44" s="328" t="s">
        <v>797</v>
      </c>
    </row>
    <row r="45" spans="1:6" ht="27.75" customHeight="1" x14ac:dyDescent="0.2">
      <c r="A45" s="322" t="s">
        <v>552</v>
      </c>
      <c r="B45" s="27" t="s">
        <v>1620</v>
      </c>
      <c r="C45" s="311">
        <v>0</v>
      </c>
      <c r="D45" s="329" t="s">
        <v>797</v>
      </c>
      <c r="E45" s="328" t="s">
        <v>797</v>
      </c>
    </row>
    <row r="46" spans="1:6" ht="27.75" customHeight="1" x14ac:dyDescent="0.2">
      <c r="A46" s="322" t="s">
        <v>553</v>
      </c>
      <c r="B46" s="27" t="s">
        <v>1621</v>
      </c>
      <c r="C46" s="311">
        <v>0</v>
      </c>
      <c r="D46" s="329" t="s">
        <v>797</v>
      </c>
      <c r="E46" s="328" t="s">
        <v>797</v>
      </c>
    </row>
    <row r="47" spans="1:6" ht="27.75" customHeight="1" x14ac:dyDescent="0.2">
      <c r="A47" s="322" t="s">
        <v>554</v>
      </c>
      <c r="B47" s="27" t="s">
        <v>1622</v>
      </c>
      <c r="C47" s="311">
        <v>0</v>
      </c>
      <c r="D47" s="329" t="s">
        <v>797</v>
      </c>
      <c r="E47" s="328" t="s">
        <v>797</v>
      </c>
    </row>
    <row r="48" spans="1:6" ht="27.75" customHeight="1" x14ac:dyDescent="0.2">
      <c r="A48" s="322" t="s">
        <v>555</v>
      </c>
      <c r="B48" s="27" t="s">
        <v>797</v>
      </c>
      <c r="C48" s="311">
        <v>0</v>
      </c>
      <c r="D48" s="329" t="s">
        <v>797</v>
      </c>
      <c r="E48" s="328" t="s">
        <v>797</v>
      </c>
    </row>
    <row r="49" spans="1:6" ht="27.75" customHeight="1" x14ac:dyDescent="0.2">
      <c r="A49" s="322" t="s">
        <v>556</v>
      </c>
      <c r="B49" s="27" t="s">
        <v>1623</v>
      </c>
      <c r="C49" s="311">
        <v>0</v>
      </c>
      <c r="D49" s="329" t="s">
        <v>797</v>
      </c>
      <c r="E49" s="328" t="s">
        <v>797</v>
      </c>
    </row>
    <row r="50" spans="1:6" ht="27.75" customHeight="1" x14ac:dyDescent="0.2">
      <c r="A50" s="322" t="s">
        <v>557</v>
      </c>
      <c r="B50" s="27" t="s">
        <v>1624</v>
      </c>
      <c r="C50" s="311">
        <v>0</v>
      </c>
      <c r="D50" s="329" t="s">
        <v>797</v>
      </c>
      <c r="E50" s="328" t="s">
        <v>797</v>
      </c>
    </row>
    <row r="51" spans="1:6" ht="27.75" customHeight="1" x14ac:dyDescent="0.2">
      <c r="A51" s="322" t="s">
        <v>558</v>
      </c>
      <c r="B51" s="27" t="s">
        <v>1625</v>
      </c>
      <c r="C51" s="311">
        <v>0</v>
      </c>
      <c r="D51" s="329" t="s">
        <v>797</v>
      </c>
      <c r="E51" s="328" t="s">
        <v>797</v>
      </c>
    </row>
    <row r="52" spans="1:6" ht="27.75" customHeight="1" x14ac:dyDescent="0.2">
      <c r="A52" s="322" t="s">
        <v>559</v>
      </c>
      <c r="B52" s="27" t="s">
        <v>1626</v>
      </c>
      <c r="C52" s="311">
        <v>0</v>
      </c>
      <c r="D52" s="329" t="s">
        <v>797</v>
      </c>
      <c r="E52" s="328" t="s">
        <v>797</v>
      </c>
    </row>
    <row r="53" spans="1:6" ht="27.75" customHeight="1" x14ac:dyDescent="0.2">
      <c r="A53" s="322" t="s">
        <v>560</v>
      </c>
      <c r="B53" s="27" t="s">
        <v>797</v>
      </c>
      <c r="C53" s="311">
        <v>0</v>
      </c>
      <c r="D53" s="329" t="s">
        <v>797</v>
      </c>
      <c r="E53" s="328" t="s">
        <v>797</v>
      </c>
    </row>
    <row r="54" spans="1:6" ht="27.75" customHeight="1" x14ac:dyDescent="0.2">
      <c r="A54" s="322" t="s">
        <v>561</v>
      </c>
      <c r="B54" s="27" t="s">
        <v>1627</v>
      </c>
      <c r="C54" s="311">
        <v>0</v>
      </c>
      <c r="D54" s="329" t="s">
        <v>797</v>
      </c>
      <c r="E54" s="328" t="s">
        <v>797</v>
      </c>
    </row>
    <row r="55" spans="1:6" ht="27.75" customHeight="1" x14ac:dyDescent="0.2">
      <c r="A55" s="322" t="s">
        <v>562</v>
      </c>
      <c r="B55" s="27" t="s">
        <v>1628</v>
      </c>
      <c r="C55" s="311">
        <v>0</v>
      </c>
      <c r="D55" s="329" t="s">
        <v>797</v>
      </c>
      <c r="E55" s="328" t="s">
        <v>797</v>
      </c>
    </row>
    <row r="56" spans="1:6" ht="27.75" customHeight="1" x14ac:dyDescent="0.2">
      <c r="A56" s="322" t="s">
        <v>563</v>
      </c>
      <c r="B56" s="27" t="s">
        <v>1629</v>
      </c>
      <c r="C56" s="311">
        <v>0</v>
      </c>
      <c r="D56" s="329" t="s">
        <v>797</v>
      </c>
      <c r="E56" s="328" t="s">
        <v>797</v>
      </c>
    </row>
    <row r="57" spans="1:6" ht="27.75" customHeight="1" x14ac:dyDescent="0.2">
      <c r="A57" s="322" t="s">
        <v>564</v>
      </c>
      <c r="B57" s="27" t="s">
        <v>1630</v>
      </c>
      <c r="C57" s="311">
        <v>0</v>
      </c>
      <c r="D57" s="328" t="s">
        <v>797</v>
      </c>
      <c r="E57" s="328" t="s">
        <v>797</v>
      </c>
    </row>
    <row r="58" spans="1:6" ht="27.75" customHeight="1" x14ac:dyDescent="0.2">
      <c r="A58" s="322" t="s">
        <v>682</v>
      </c>
      <c r="B58" s="27" t="e">
        <v>#N/A</v>
      </c>
      <c r="C58" s="311" t="s">
        <v>802</v>
      </c>
      <c r="D58" s="329" t="s">
        <v>797</v>
      </c>
      <c r="E58" s="328" t="s">
        <v>797</v>
      </c>
      <c r="F58" s="347" t="str">
        <f>A58&amp;" with Residual"</f>
        <v>LDNO HVplus: Domestic Aggregated or CT with Residual with Residual</v>
      </c>
    </row>
    <row r="59" spans="1:6" ht="27.75" customHeight="1" x14ac:dyDescent="0.2">
      <c r="A59" s="322" t="s">
        <v>689</v>
      </c>
      <c r="B59" s="27" t="s">
        <v>1631</v>
      </c>
      <c r="C59" s="311" t="s">
        <v>803</v>
      </c>
      <c r="D59" s="329" t="s">
        <v>797</v>
      </c>
      <c r="E59" s="328" t="s">
        <v>797</v>
      </c>
    </row>
    <row r="60" spans="1:6" ht="27.75" customHeight="1" x14ac:dyDescent="0.2">
      <c r="A60" s="322" t="s">
        <v>696</v>
      </c>
      <c r="B60" s="27" t="s">
        <v>1632</v>
      </c>
      <c r="C60" s="311" t="s">
        <v>803</v>
      </c>
      <c r="D60" s="329" t="s">
        <v>797</v>
      </c>
      <c r="E60" s="328" t="s">
        <v>797</v>
      </c>
    </row>
    <row r="61" spans="1:6" ht="27.75" customHeight="1" x14ac:dyDescent="0.2">
      <c r="A61" s="322" t="s">
        <v>703</v>
      </c>
      <c r="B61" s="27" t="s">
        <v>1633</v>
      </c>
      <c r="C61" s="311" t="s">
        <v>803</v>
      </c>
      <c r="D61" s="329" t="s">
        <v>797</v>
      </c>
      <c r="E61" s="328" t="s">
        <v>797</v>
      </c>
    </row>
    <row r="62" spans="1:6" ht="27.75" customHeight="1" x14ac:dyDescent="0.2">
      <c r="A62" s="322" t="s">
        <v>710</v>
      </c>
      <c r="B62" s="27" t="s">
        <v>1634</v>
      </c>
      <c r="C62" s="311" t="s">
        <v>803</v>
      </c>
      <c r="D62" s="329" t="s">
        <v>797</v>
      </c>
      <c r="E62" s="328" t="s">
        <v>797</v>
      </c>
    </row>
    <row r="63" spans="1:6" ht="27.75" customHeight="1" x14ac:dyDescent="0.2">
      <c r="A63" s="322" t="s">
        <v>717</v>
      </c>
      <c r="B63" s="27" t="s">
        <v>1635</v>
      </c>
      <c r="C63" s="311" t="s">
        <v>803</v>
      </c>
      <c r="D63" s="329" t="s">
        <v>797</v>
      </c>
      <c r="E63" s="328" t="s">
        <v>797</v>
      </c>
    </row>
    <row r="64" spans="1:6" ht="27.75" customHeight="1" x14ac:dyDescent="0.2">
      <c r="A64" s="322" t="s">
        <v>566</v>
      </c>
      <c r="B64" s="27" t="s">
        <v>797</v>
      </c>
      <c r="C64" s="311">
        <v>0</v>
      </c>
      <c r="D64" s="329" t="s">
        <v>797</v>
      </c>
      <c r="E64" s="328" t="s">
        <v>797</v>
      </c>
    </row>
    <row r="65" spans="1:6" ht="27.75" customHeight="1" x14ac:dyDescent="0.2">
      <c r="A65" s="322" t="s">
        <v>567</v>
      </c>
      <c r="B65" s="27" t="s">
        <v>1636</v>
      </c>
      <c r="C65" s="311">
        <v>0</v>
      </c>
      <c r="D65" s="329" t="s">
        <v>797</v>
      </c>
      <c r="E65" s="328" t="s">
        <v>797</v>
      </c>
    </row>
    <row r="66" spans="1:6" ht="27.75" customHeight="1" x14ac:dyDescent="0.2">
      <c r="A66" s="322" t="s">
        <v>568</v>
      </c>
      <c r="B66" s="27" t="s">
        <v>1637</v>
      </c>
      <c r="C66" s="311">
        <v>0</v>
      </c>
      <c r="D66" s="329" t="s">
        <v>797</v>
      </c>
      <c r="E66" s="328" t="s">
        <v>797</v>
      </c>
    </row>
    <row r="67" spans="1:6" ht="27.75" customHeight="1" x14ac:dyDescent="0.2">
      <c r="A67" s="322" t="s">
        <v>569</v>
      </c>
      <c r="B67" s="27" t="s">
        <v>1638</v>
      </c>
      <c r="C67" s="311">
        <v>0</v>
      </c>
      <c r="D67" s="329" t="s">
        <v>797</v>
      </c>
      <c r="E67" s="328" t="s">
        <v>797</v>
      </c>
    </row>
    <row r="68" spans="1:6" ht="27.75" customHeight="1" x14ac:dyDescent="0.2">
      <c r="A68" s="322" t="s">
        <v>570</v>
      </c>
      <c r="B68" s="27" t="s">
        <v>1639</v>
      </c>
      <c r="C68" s="311">
        <v>0</v>
      </c>
      <c r="D68" s="329" t="s">
        <v>797</v>
      </c>
      <c r="E68" s="328" t="s">
        <v>797</v>
      </c>
    </row>
    <row r="69" spans="1:6" ht="27.75" customHeight="1" x14ac:dyDescent="0.2">
      <c r="A69" s="322" t="s">
        <v>571</v>
      </c>
      <c r="B69" s="27" t="s">
        <v>797</v>
      </c>
      <c r="C69" s="311">
        <v>0</v>
      </c>
      <c r="D69" s="329" t="s">
        <v>797</v>
      </c>
      <c r="E69" s="328" t="s">
        <v>797</v>
      </c>
    </row>
    <row r="70" spans="1:6" ht="27.75" customHeight="1" x14ac:dyDescent="0.2">
      <c r="A70" s="322" t="s">
        <v>572</v>
      </c>
      <c r="B70" s="27" t="s">
        <v>1640</v>
      </c>
      <c r="C70" s="311">
        <v>0</v>
      </c>
      <c r="D70" s="329" t="s">
        <v>797</v>
      </c>
      <c r="E70" s="328" t="s">
        <v>797</v>
      </c>
    </row>
    <row r="71" spans="1:6" ht="27.75" customHeight="1" x14ac:dyDescent="0.2">
      <c r="A71" s="322" t="s">
        <v>573</v>
      </c>
      <c r="B71" s="27" t="s">
        <v>1641</v>
      </c>
      <c r="C71" s="311">
        <v>0</v>
      </c>
      <c r="D71" s="329" t="s">
        <v>797</v>
      </c>
      <c r="E71" s="328" t="s">
        <v>797</v>
      </c>
    </row>
    <row r="72" spans="1:6" ht="27.75" customHeight="1" x14ac:dyDescent="0.2">
      <c r="A72" s="322" t="s">
        <v>574</v>
      </c>
      <c r="B72" s="27" t="s">
        <v>1642</v>
      </c>
      <c r="C72" s="311">
        <v>0</v>
      </c>
      <c r="D72" s="329" t="s">
        <v>797</v>
      </c>
      <c r="E72" s="328" t="s">
        <v>797</v>
      </c>
    </row>
    <row r="73" spans="1:6" ht="27.75" customHeight="1" x14ac:dyDescent="0.2">
      <c r="A73" s="322" t="s">
        <v>575</v>
      </c>
      <c r="B73" s="27" t="s">
        <v>1643</v>
      </c>
      <c r="C73" s="311">
        <v>0</v>
      </c>
      <c r="D73" s="329" t="s">
        <v>797</v>
      </c>
      <c r="E73" s="328" t="s">
        <v>797</v>
      </c>
    </row>
    <row r="74" spans="1:6" ht="27.75" customHeight="1" x14ac:dyDescent="0.2">
      <c r="A74" s="322" t="s">
        <v>576</v>
      </c>
      <c r="B74" s="27" t="s">
        <v>797</v>
      </c>
      <c r="C74" s="311">
        <v>0</v>
      </c>
      <c r="D74" s="329" t="s">
        <v>797</v>
      </c>
      <c r="E74" s="328" t="s">
        <v>797</v>
      </c>
    </row>
    <row r="75" spans="1:6" ht="27.75" customHeight="1" x14ac:dyDescent="0.2">
      <c r="A75" s="322" t="s">
        <v>577</v>
      </c>
      <c r="B75" s="27" t="s">
        <v>1644</v>
      </c>
      <c r="C75" s="311">
        <v>0</v>
      </c>
      <c r="D75" s="329" t="s">
        <v>797</v>
      </c>
      <c r="E75" s="328" t="s">
        <v>797</v>
      </c>
    </row>
    <row r="76" spans="1:6" ht="27.75" customHeight="1" x14ac:dyDescent="0.2">
      <c r="A76" s="322" t="s">
        <v>578</v>
      </c>
      <c r="B76" s="27" t="s">
        <v>1645</v>
      </c>
      <c r="C76" s="311">
        <v>0</v>
      </c>
      <c r="D76" s="329" t="s">
        <v>797</v>
      </c>
      <c r="E76" s="328" t="s">
        <v>797</v>
      </c>
    </row>
    <row r="77" spans="1:6" ht="27.75" customHeight="1" x14ac:dyDescent="0.2">
      <c r="A77" s="322" t="s">
        <v>579</v>
      </c>
      <c r="B77" s="27" t="s">
        <v>1646</v>
      </c>
      <c r="C77" s="311">
        <v>0</v>
      </c>
      <c r="D77" s="329" t="s">
        <v>797</v>
      </c>
      <c r="E77" s="328" t="s">
        <v>797</v>
      </c>
    </row>
    <row r="78" spans="1:6" ht="27.75" customHeight="1" x14ac:dyDescent="0.2">
      <c r="A78" s="322" t="s">
        <v>580</v>
      </c>
      <c r="B78" s="27" t="s">
        <v>1647</v>
      </c>
      <c r="C78" s="311">
        <v>0</v>
      </c>
      <c r="D78" s="328" t="s">
        <v>797</v>
      </c>
      <c r="E78" s="328" t="s">
        <v>797</v>
      </c>
    </row>
    <row r="79" spans="1:6" ht="27.75" customHeight="1" x14ac:dyDescent="0.2">
      <c r="A79" s="322" t="s">
        <v>683</v>
      </c>
      <c r="B79" s="27" t="e">
        <v>#N/A</v>
      </c>
      <c r="C79" s="311" t="s">
        <v>802</v>
      </c>
      <c r="D79" s="329" t="s">
        <v>797</v>
      </c>
      <c r="E79" s="328" t="s">
        <v>797</v>
      </c>
      <c r="F79" s="347" t="str">
        <f>A79&amp;" with Residual"</f>
        <v>LDNO EHV: Domestic Aggregated or CT with Residual with Residual</v>
      </c>
    </row>
    <row r="80" spans="1:6" ht="27.75" customHeight="1" x14ac:dyDescent="0.2">
      <c r="A80" s="322" t="s">
        <v>690</v>
      </c>
      <c r="B80" s="27" t="s">
        <v>1648</v>
      </c>
      <c r="C80" s="311" t="s">
        <v>803</v>
      </c>
      <c r="D80" s="329" t="s">
        <v>797</v>
      </c>
      <c r="E80" s="328" t="s">
        <v>797</v>
      </c>
    </row>
    <row r="81" spans="1:5" ht="27.75" customHeight="1" x14ac:dyDescent="0.2">
      <c r="A81" s="322" t="s">
        <v>697</v>
      </c>
      <c r="B81" s="27" t="s">
        <v>1649</v>
      </c>
      <c r="C81" s="311" t="s">
        <v>803</v>
      </c>
      <c r="D81" s="329" t="s">
        <v>797</v>
      </c>
      <c r="E81" s="328" t="s">
        <v>797</v>
      </c>
    </row>
    <row r="82" spans="1:5" ht="27.75" customHeight="1" x14ac:dyDescent="0.2">
      <c r="A82" s="322" t="s">
        <v>704</v>
      </c>
      <c r="B82" s="27" t="s">
        <v>1650</v>
      </c>
      <c r="C82" s="311" t="s">
        <v>803</v>
      </c>
      <c r="D82" s="329" t="s">
        <v>797</v>
      </c>
      <c r="E82" s="328" t="s">
        <v>797</v>
      </c>
    </row>
    <row r="83" spans="1:5" ht="27.75" customHeight="1" x14ac:dyDescent="0.2">
      <c r="A83" s="322" t="s">
        <v>711</v>
      </c>
      <c r="B83" s="27" t="s">
        <v>1651</v>
      </c>
      <c r="C83" s="311" t="s">
        <v>803</v>
      </c>
      <c r="D83" s="329" t="s">
        <v>797</v>
      </c>
      <c r="E83" s="328" t="s">
        <v>797</v>
      </c>
    </row>
    <row r="84" spans="1:5" ht="27.75" customHeight="1" x14ac:dyDescent="0.2">
      <c r="A84" s="322" t="s">
        <v>718</v>
      </c>
      <c r="B84" s="27" t="s">
        <v>1652</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1653</v>
      </c>
      <c r="C86" s="311">
        <v>0</v>
      </c>
      <c r="D86" s="329" t="s">
        <v>797</v>
      </c>
      <c r="E86" s="328" t="s">
        <v>797</v>
      </c>
    </row>
    <row r="87" spans="1:5" ht="27.75" customHeight="1" x14ac:dyDescent="0.2">
      <c r="A87" s="322" t="s">
        <v>584</v>
      </c>
      <c r="B87" s="27" t="s">
        <v>1654</v>
      </c>
      <c r="C87" s="311">
        <v>0</v>
      </c>
      <c r="D87" s="329" t="s">
        <v>797</v>
      </c>
      <c r="E87" s="328" t="s">
        <v>797</v>
      </c>
    </row>
    <row r="88" spans="1:5" ht="27.75" customHeight="1" x14ac:dyDescent="0.2">
      <c r="A88" s="322" t="s">
        <v>585</v>
      </c>
      <c r="B88" s="27" t="s">
        <v>1655</v>
      </c>
      <c r="C88" s="311">
        <v>0</v>
      </c>
      <c r="D88" s="329" t="s">
        <v>797</v>
      </c>
      <c r="E88" s="328" t="s">
        <v>797</v>
      </c>
    </row>
    <row r="89" spans="1:5" ht="27.75" customHeight="1" x14ac:dyDescent="0.2">
      <c r="A89" s="322" t="s">
        <v>586</v>
      </c>
      <c r="B89" s="27" t="s">
        <v>1656</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1657</v>
      </c>
      <c r="C91" s="311">
        <v>0</v>
      </c>
      <c r="D91" s="329" t="s">
        <v>797</v>
      </c>
      <c r="E91" s="328" t="s">
        <v>797</v>
      </c>
    </row>
    <row r="92" spans="1:5" ht="27.75" customHeight="1" x14ac:dyDescent="0.2">
      <c r="A92" s="322" t="s">
        <v>589</v>
      </c>
      <c r="B92" s="27" t="s">
        <v>1658</v>
      </c>
      <c r="C92" s="311">
        <v>0</v>
      </c>
      <c r="D92" s="329" t="s">
        <v>797</v>
      </c>
      <c r="E92" s="328" t="s">
        <v>797</v>
      </c>
    </row>
    <row r="93" spans="1:5" ht="27.75" customHeight="1" x14ac:dyDescent="0.2">
      <c r="A93" s="322" t="s">
        <v>590</v>
      </c>
      <c r="B93" s="27" t="s">
        <v>1659</v>
      </c>
      <c r="C93" s="311">
        <v>0</v>
      </c>
      <c r="D93" s="329" t="s">
        <v>797</v>
      </c>
      <c r="E93" s="328" t="s">
        <v>797</v>
      </c>
    </row>
    <row r="94" spans="1:5" ht="27.75" customHeight="1" x14ac:dyDescent="0.2">
      <c r="A94" s="322" t="s">
        <v>591</v>
      </c>
      <c r="B94" s="27" t="s">
        <v>1660</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1661</v>
      </c>
      <c r="C96" s="311">
        <v>0</v>
      </c>
      <c r="D96" s="329" t="s">
        <v>797</v>
      </c>
      <c r="E96" s="328" t="s">
        <v>797</v>
      </c>
    </row>
    <row r="97" spans="1:5" ht="27.75" customHeight="1" x14ac:dyDescent="0.2">
      <c r="A97" s="322" t="s">
        <v>594</v>
      </c>
      <c r="B97" s="27" t="s">
        <v>1662</v>
      </c>
      <c r="C97" s="311">
        <v>0</v>
      </c>
      <c r="D97" s="329" t="s">
        <v>797</v>
      </c>
      <c r="E97" s="328" t="s">
        <v>797</v>
      </c>
    </row>
    <row r="98" spans="1:5" ht="27.75" customHeight="1" x14ac:dyDescent="0.2">
      <c r="A98" s="322" t="s">
        <v>595</v>
      </c>
      <c r="B98" s="27" t="s">
        <v>1663</v>
      </c>
      <c r="C98" s="311">
        <v>0</v>
      </c>
      <c r="D98" s="329" t="s">
        <v>797</v>
      </c>
      <c r="E98" s="328" t="s">
        <v>797</v>
      </c>
    </row>
    <row r="99" spans="1:5" ht="27.75" customHeight="1" x14ac:dyDescent="0.2">
      <c r="A99" s="322" t="s">
        <v>596</v>
      </c>
      <c r="B99" s="27"/>
      <c r="C99" s="311">
        <v>0</v>
      </c>
      <c r="D99" s="328" t="s">
        <v>797</v>
      </c>
      <c r="E99" s="328" t="s">
        <v>797</v>
      </c>
    </row>
    <row r="100" spans="1:5" ht="27.75" customHeight="1" x14ac:dyDescent="0.2">
      <c r="A100" s="322" t="s">
        <v>684</v>
      </c>
      <c r="B100" s="27"/>
      <c r="C100" s="311" t="s">
        <v>802</v>
      </c>
      <c r="D100" s="329"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8" t="s">
        <v>797</v>
      </c>
      <c r="E120" s="328" t="s">
        <v>797</v>
      </c>
    </row>
    <row r="121" spans="1:5" ht="27.75" customHeight="1" x14ac:dyDescent="0.2">
      <c r="A121" s="322" t="s">
        <v>685</v>
      </c>
      <c r="B121" s="27"/>
      <c r="C121" s="311" t="s">
        <v>802</v>
      </c>
      <c r="D121" s="329"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8" t="s">
        <v>797</v>
      </c>
      <c r="E141" s="328" t="s">
        <v>797</v>
      </c>
    </row>
    <row r="142" spans="1:5" ht="27.75" customHeight="1" x14ac:dyDescent="0.2">
      <c r="A142" s="322" t="s">
        <v>686</v>
      </c>
      <c r="B142" s="27"/>
      <c r="C142" s="311" t="s">
        <v>802</v>
      </c>
      <c r="D142" s="329"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E29925EB-5984-408B-9CF2-C064071153D7}"/>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E571F-E13A-4EC1-9C10-F1B484A37392}">
  <dimension ref="A1:F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UKPN SPN Area (GSP Group_J)"</f>
        <v>Leep Electricity Networks Limited - Effective from 1 April 2027 - Final Supplier of Last Resort and Eligible Bad Debt Pass-Through Costs in UKPN SPN Area (GSP Group_J)</v>
      </c>
      <c r="B2" s="526"/>
      <c r="C2" s="526"/>
      <c r="D2" s="526"/>
      <c r="E2" s="527"/>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802</v>
      </c>
      <c r="D5" s="328" t="s">
        <v>797</v>
      </c>
      <c r="E5" s="328" t="s">
        <v>797</v>
      </c>
    </row>
    <row r="6" spans="1:6" ht="27" customHeight="1" x14ac:dyDescent="0.2">
      <c r="A6" s="10" t="s">
        <v>675</v>
      </c>
      <c r="B6" s="27"/>
      <c r="C6" s="311" t="s">
        <v>803</v>
      </c>
      <c r="D6" s="329" t="s">
        <v>797</v>
      </c>
      <c r="E6" s="328" t="s">
        <v>797</v>
      </c>
    </row>
    <row r="7" spans="1:6" ht="27" customHeight="1" x14ac:dyDescent="0.2">
      <c r="A7" s="10" t="s">
        <v>676</v>
      </c>
      <c r="B7" s="27"/>
      <c r="C7" s="311" t="s">
        <v>803</v>
      </c>
      <c r="D7" s="329" t="s">
        <v>797</v>
      </c>
      <c r="E7" s="328" t="s">
        <v>797</v>
      </c>
    </row>
    <row r="8" spans="1:6" ht="27" customHeight="1" x14ac:dyDescent="0.2">
      <c r="A8" s="10" t="s">
        <v>677</v>
      </c>
      <c r="B8" s="27"/>
      <c r="C8" s="311" t="s">
        <v>803</v>
      </c>
      <c r="D8" s="329" t="s">
        <v>797</v>
      </c>
      <c r="E8" s="328" t="s">
        <v>797</v>
      </c>
    </row>
    <row r="9" spans="1:6" ht="27" customHeight="1" x14ac:dyDescent="0.2">
      <c r="A9" s="10" t="s">
        <v>678</v>
      </c>
      <c r="B9" s="27"/>
      <c r="C9" s="311" t="s">
        <v>803</v>
      </c>
      <c r="D9" s="329" t="s">
        <v>797</v>
      </c>
      <c r="E9" s="328" t="s">
        <v>797</v>
      </c>
    </row>
    <row r="10" spans="1:6" ht="27" customHeight="1" x14ac:dyDescent="0.2">
      <c r="A10" s="10" t="s">
        <v>679</v>
      </c>
      <c r="B10" s="27"/>
      <c r="C10" s="311" t="s">
        <v>803</v>
      </c>
      <c r="D10" s="329" t="s">
        <v>797</v>
      </c>
      <c r="E10" s="328" t="s">
        <v>797</v>
      </c>
    </row>
    <row r="11" spans="1:6" ht="27" customHeight="1" x14ac:dyDescent="0.2">
      <c r="A11" s="10" t="s">
        <v>496</v>
      </c>
      <c r="B11" s="27"/>
      <c r="C11" s="311">
        <v>0</v>
      </c>
      <c r="D11" s="329" t="s">
        <v>797</v>
      </c>
      <c r="E11" s="328" t="s">
        <v>797</v>
      </c>
    </row>
    <row r="12" spans="1:6" ht="27" customHeight="1" x14ac:dyDescent="0.2">
      <c r="A12" s="322" t="s">
        <v>497</v>
      </c>
      <c r="B12" s="27"/>
      <c r="C12" s="311">
        <v>0</v>
      </c>
      <c r="D12" s="329" t="s">
        <v>797</v>
      </c>
      <c r="E12" s="328" t="s">
        <v>797</v>
      </c>
    </row>
    <row r="13" spans="1:6" ht="27" customHeight="1" x14ac:dyDescent="0.2">
      <c r="A13" s="322" t="s">
        <v>498</v>
      </c>
      <c r="B13" s="27"/>
      <c r="C13" s="311">
        <v>0</v>
      </c>
      <c r="D13" s="329" t="s">
        <v>797</v>
      </c>
      <c r="E13" s="328" t="s">
        <v>797</v>
      </c>
    </row>
    <row r="14" spans="1:6" ht="27.75" customHeight="1" x14ac:dyDescent="0.2">
      <c r="A14" s="322" t="s">
        <v>499</v>
      </c>
      <c r="B14" s="27"/>
      <c r="C14" s="311">
        <v>0</v>
      </c>
      <c r="D14" s="329" t="s">
        <v>797</v>
      </c>
      <c r="E14" s="328" t="s">
        <v>797</v>
      </c>
    </row>
    <row r="15" spans="1:6" ht="27.75" customHeight="1" x14ac:dyDescent="0.2">
      <c r="A15" s="323" t="s">
        <v>500</v>
      </c>
      <c r="B15" s="27"/>
      <c r="C15" s="311">
        <v>0</v>
      </c>
      <c r="D15" s="329" t="s">
        <v>797</v>
      </c>
      <c r="E15" s="328" t="s">
        <v>797</v>
      </c>
    </row>
    <row r="16" spans="1:6" ht="27.75" customHeight="1" x14ac:dyDescent="0.2">
      <c r="A16" s="323" t="s">
        <v>501</v>
      </c>
      <c r="B16" s="27"/>
      <c r="C16" s="311">
        <v>0</v>
      </c>
      <c r="D16" s="329" t="s">
        <v>797</v>
      </c>
      <c r="E16" s="328" t="s">
        <v>797</v>
      </c>
    </row>
    <row r="17" spans="1:5" ht="27.75" customHeight="1" x14ac:dyDescent="0.2">
      <c r="A17" s="323" t="s">
        <v>502</v>
      </c>
      <c r="B17" s="27"/>
      <c r="C17" s="311">
        <v>0</v>
      </c>
      <c r="D17" s="329" t="s">
        <v>797</v>
      </c>
      <c r="E17" s="328" t="s">
        <v>797</v>
      </c>
    </row>
    <row r="18" spans="1:5" ht="27.75" customHeight="1" x14ac:dyDescent="0.2">
      <c r="A18" s="323" t="s">
        <v>503</v>
      </c>
      <c r="B18" s="27"/>
      <c r="C18" s="311">
        <v>0</v>
      </c>
      <c r="D18" s="329" t="s">
        <v>797</v>
      </c>
      <c r="E18" s="328" t="s">
        <v>797</v>
      </c>
    </row>
    <row r="19" spans="1:5" ht="27.75" customHeight="1" x14ac:dyDescent="0.2">
      <c r="A19" s="323" t="s">
        <v>504</v>
      </c>
      <c r="B19" s="27"/>
      <c r="C19" s="311">
        <v>0</v>
      </c>
      <c r="D19" s="329" t="s">
        <v>797</v>
      </c>
      <c r="E19" s="328" t="s">
        <v>797</v>
      </c>
    </row>
    <row r="20" spans="1:5" ht="27.75" customHeight="1" x14ac:dyDescent="0.2">
      <c r="A20" s="323" t="s">
        <v>505</v>
      </c>
      <c r="B20" s="27"/>
      <c r="C20" s="311">
        <v>0</v>
      </c>
      <c r="D20" s="329" t="s">
        <v>797</v>
      </c>
      <c r="E20" s="328" t="s">
        <v>797</v>
      </c>
    </row>
    <row r="21" spans="1:5" ht="27.75" customHeight="1" x14ac:dyDescent="0.2">
      <c r="A21" s="323" t="s">
        <v>506</v>
      </c>
      <c r="B21" s="27"/>
      <c r="C21" s="311">
        <v>0</v>
      </c>
      <c r="D21" s="329" t="s">
        <v>797</v>
      </c>
      <c r="E21" s="328" t="s">
        <v>797</v>
      </c>
    </row>
    <row r="22" spans="1:5" ht="27.75" customHeight="1" x14ac:dyDescent="0.2">
      <c r="A22" s="323" t="s">
        <v>507</v>
      </c>
      <c r="B22" s="27"/>
      <c r="C22" s="311">
        <v>0</v>
      </c>
      <c r="D22" s="329" t="s">
        <v>797</v>
      </c>
      <c r="E22" s="328" t="s">
        <v>797</v>
      </c>
    </row>
    <row r="23" spans="1:5" ht="27.75" customHeight="1" x14ac:dyDescent="0.2">
      <c r="A23" s="322" t="s">
        <v>508</v>
      </c>
      <c r="B23" s="27"/>
      <c r="C23" s="311">
        <v>0</v>
      </c>
      <c r="D23" s="329" t="s">
        <v>797</v>
      </c>
      <c r="E23" s="328" t="s">
        <v>797</v>
      </c>
    </row>
    <row r="24" spans="1:5" ht="27.75" customHeight="1" x14ac:dyDescent="0.2">
      <c r="A24" s="322" t="s">
        <v>509</v>
      </c>
      <c r="B24" s="27"/>
      <c r="C24" s="311">
        <v>0</v>
      </c>
      <c r="D24" s="329" t="s">
        <v>797</v>
      </c>
      <c r="E24" s="328" t="s">
        <v>797</v>
      </c>
    </row>
    <row r="25" spans="1:5" ht="27.75" customHeight="1" x14ac:dyDescent="0.2">
      <c r="A25" s="322" t="s">
        <v>510</v>
      </c>
      <c r="B25" s="27"/>
      <c r="C25" s="311">
        <v>0</v>
      </c>
      <c r="D25" s="329" t="s">
        <v>797</v>
      </c>
      <c r="E25" s="328" t="s">
        <v>797</v>
      </c>
    </row>
    <row r="26" spans="1:5" ht="27.75" customHeight="1" x14ac:dyDescent="0.2">
      <c r="A26" s="322" t="s">
        <v>680</v>
      </c>
      <c r="B26" s="27" t="s">
        <v>1664</v>
      </c>
      <c r="C26" s="311" t="s">
        <v>802</v>
      </c>
      <c r="D26" s="328" t="s">
        <v>797</v>
      </c>
      <c r="E26" s="328" t="s">
        <v>797</v>
      </c>
    </row>
    <row r="27" spans="1:5" ht="27.75" customHeight="1" x14ac:dyDescent="0.2">
      <c r="A27" s="322" t="s">
        <v>687</v>
      </c>
      <c r="B27" s="27" t="s">
        <v>1665</v>
      </c>
      <c r="C27" s="311" t="s">
        <v>803</v>
      </c>
      <c r="D27" s="329" t="s">
        <v>797</v>
      </c>
      <c r="E27" s="328" t="s">
        <v>797</v>
      </c>
    </row>
    <row r="28" spans="1:5" ht="27.75" customHeight="1" x14ac:dyDescent="0.2">
      <c r="A28" s="322" t="s">
        <v>694</v>
      </c>
      <c r="B28" s="27" t="s">
        <v>1666</v>
      </c>
      <c r="C28" s="311" t="s">
        <v>803</v>
      </c>
      <c r="D28" s="329" t="s">
        <v>797</v>
      </c>
      <c r="E28" s="328" t="s">
        <v>797</v>
      </c>
    </row>
    <row r="29" spans="1:5" ht="27.75" customHeight="1" x14ac:dyDescent="0.2">
      <c r="A29" s="322" t="s">
        <v>701</v>
      </c>
      <c r="B29" s="27" t="s">
        <v>1667</v>
      </c>
      <c r="C29" s="311" t="s">
        <v>803</v>
      </c>
      <c r="D29" s="329" t="s">
        <v>797</v>
      </c>
      <c r="E29" s="328" t="s">
        <v>797</v>
      </c>
    </row>
    <row r="30" spans="1:5" ht="27.75" customHeight="1" x14ac:dyDescent="0.2">
      <c r="A30" s="322" t="s">
        <v>708</v>
      </c>
      <c r="B30" s="27" t="s">
        <v>1668</v>
      </c>
      <c r="C30" s="311" t="s">
        <v>803</v>
      </c>
      <c r="D30" s="329" t="s">
        <v>797</v>
      </c>
      <c r="E30" s="328" t="s">
        <v>797</v>
      </c>
    </row>
    <row r="31" spans="1:5" ht="27.75" customHeight="1" x14ac:dyDescent="0.2">
      <c r="A31" s="322" t="s">
        <v>715</v>
      </c>
      <c r="B31" s="27" t="s">
        <v>1669</v>
      </c>
      <c r="C31" s="311" t="s">
        <v>803</v>
      </c>
      <c r="D31" s="329" t="s">
        <v>797</v>
      </c>
      <c r="E31" s="328" t="s">
        <v>797</v>
      </c>
    </row>
    <row r="32" spans="1:5" ht="27.75" customHeight="1" x14ac:dyDescent="0.2">
      <c r="A32" s="322" t="s">
        <v>544</v>
      </c>
      <c r="B32" s="27" t="s">
        <v>797</v>
      </c>
      <c r="C32" s="311">
        <v>0</v>
      </c>
      <c r="D32" s="329" t="s">
        <v>797</v>
      </c>
      <c r="E32" s="328" t="s">
        <v>797</v>
      </c>
    </row>
    <row r="33" spans="1:5" ht="27.75" customHeight="1" x14ac:dyDescent="0.2">
      <c r="A33" s="322" t="s">
        <v>545</v>
      </c>
      <c r="B33" s="27" t="s">
        <v>1670</v>
      </c>
      <c r="C33" s="311">
        <v>0</v>
      </c>
      <c r="D33" s="329" t="s">
        <v>797</v>
      </c>
      <c r="E33" s="328" t="s">
        <v>797</v>
      </c>
    </row>
    <row r="34" spans="1:5" ht="27.75" customHeight="1" x14ac:dyDescent="0.2">
      <c r="A34" s="322" t="s">
        <v>546</v>
      </c>
      <c r="B34" s="27" t="s">
        <v>1671</v>
      </c>
      <c r="C34" s="311">
        <v>0</v>
      </c>
      <c r="D34" s="329" t="s">
        <v>797</v>
      </c>
      <c r="E34" s="328" t="s">
        <v>797</v>
      </c>
    </row>
    <row r="35" spans="1:5" ht="27.75" customHeight="1" x14ac:dyDescent="0.2">
      <c r="A35" s="322" t="s">
        <v>547</v>
      </c>
      <c r="B35" s="27" t="s">
        <v>1672</v>
      </c>
      <c r="C35" s="311">
        <v>0</v>
      </c>
      <c r="D35" s="329" t="s">
        <v>797</v>
      </c>
      <c r="E35" s="328" t="s">
        <v>797</v>
      </c>
    </row>
    <row r="36" spans="1:5" ht="27.75" customHeight="1" x14ac:dyDescent="0.2">
      <c r="A36" s="322" t="s">
        <v>548</v>
      </c>
      <c r="B36" s="27" t="s">
        <v>1673</v>
      </c>
      <c r="C36" s="311">
        <v>0</v>
      </c>
      <c r="D36" s="329" t="s">
        <v>797</v>
      </c>
      <c r="E36" s="328" t="s">
        <v>797</v>
      </c>
    </row>
    <row r="37" spans="1:5" ht="27.75" customHeight="1" x14ac:dyDescent="0.2">
      <c r="A37" s="323" t="s">
        <v>681</v>
      </c>
      <c r="B37" s="27" t="e">
        <v>#N/A</v>
      </c>
      <c r="C37" s="311" t="s">
        <v>802</v>
      </c>
      <c r="D37" s="328" t="s">
        <v>797</v>
      </c>
      <c r="E37" s="328" t="s">
        <v>797</v>
      </c>
    </row>
    <row r="38" spans="1:5" ht="27.75" customHeight="1" x14ac:dyDescent="0.2">
      <c r="A38" s="322" t="s">
        <v>688</v>
      </c>
      <c r="B38" s="27" t="s">
        <v>1674</v>
      </c>
      <c r="C38" s="311" t="s">
        <v>803</v>
      </c>
      <c r="D38" s="329" t="s">
        <v>797</v>
      </c>
      <c r="E38" s="328" t="s">
        <v>797</v>
      </c>
    </row>
    <row r="39" spans="1:5" ht="27.75" customHeight="1" x14ac:dyDescent="0.2">
      <c r="A39" s="322" t="s">
        <v>695</v>
      </c>
      <c r="B39" s="27" t="s">
        <v>1675</v>
      </c>
      <c r="C39" s="311" t="s">
        <v>803</v>
      </c>
      <c r="D39" s="329" t="s">
        <v>797</v>
      </c>
      <c r="E39" s="328" t="s">
        <v>797</v>
      </c>
    </row>
    <row r="40" spans="1:5" ht="27.75" customHeight="1" x14ac:dyDescent="0.2">
      <c r="A40" s="322" t="s">
        <v>702</v>
      </c>
      <c r="B40" s="27" t="s">
        <v>1676</v>
      </c>
      <c r="C40" s="311" t="s">
        <v>803</v>
      </c>
      <c r="D40" s="329" t="s">
        <v>797</v>
      </c>
      <c r="E40" s="328" t="s">
        <v>797</v>
      </c>
    </row>
    <row r="41" spans="1:5" ht="27.75" customHeight="1" x14ac:dyDescent="0.2">
      <c r="A41" s="322" t="s">
        <v>709</v>
      </c>
      <c r="B41" s="27" t="s">
        <v>1677</v>
      </c>
      <c r="C41" s="311" t="s">
        <v>803</v>
      </c>
      <c r="D41" s="329" t="s">
        <v>797</v>
      </c>
      <c r="E41" s="328" t="s">
        <v>797</v>
      </c>
    </row>
    <row r="42" spans="1:5" ht="27.75" customHeight="1" x14ac:dyDescent="0.2">
      <c r="A42" s="322" t="s">
        <v>716</v>
      </c>
      <c r="B42" s="27" t="s">
        <v>1678</v>
      </c>
      <c r="C42" s="311" t="s">
        <v>803</v>
      </c>
      <c r="D42" s="329" t="s">
        <v>797</v>
      </c>
      <c r="E42" s="328" t="s">
        <v>797</v>
      </c>
    </row>
    <row r="43" spans="1:5" ht="27.75" customHeight="1" x14ac:dyDescent="0.2">
      <c r="A43" s="322" t="s">
        <v>550</v>
      </c>
      <c r="B43" s="27" t="s">
        <v>797</v>
      </c>
      <c r="C43" s="311">
        <v>0</v>
      </c>
      <c r="D43" s="329" t="s">
        <v>797</v>
      </c>
      <c r="E43" s="328" t="s">
        <v>797</v>
      </c>
    </row>
    <row r="44" spans="1:5" ht="27.75" customHeight="1" x14ac:dyDescent="0.2">
      <c r="A44" s="322" t="s">
        <v>551</v>
      </c>
      <c r="B44" s="27" t="s">
        <v>1679</v>
      </c>
      <c r="C44" s="311">
        <v>0</v>
      </c>
      <c r="D44" s="329" t="s">
        <v>797</v>
      </c>
      <c r="E44" s="328" t="s">
        <v>797</v>
      </c>
    </row>
    <row r="45" spans="1:5" ht="27.75" customHeight="1" x14ac:dyDescent="0.2">
      <c r="A45" s="322" t="s">
        <v>552</v>
      </c>
      <c r="B45" s="27" t="s">
        <v>1680</v>
      </c>
      <c r="C45" s="311">
        <v>0</v>
      </c>
      <c r="D45" s="329" t="s">
        <v>797</v>
      </c>
      <c r="E45" s="328" t="s">
        <v>797</v>
      </c>
    </row>
    <row r="46" spans="1:5" ht="27.75" customHeight="1" x14ac:dyDescent="0.2">
      <c r="A46" s="322" t="s">
        <v>553</v>
      </c>
      <c r="B46" s="27" t="s">
        <v>1681</v>
      </c>
      <c r="C46" s="311">
        <v>0</v>
      </c>
      <c r="D46" s="329" t="s">
        <v>797</v>
      </c>
      <c r="E46" s="328" t="s">
        <v>797</v>
      </c>
    </row>
    <row r="47" spans="1:5" ht="27.75" customHeight="1" x14ac:dyDescent="0.2">
      <c r="A47" s="322" t="s">
        <v>554</v>
      </c>
      <c r="B47" s="27" t="s">
        <v>1682</v>
      </c>
      <c r="C47" s="311">
        <v>0</v>
      </c>
      <c r="D47" s="329" t="s">
        <v>797</v>
      </c>
      <c r="E47" s="328" t="s">
        <v>797</v>
      </c>
    </row>
    <row r="48" spans="1:5" ht="27.75" customHeight="1" x14ac:dyDescent="0.2">
      <c r="A48" s="322" t="s">
        <v>555</v>
      </c>
      <c r="B48" s="27" t="s">
        <v>797</v>
      </c>
      <c r="C48" s="311">
        <v>0</v>
      </c>
      <c r="D48" s="329" t="s">
        <v>797</v>
      </c>
      <c r="E48" s="328" t="s">
        <v>797</v>
      </c>
    </row>
    <row r="49" spans="1:5" ht="27.75" customHeight="1" x14ac:dyDescent="0.2">
      <c r="A49" s="322" t="s">
        <v>556</v>
      </c>
      <c r="B49" s="27" t="s">
        <v>1683</v>
      </c>
      <c r="C49" s="311">
        <v>0</v>
      </c>
      <c r="D49" s="329" t="s">
        <v>797</v>
      </c>
      <c r="E49" s="328" t="s">
        <v>797</v>
      </c>
    </row>
    <row r="50" spans="1:5" ht="27.75" customHeight="1" x14ac:dyDescent="0.2">
      <c r="A50" s="322" t="s">
        <v>557</v>
      </c>
      <c r="B50" s="27" t="s">
        <v>1684</v>
      </c>
      <c r="C50" s="311">
        <v>0</v>
      </c>
      <c r="D50" s="329" t="s">
        <v>797</v>
      </c>
      <c r="E50" s="328" t="s">
        <v>797</v>
      </c>
    </row>
    <row r="51" spans="1:5" ht="27.75" customHeight="1" x14ac:dyDescent="0.2">
      <c r="A51" s="322" t="s">
        <v>558</v>
      </c>
      <c r="B51" s="27" t="s">
        <v>1685</v>
      </c>
      <c r="C51" s="311">
        <v>0</v>
      </c>
      <c r="D51" s="329" t="s">
        <v>797</v>
      </c>
      <c r="E51" s="328" t="s">
        <v>797</v>
      </c>
    </row>
    <row r="52" spans="1:5" ht="27.75" customHeight="1" x14ac:dyDescent="0.2">
      <c r="A52" s="322" t="s">
        <v>559</v>
      </c>
      <c r="B52" s="27" t="s">
        <v>1686</v>
      </c>
      <c r="C52" s="311">
        <v>0</v>
      </c>
      <c r="D52" s="329" t="s">
        <v>797</v>
      </c>
      <c r="E52" s="328" t="s">
        <v>797</v>
      </c>
    </row>
    <row r="53" spans="1:5" ht="27.75" customHeight="1" x14ac:dyDescent="0.2">
      <c r="A53" s="322" t="s">
        <v>560</v>
      </c>
      <c r="B53" s="27" t="s">
        <v>797</v>
      </c>
      <c r="C53" s="311">
        <v>0</v>
      </c>
      <c r="D53" s="329" t="s">
        <v>797</v>
      </c>
      <c r="E53" s="328" t="s">
        <v>797</v>
      </c>
    </row>
    <row r="54" spans="1:5" ht="27.75" customHeight="1" x14ac:dyDescent="0.2">
      <c r="A54" s="322" t="s">
        <v>561</v>
      </c>
      <c r="B54" s="27" t="s">
        <v>1687</v>
      </c>
      <c r="C54" s="311">
        <v>0</v>
      </c>
      <c r="D54" s="329" t="s">
        <v>797</v>
      </c>
      <c r="E54" s="328" t="s">
        <v>797</v>
      </c>
    </row>
    <row r="55" spans="1:5" ht="27.75" customHeight="1" x14ac:dyDescent="0.2">
      <c r="A55" s="322" t="s">
        <v>562</v>
      </c>
      <c r="B55" s="27" t="s">
        <v>1688</v>
      </c>
      <c r="C55" s="311">
        <v>0</v>
      </c>
      <c r="D55" s="329" t="s">
        <v>797</v>
      </c>
      <c r="E55" s="328" t="s">
        <v>797</v>
      </c>
    </row>
    <row r="56" spans="1:5" ht="27.75" customHeight="1" x14ac:dyDescent="0.2">
      <c r="A56" s="322" t="s">
        <v>563</v>
      </c>
      <c r="B56" s="27" t="s">
        <v>1689</v>
      </c>
      <c r="C56" s="311">
        <v>0</v>
      </c>
      <c r="D56" s="329" t="s">
        <v>797</v>
      </c>
      <c r="E56" s="328" t="s">
        <v>797</v>
      </c>
    </row>
    <row r="57" spans="1:5" ht="27.75" customHeight="1" x14ac:dyDescent="0.2">
      <c r="A57" s="322" t="s">
        <v>564</v>
      </c>
      <c r="B57" s="27" t="s">
        <v>1690</v>
      </c>
      <c r="C57" s="311">
        <v>0</v>
      </c>
      <c r="D57" s="329" t="s">
        <v>797</v>
      </c>
      <c r="E57" s="328" t="s">
        <v>797</v>
      </c>
    </row>
    <row r="58" spans="1:5" ht="27.75" customHeight="1" x14ac:dyDescent="0.2">
      <c r="A58" s="322" t="s">
        <v>682</v>
      </c>
      <c r="B58" s="27" t="e">
        <v>#N/A</v>
      </c>
      <c r="C58" s="311" t="s">
        <v>802</v>
      </c>
      <c r="D58" s="328" t="s">
        <v>797</v>
      </c>
      <c r="E58" s="328" t="s">
        <v>797</v>
      </c>
    </row>
    <row r="59" spans="1:5" ht="27.75" customHeight="1" x14ac:dyDescent="0.2">
      <c r="A59" s="322" t="s">
        <v>689</v>
      </c>
      <c r="B59" s="27" t="s">
        <v>1691</v>
      </c>
      <c r="C59" s="311" t="s">
        <v>803</v>
      </c>
      <c r="D59" s="329" t="s">
        <v>797</v>
      </c>
      <c r="E59" s="328" t="s">
        <v>797</v>
      </c>
    </row>
    <row r="60" spans="1:5" ht="27.75" customHeight="1" x14ac:dyDescent="0.2">
      <c r="A60" s="322" t="s">
        <v>696</v>
      </c>
      <c r="B60" s="27" t="s">
        <v>1692</v>
      </c>
      <c r="C60" s="311" t="s">
        <v>803</v>
      </c>
      <c r="D60" s="329" t="s">
        <v>797</v>
      </c>
      <c r="E60" s="328" t="s">
        <v>797</v>
      </c>
    </row>
    <row r="61" spans="1:5" ht="27.75" customHeight="1" x14ac:dyDescent="0.2">
      <c r="A61" s="322" t="s">
        <v>703</v>
      </c>
      <c r="B61" s="27" t="s">
        <v>1693</v>
      </c>
      <c r="C61" s="311" t="s">
        <v>803</v>
      </c>
      <c r="D61" s="329" t="s">
        <v>797</v>
      </c>
      <c r="E61" s="328" t="s">
        <v>797</v>
      </c>
    </row>
    <row r="62" spans="1:5" ht="27.75" customHeight="1" x14ac:dyDescent="0.2">
      <c r="A62" s="322" t="s">
        <v>710</v>
      </c>
      <c r="B62" s="27" t="s">
        <v>1694</v>
      </c>
      <c r="C62" s="311" t="s">
        <v>803</v>
      </c>
      <c r="D62" s="329" t="s">
        <v>797</v>
      </c>
      <c r="E62" s="328" t="s">
        <v>797</v>
      </c>
    </row>
    <row r="63" spans="1:5" ht="27.75" customHeight="1" x14ac:dyDescent="0.2">
      <c r="A63" s="322" t="s">
        <v>717</v>
      </c>
      <c r="B63" s="27" t="s">
        <v>1695</v>
      </c>
      <c r="C63" s="311" t="s">
        <v>803</v>
      </c>
      <c r="D63" s="329" t="s">
        <v>797</v>
      </c>
      <c r="E63" s="328" t="s">
        <v>797</v>
      </c>
    </row>
    <row r="64" spans="1:5" ht="27.75" customHeight="1" x14ac:dyDescent="0.2">
      <c r="A64" s="322" t="s">
        <v>566</v>
      </c>
      <c r="B64" s="27" t="s">
        <v>797</v>
      </c>
      <c r="C64" s="311">
        <v>0</v>
      </c>
      <c r="D64" s="329" t="s">
        <v>797</v>
      </c>
      <c r="E64" s="328" t="s">
        <v>797</v>
      </c>
    </row>
    <row r="65" spans="1:5" ht="27.75" customHeight="1" x14ac:dyDescent="0.2">
      <c r="A65" s="322" t="s">
        <v>567</v>
      </c>
      <c r="B65" s="27" t="s">
        <v>1696</v>
      </c>
      <c r="C65" s="311">
        <v>0</v>
      </c>
      <c r="D65" s="329" t="s">
        <v>797</v>
      </c>
      <c r="E65" s="328" t="s">
        <v>797</v>
      </c>
    </row>
    <row r="66" spans="1:5" ht="27.75" customHeight="1" x14ac:dyDescent="0.2">
      <c r="A66" s="322" t="s">
        <v>568</v>
      </c>
      <c r="B66" s="27" t="s">
        <v>1697</v>
      </c>
      <c r="C66" s="311">
        <v>0</v>
      </c>
      <c r="D66" s="329" t="s">
        <v>797</v>
      </c>
      <c r="E66" s="328" t="s">
        <v>797</v>
      </c>
    </row>
    <row r="67" spans="1:5" ht="27.75" customHeight="1" x14ac:dyDescent="0.2">
      <c r="A67" s="322" t="s">
        <v>569</v>
      </c>
      <c r="B67" s="27" t="s">
        <v>1698</v>
      </c>
      <c r="C67" s="311">
        <v>0</v>
      </c>
      <c r="D67" s="329" t="s">
        <v>797</v>
      </c>
      <c r="E67" s="328" t="s">
        <v>797</v>
      </c>
    </row>
    <row r="68" spans="1:5" ht="27.75" customHeight="1" x14ac:dyDescent="0.2">
      <c r="A68" s="322" t="s">
        <v>570</v>
      </c>
      <c r="B68" s="27" t="s">
        <v>1699</v>
      </c>
      <c r="C68" s="311">
        <v>0</v>
      </c>
      <c r="D68" s="329" t="s">
        <v>797</v>
      </c>
      <c r="E68" s="328" t="s">
        <v>797</v>
      </c>
    </row>
    <row r="69" spans="1:5" ht="27.75" customHeight="1" x14ac:dyDescent="0.2">
      <c r="A69" s="322" t="s">
        <v>571</v>
      </c>
      <c r="B69" s="27" t="s">
        <v>797</v>
      </c>
      <c r="C69" s="311">
        <v>0</v>
      </c>
      <c r="D69" s="329" t="s">
        <v>797</v>
      </c>
      <c r="E69" s="328" t="s">
        <v>797</v>
      </c>
    </row>
    <row r="70" spans="1:5" ht="27.75" customHeight="1" x14ac:dyDescent="0.2">
      <c r="A70" s="322" t="s">
        <v>572</v>
      </c>
      <c r="B70" s="27" t="s">
        <v>1700</v>
      </c>
      <c r="C70" s="311">
        <v>0</v>
      </c>
      <c r="D70" s="329" t="s">
        <v>797</v>
      </c>
      <c r="E70" s="328" t="s">
        <v>797</v>
      </c>
    </row>
    <row r="71" spans="1:5" ht="27.75" customHeight="1" x14ac:dyDescent="0.2">
      <c r="A71" s="322" t="s">
        <v>573</v>
      </c>
      <c r="B71" s="27" t="s">
        <v>1701</v>
      </c>
      <c r="C71" s="311">
        <v>0</v>
      </c>
      <c r="D71" s="329" t="s">
        <v>797</v>
      </c>
      <c r="E71" s="328" t="s">
        <v>797</v>
      </c>
    </row>
    <row r="72" spans="1:5" ht="27.75" customHeight="1" x14ac:dyDescent="0.2">
      <c r="A72" s="322" t="s">
        <v>574</v>
      </c>
      <c r="B72" s="27" t="s">
        <v>1702</v>
      </c>
      <c r="C72" s="311">
        <v>0</v>
      </c>
      <c r="D72" s="329" t="s">
        <v>797</v>
      </c>
      <c r="E72" s="328" t="s">
        <v>797</v>
      </c>
    </row>
    <row r="73" spans="1:5" ht="27.75" customHeight="1" x14ac:dyDescent="0.2">
      <c r="A73" s="322" t="s">
        <v>575</v>
      </c>
      <c r="B73" s="27" t="s">
        <v>1703</v>
      </c>
      <c r="C73" s="311">
        <v>0</v>
      </c>
      <c r="D73" s="329" t="s">
        <v>797</v>
      </c>
      <c r="E73" s="328" t="s">
        <v>797</v>
      </c>
    </row>
    <row r="74" spans="1:5" ht="27.75" customHeight="1" x14ac:dyDescent="0.2">
      <c r="A74" s="322" t="s">
        <v>576</v>
      </c>
      <c r="B74" s="27" t="s">
        <v>797</v>
      </c>
      <c r="C74" s="311">
        <v>0</v>
      </c>
      <c r="D74" s="329" t="s">
        <v>797</v>
      </c>
      <c r="E74" s="328" t="s">
        <v>797</v>
      </c>
    </row>
    <row r="75" spans="1:5" ht="27.75" customHeight="1" x14ac:dyDescent="0.2">
      <c r="A75" s="322" t="s">
        <v>577</v>
      </c>
      <c r="B75" s="27" t="s">
        <v>1704</v>
      </c>
      <c r="C75" s="311">
        <v>0</v>
      </c>
      <c r="D75" s="329" t="s">
        <v>797</v>
      </c>
      <c r="E75" s="328" t="s">
        <v>797</v>
      </c>
    </row>
    <row r="76" spans="1:5" ht="27.75" customHeight="1" x14ac:dyDescent="0.2">
      <c r="A76" s="322" t="s">
        <v>578</v>
      </c>
      <c r="B76" s="27" t="s">
        <v>1705</v>
      </c>
      <c r="C76" s="311">
        <v>0</v>
      </c>
      <c r="D76" s="329" t="s">
        <v>797</v>
      </c>
      <c r="E76" s="328" t="s">
        <v>797</v>
      </c>
    </row>
    <row r="77" spans="1:5" ht="27.75" customHeight="1" x14ac:dyDescent="0.2">
      <c r="A77" s="322" t="s">
        <v>579</v>
      </c>
      <c r="B77" s="27" t="s">
        <v>1706</v>
      </c>
      <c r="C77" s="311">
        <v>0</v>
      </c>
      <c r="D77" s="329" t="s">
        <v>797</v>
      </c>
      <c r="E77" s="328" t="s">
        <v>797</v>
      </c>
    </row>
    <row r="78" spans="1:5" ht="27.75" customHeight="1" x14ac:dyDescent="0.2">
      <c r="A78" s="322" t="s">
        <v>580</v>
      </c>
      <c r="B78" s="27" t="s">
        <v>1707</v>
      </c>
      <c r="C78" s="311">
        <v>0</v>
      </c>
      <c r="D78" s="329" t="s">
        <v>797</v>
      </c>
      <c r="E78" s="328" t="s">
        <v>797</v>
      </c>
    </row>
    <row r="79" spans="1:5" ht="27.75" customHeight="1" x14ac:dyDescent="0.2">
      <c r="A79" s="322" t="s">
        <v>683</v>
      </c>
      <c r="B79" s="27" t="e">
        <v>#N/A</v>
      </c>
      <c r="C79" s="311" t="s">
        <v>802</v>
      </c>
      <c r="D79" s="328" t="s">
        <v>797</v>
      </c>
      <c r="E79" s="328" t="s">
        <v>797</v>
      </c>
    </row>
    <row r="80" spans="1:5" ht="27.75" customHeight="1" x14ac:dyDescent="0.2">
      <c r="A80" s="322" t="s">
        <v>690</v>
      </c>
      <c r="B80" s="27" t="s">
        <v>1708</v>
      </c>
      <c r="C80" s="311" t="s">
        <v>803</v>
      </c>
      <c r="D80" s="329" t="s">
        <v>797</v>
      </c>
      <c r="E80" s="328" t="s">
        <v>797</v>
      </c>
    </row>
    <row r="81" spans="1:5" ht="27.75" customHeight="1" x14ac:dyDescent="0.2">
      <c r="A81" s="322" t="s">
        <v>697</v>
      </c>
      <c r="B81" s="27" t="s">
        <v>1709</v>
      </c>
      <c r="C81" s="311" t="s">
        <v>803</v>
      </c>
      <c r="D81" s="329" t="s">
        <v>797</v>
      </c>
      <c r="E81" s="328" t="s">
        <v>797</v>
      </c>
    </row>
    <row r="82" spans="1:5" ht="27.75" customHeight="1" x14ac:dyDescent="0.2">
      <c r="A82" s="322" t="s">
        <v>704</v>
      </c>
      <c r="B82" s="27" t="s">
        <v>1710</v>
      </c>
      <c r="C82" s="311" t="s">
        <v>803</v>
      </c>
      <c r="D82" s="329" t="s">
        <v>797</v>
      </c>
      <c r="E82" s="328" t="s">
        <v>797</v>
      </c>
    </row>
    <row r="83" spans="1:5" ht="27.75" customHeight="1" x14ac:dyDescent="0.2">
      <c r="A83" s="322" t="s">
        <v>711</v>
      </c>
      <c r="B83" s="27" t="s">
        <v>1711</v>
      </c>
      <c r="C83" s="311" t="s">
        <v>803</v>
      </c>
      <c r="D83" s="329" t="s">
        <v>797</v>
      </c>
      <c r="E83" s="328" t="s">
        <v>797</v>
      </c>
    </row>
    <row r="84" spans="1:5" ht="27.75" customHeight="1" x14ac:dyDescent="0.2">
      <c r="A84" s="322" t="s">
        <v>718</v>
      </c>
      <c r="B84" s="27" t="s">
        <v>1712</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1713</v>
      </c>
      <c r="C86" s="311">
        <v>0</v>
      </c>
      <c r="D86" s="329" t="s">
        <v>797</v>
      </c>
      <c r="E86" s="328" t="s">
        <v>797</v>
      </c>
    </row>
    <row r="87" spans="1:5" ht="27.75" customHeight="1" x14ac:dyDescent="0.2">
      <c r="A87" s="322" t="s">
        <v>584</v>
      </c>
      <c r="B87" s="27" t="s">
        <v>1714</v>
      </c>
      <c r="C87" s="311">
        <v>0</v>
      </c>
      <c r="D87" s="329" t="s">
        <v>797</v>
      </c>
      <c r="E87" s="328" t="s">
        <v>797</v>
      </c>
    </row>
    <row r="88" spans="1:5" ht="27.75" customHeight="1" x14ac:dyDescent="0.2">
      <c r="A88" s="322" t="s">
        <v>585</v>
      </c>
      <c r="B88" s="27" t="s">
        <v>1715</v>
      </c>
      <c r="C88" s="311">
        <v>0</v>
      </c>
      <c r="D88" s="329" t="s">
        <v>797</v>
      </c>
      <c r="E88" s="328" t="s">
        <v>797</v>
      </c>
    </row>
    <row r="89" spans="1:5" ht="27.75" customHeight="1" x14ac:dyDescent="0.2">
      <c r="A89" s="322" t="s">
        <v>586</v>
      </c>
      <c r="B89" s="27" t="s">
        <v>1716</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1717</v>
      </c>
      <c r="C91" s="311">
        <v>0</v>
      </c>
      <c r="D91" s="329" t="s">
        <v>797</v>
      </c>
      <c r="E91" s="328" t="s">
        <v>797</v>
      </c>
    </row>
    <row r="92" spans="1:5" ht="27.75" customHeight="1" x14ac:dyDescent="0.2">
      <c r="A92" s="322" t="s">
        <v>589</v>
      </c>
      <c r="B92" s="27" t="s">
        <v>1718</v>
      </c>
      <c r="C92" s="311">
        <v>0</v>
      </c>
      <c r="D92" s="329" t="s">
        <v>797</v>
      </c>
      <c r="E92" s="328" t="s">
        <v>797</v>
      </c>
    </row>
    <row r="93" spans="1:5" ht="27.75" customHeight="1" x14ac:dyDescent="0.2">
      <c r="A93" s="322" t="s">
        <v>590</v>
      </c>
      <c r="B93" s="27" t="s">
        <v>1719</v>
      </c>
      <c r="C93" s="311">
        <v>0</v>
      </c>
      <c r="D93" s="329" t="s">
        <v>797</v>
      </c>
      <c r="E93" s="328" t="s">
        <v>797</v>
      </c>
    </row>
    <row r="94" spans="1:5" ht="27.75" customHeight="1" x14ac:dyDescent="0.2">
      <c r="A94" s="322" t="s">
        <v>591</v>
      </c>
      <c r="B94" s="27" t="s">
        <v>1720</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1721</v>
      </c>
      <c r="C96" s="311">
        <v>0</v>
      </c>
      <c r="D96" s="329" t="s">
        <v>797</v>
      </c>
      <c r="E96" s="328" t="s">
        <v>797</v>
      </c>
    </row>
    <row r="97" spans="1:5" ht="27.75" customHeight="1" x14ac:dyDescent="0.2">
      <c r="A97" s="322" t="s">
        <v>594</v>
      </c>
      <c r="B97" s="27" t="s">
        <v>1722</v>
      </c>
      <c r="C97" s="311">
        <v>0</v>
      </c>
      <c r="D97" s="329" t="s">
        <v>797</v>
      </c>
      <c r="E97" s="328" t="s">
        <v>797</v>
      </c>
    </row>
    <row r="98" spans="1:5" ht="27.75" customHeight="1" x14ac:dyDescent="0.2">
      <c r="A98" s="322" t="s">
        <v>595</v>
      </c>
      <c r="B98" s="27" t="s">
        <v>1723</v>
      </c>
      <c r="C98" s="311">
        <v>0</v>
      </c>
      <c r="D98" s="329" t="s">
        <v>797</v>
      </c>
      <c r="E98" s="328" t="s">
        <v>797</v>
      </c>
    </row>
    <row r="99" spans="1:5" ht="27.75" customHeight="1" x14ac:dyDescent="0.2">
      <c r="A99" s="322" t="s">
        <v>596</v>
      </c>
      <c r="B99" s="27"/>
      <c r="C99" s="311">
        <v>0</v>
      </c>
      <c r="D99" s="329" t="s">
        <v>797</v>
      </c>
      <c r="E99" s="328" t="s">
        <v>797</v>
      </c>
    </row>
    <row r="100" spans="1:5" ht="27.75" customHeight="1" x14ac:dyDescent="0.2">
      <c r="A100" s="322" t="s">
        <v>684</v>
      </c>
      <c r="B100" s="27"/>
      <c r="C100" s="311" t="s">
        <v>802</v>
      </c>
      <c r="D100" s="328"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9" t="s">
        <v>797</v>
      </c>
      <c r="E120" s="328" t="s">
        <v>797</v>
      </c>
    </row>
    <row r="121" spans="1:5" ht="27.75" customHeight="1" x14ac:dyDescent="0.2">
      <c r="A121" s="322" t="s">
        <v>685</v>
      </c>
      <c r="B121" s="27"/>
      <c r="C121" s="311" t="s">
        <v>802</v>
      </c>
      <c r="D121" s="328"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9" t="s">
        <v>797</v>
      </c>
      <c r="E141" s="328" t="s">
        <v>797</v>
      </c>
    </row>
    <row r="142" spans="1:5" ht="27.75" customHeight="1" x14ac:dyDescent="0.2">
      <c r="A142" s="322" t="s">
        <v>686</v>
      </c>
      <c r="B142" s="27"/>
      <c r="C142" s="311" t="s">
        <v>802</v>
      </c>
      <c r="D142" s="328"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DF8EBADA-BB03-49BF-A1C2-4734688FAAC5}"/>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0881-ECDA-4C2E-9A5A-4D1F10993EEE}">
  <dimension ref="A1:L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2" ht="27.75" customHeight="1" x14ac:dyDescent="0.2">
      <c r="A1" s="31" t="s">
        <v>19</v>
      </c>
      <c r="B1" s="524"/>
      <c r="C1" s="524"/>
      <c r="D1" s="327"/>
      <c r="E1" s="327"/>
    </row>
    <row r="2" spans="1:12" ht="35.1" customHeight="1" x14ac:dyDescent="0.2">
      <c r="A2" s="525" t="str">
        <f>Overview!B4&amp; " - Effective from "&amp;TEXT(Overview!D4,"d mmmm yyyy")&amp;" - "&amp;Overview!E4&amp;" Supplier of Last Resort and Eligible Bad Debt Pass-Through Costs"&amp;" in WPD South Wales Area (GSP Group_K)"</f>
        <v>Leep Electricity Networks Limited - Effective from 1 April 2027 - Final Supplier of Last Resort and Eligible Bad Debt Pass-Through Costs in WPD South Wales Area (GSP Group_K)</v>
      </c>
      <c r="B2" s="526"/>
      <c r="C2" s="526"/>
      <c r="D2" s="526"/>
      <c r="E2" s="527"/>
    </row>
    <row r="3" spans="1:12" s="40" customFormat="1" ht="21" customHeight="1" x14ac:dyDescent="0.2">
      <c r="A3" s="45"/>
      <c r="B3" s="45"/>
      <c r="C3" s="45"/>
      <c r="D3" s="45"/>
      <c r="E3" s="45"/>
      <c r="F3" s="1"/>
    </row>
    <row r="4" spans="1:12" ht="78.75" customHeight="1" x14ac:dyDescent="0.2">
      <c r="A4" s="19" t="s">
        <v>359</v>
      </c>
      <c r="B4" s="16" t="s">
        <v>645</v>
      </c>
      <c r="C4" s="16" t="s">
        <v>24</v>
      </c>
      <c r="D4" s="16" t="s">
        <v>646</v>
      </c>
      <c r="E4" s="16" t="s">
        <v>647</v>
      </c>
    </row>
    <row r="5" spans="1:12" ht="32.25" customHeight="1" x14ac:dyDescent="0.2">
      <c r="A5" s="10" t="s">
        <v>674</v>
      </c>
      <c r="B5" s="27"/>
      <c r="C5" s="311" t="s">
        <v>802</v>
      </c>
      <c r="D5" s="328">
        <v>0</v>
      </c>
      <c r="E5" s="328">
        <v>0</v>
      </c>
      <c r="L5" s="344"/>
    </row>
    <row r="6" spans="1:12" ht="32.25" customHeight="1" x14ac:dyDescent="0.2">
      <c r="A6" s="10" t="s">
        <v>675</v>
      </c>
      <c r="B6" s="27"/>
      <c r="C6" s="311" t="s">
        <v>803</v>
      </c>
      <c r="D6" s="329" t="s">
        <v>797</v>
      </c>
      <c r="E6" s="328">
        <v>0</v>
      </c>
    </row>
    <row r="7" spans="1:12" ht="27" customHeight="1" x14ac:dyDescent="0.2">
      <c r="A7" s="10" t="s">
        <v>676</v>
      </c>
      <c r="B7" s="27"/>
      <c r="C7" s="311" t="s">
        <v>803</v>
      </c>
      <c r="D7" s="329" t="s">
        <v>797</v>
      </c>
      <c r="E7" s="328">
        <v>0</v>
      </c>
    </row>
    <row r="8" spans="1:12" ht="27" customHeight="1" x14ac:dyDescent="0.2">
      <c r="A8" s="10" t="s">
        <v>677</v>
      </c>
      <c r="B8" s="27"/>
      <c r="C8" s="311" t="s">
        <v>803</v>
      </c>
      <c r="D8" s="329" t="s">
        <v>797</v>
      </c>
      <c r="E8" s="328">
        <v>0</v>
      </c>
    </row>
    <row r="9" spans="1:12" ht="27" customHeight="1" x14ac:dyDescent="0.2">
      <c r="A9" s="10" t="s">
        <v>678</v>
      </c>
      <c r="B9" s="27"/>
      <c r="C9" s="311" t="s">
        <v>803</v>
      </c>
      <c r="D9" s="329" t="s">
        <v>797</v>
      </c>
      <c r="E9" s="328">
        <v>0</v>
      </c>
    </row>
    <row r="10" spans="1:12" ht="27" customHeight="1" x14ac:dyDescent="0.2">
      <c r="A10" s="10" t="s">
        <v>679</v>
      </c>
      <c r="B10" s="27"/>
      <c r="C10" s="311" t="s">
        <v>803</v>
      </c>
      <c r="D10" s="329" t="s">
        <v>797</v>
      </c>
      <c r="E10" s="328">
        <v>0</v>
      </c>
    </row>
    <row r="11" spans="1:12" ht="27" customHeight="1" x14ac:dyDescent="0.2">
      <c r="A11" s="10" t="s">
        <v>496</v>
      </c>
      <c r="B11" s="27"/>
      <c r="C11" s="311">
        <v>0</v>
      </c>
      <c r="D11" s="329" t="s">
        <v>797</v>
      </c>
      <c r="E11" s="328">
        <v>0</v>
      </c>
    </row>
    <row r="12" spans="1:12" ht="27" customHeight="1" x14ac:dyDescent="0.2">
      <c r="A12" s="322" t="s">
        <v>497</v>
      </c>
      <c r="B12" s="27"/>
      <c r="C12" s="311">
        <v>0</v>
      </c>
      <c r="D12" s="329" t="s">
        <v>797</v>
      </c>
      <c r="E12" s="328">
        <v>0</v>
      </c>
    </row>
    <row r="13" spans="1:12" ht="27" customHeight="1" x14ac:dyDescent="0.2">
      <c r="A13" s="322" t="s">
        <v>498</v>
      </c>
      <c r="B13" s="27"/>
      <c r="C13" s="311">
        <v>0</v>
      </c>
      <c r="D13" s="329" t="s">
        <v>797</v>
      </c>
      <c r="E13" s="328">
        <v>0</v>
      </c>
    </row>
    <row r="14" spans="1:12" ht="27" customHeight="1" x14ac:dyDescent="0.2">
      <c r="A14" s="322" t="s">
        <v>499</v>
      </c>
      <c r="B14" s="27"/>
      <c r="C14" s="311">
        <v>0</v>
      </c>
      <c r="D14" s="329" t="s">
        <v>797</v>
      </c>
      <c r="E14" s="328">
        <v>0</v>
      </c>
    </row>
    <row r="15" spans="1:12" ht="27.75" customHeight="1" x14ac:dyDescent="0.2">
      <c r="A15" s="322" t="s">
        <v>500</v>
      </c>
      <c r="B15" s="27"/>
      <c r="C15" s="311">
        <v>0</v>
      </c>
      <c r="D15" s="329" t="s">
        <v>797</v>
      </c>
      <c r="E15" s="328">
        <v>0</v>
      </c>
    </row>
    <row r="16" spans="1:12" ht="27.75" customHeight="1" x14ac:dyDescent="0.2">
      <c r="A16" s="323" t="s">
        <v>501</v>
      </c>
      <c r="B16" s="27"/>
      <c r="C16" s="311">
        <v>0</v>
      </c>
      <c r="D16" s="329" t="s">
        <v>797</v>
      </c>
      <c r="E16" s="328">
        <v>0</v>
      </c>
    </row>
    <row r="17" spans="1:5" ht="27.75" customHeight="1" x14ac:dyDescent="0.2">
      <c r="A17" s="323" t="s">
        <v>502</v>
      </c>
      <c r="B17" s="27"/>
      <c r="C17" s="311">
        <v>0</v>
      </c>
      <c r="D17" s="329" t="s">
        <v>797</v>
      </c>
      <c r="E17" s="328">
        <v>0</v>
      </c>
    </row>
    <row r="18" spans="1:5" ht="27.75" customHeight="1" x14ac:dyDescent="0.2">
      <c r="A18" s="323" t="s">
        <v>503</v>
      </c>
      <c r="B18" s="27"/>
      <c r="C18" s="311">
        <v>0</v>
      </c>
      <c r="D18" s="329" t="s">
        <v>797</v>
      </c>
      <c r="E18" s="328">
        <v>0</v>
      </c>
    </row>
    <row r="19" spans="1:5" ht="27.75" customHeight="1" x14ac:dyDescent="0.2">
      <c r="A19" s="323" t="s">
        <v>504</v>
      </c>
      <c r="B19" s="27"/>
      <c r="C19" s="311">
        <v>0</v>
      </c>
      <c r="D19" s="329" t="s">
        <v>797</v>
      </c>
      <c r="E19" s="328">
        <v>0</v>
      </c>
    </row>
    <row r="20" spans="1:5" ht="27.75" customHeight="1" x14ac:dyDescent="0.2">
      <c r="A20" s="323" t="s">
        <v>505</v>
      </c>
      <c r="B20" s="27"/>
      <c r="C20" s="311">
        <v>0</v>
      </c>
      <c r="D20" s="329" t="s">
        <v>797</v>
      </c>
      <c r="E20" s="328">
        <v>0</v>
      </c>
    </row>
    <row r="21" spans="1:5" ht="27.75" customHeight="1" x14ac:dyDescent="0.2">
      <c r="A21" s="323" t="s">
        <v>506</v>
      </c>
      <c r="B21" s="27"/>
      <c r="C21" s="311">
        <v>0</v>
      </c>
      <c r="D21" s="329" t="s">
        <v>797</v>
      </c>
      <c r="E21" s="328">
        <v>0</v>
      </c>
    </row>
    <row r="22" spans="1:5" ht="27.75" customHeight="1" x14ac:dyDescent="0.2">
      <c r="A22" s="323" t="s">
        <v>507</v>
      </c>
      <c r="B22" s="27"/>
      <c r="C22" s="311">
        <v>0</v>
      </c>
      <c r="D22" s="329" t="s">
        <v>797</v>
      </c>
      <c r="E22" s="328">
        <v>0</v>
      </c>
    </row>
    <row r="23" spans="1:5" ht="27.75" customHeight="1" x14ac:dyDescent="0.2">
      <c r="A23" s="323" t="s">
        <v>508</v>
      </c>
      <c r="B23" s="27"/>
      <c r="C23" s="311">
        <v>0</v>
      </c>
      <c r="D23" s="329" t="s">
        <v>797</v>
      </c>
      <c r="E23" s="328">
        <v>0</v>
      </c>
    </row>
    <row r="24" spans="1:5" ht="27.75" customHeight="1" x14ac:dyDescent="0.2">
      <c r="A24" s="322" t="s">
        <v>509</v>
      </c>
      <c r="B24" s="27"/>
      <c r="C24" s="311">
        <v>0</v>
      </c>
      <c r="D24" s="329" t="s">
        <v>797</v>
      </c>
      <c r="E24" s="328">
        <v>0</v>
      </c>
    </row>
    <row r="25" spans="1:5" ht="27.75" customHeight="1" x14ac:dyDescent="0.2">
      <c r="A25" s="322" t="s">
        <v>510</v>
      </c>
      <c r="B25" s="27"/>
      <c r="C25" s="311">
        <v>0</v>
      </c>
      <c r="D25" s="329" t="s">
        <v>797</v>
      </c>
      <c r="E25" s="328">
        <v>0</v>
      </c>
    </row>
    <row r="26" spans="1:5" ht="27.75" customHeight="1" x14ac:dyDescent="0.2">
      <c r="A26" s="322" t="s">
        <v>680</v>
      </c>
      <c r="B26" s="27" t="s">
        <v>1724</v>
      </c>
      <c r="C26" s="311" t="s">
        <v>802</v>
      </c>
      <c r="D26" s="328">
        <v>0</v>
      </c>
      <c r="E26" s="328">
        <v>0</v>
      </c>
    </row>
    <row r="27" spans="1:5" ht="27.75" customHeight="1" x14ac:dyDescent="0.2">
      <c r="A27" s="322" t="s">
        <v>687</v>
      </c>
      <c r="B27" s="27" t="s">
        <v>1725</v>
      </c>
      <c r="C27" s="311" t="s">
        <v>803</v>
      </c>
      <c r="D27" s="329" t="s">
        <v>797</v>
      </c>
      <c r="E27" s="328">
        <v>0</v>
      </c>
    </row>
    <row r="28" spans="1:5" ht="27.75" customHeight="1" x14ac:dyDescent="0.2">
      <c r="A28" s="322" t="s">
        <v>694</v>
      </c>
      <c r="B28" s="27" t="s">
        <v>1726</v>
      </c>
      <c r="C28" s="311" t="s">
        <v>803</v>
      </c>
      <c r="D28" s="329" t="s">
        <v>797</v>
      </c>
      <c r="E28" s="328">
        <v>0</v>
      </c>
    </row>
    <row r="29" spans="1:5" ht="27.75" customHeight="1" x14ac:dyDescent="0.2">
      <c r="A29" s="322" t="s">
        <v>701</v>
      </c>
      <c r="B29" s="27" t="s">
        <v>1727</v>
      </c>
      <c r="C29" s="311" t="s">
        <v>803</v>
      </c>
      <c r="D29" s="329" t="s">
        <v>797</v>
      </c>
      <c r="E29" s="328">
        <v>0</v>
      </c>
    </row>
    <row r="30" spans="1:5" ht="27.75" customHeight="1" x14ac:dyDescent="0.2">
      <c r="A30" s="322" t="s">
        <v>708</v>
      </c>
      <c r="B30" s="27" t="s">
        <v>1728</v>
      </c>
      <c r="C30" s="311" t="s">
        <v>803</v>
      </c>
      <c r="D30" s="329" t="s">
        <v>797</v>
      </c>
      <c r="E30" s="328">
        <v>0</v>
      </c>
    </row>
    <row r="31" spans="1:5" ht="27.75" customHeight="1" x14ac:dyDescent="0.2">
      <c r="A31" s="322" t="s">
        <v>715</v>
      </c>
      <c r="B31" s="27" t="s">
        <v>1729</v>
      </c>
      <c r="C31" s="311" t="s">
        <v>803</v>
      </c>
      <c r="D31" s="329" t="s">
        <v>797</v>
      </c>
      <c r="E31" s="328">
        <v>0</v>
      </c>
    </row>
    <row r="32" spans="1:5" ht="27.75" customHeight="1" x14ac:dyDescent="0.2">
      <c r="A32" s="322" t="s">
        <v>544</v>
      </c>
      <c r="B32" s="27" t="s">
        <v>797</v>
      </c>
      <c r="C32" s="311">
        <v>0</v>
      </c>
      <c r="D32" s="329" t="s">
        <v>797</v>
      </c>
      <c r="E32" s="328">
        <v>0</v>
      </c>
    </row>
    <row r="33" spans="1:5" ht="27.75" customHeight="1" x14ac:dyDescent="0.2">
      <c r="A33" s="322" t="s">
        <v>545</v>
      </c>
      <c r="B33" s="27" t="s">
        <v>1730</v>
      </c>
      <c r="C33" s="311">
        <v>0</v>
      </c>
      <c r="D33" s="329" t="s">
        <v>797</v>
      </c>
      <c r="E33" s="328">
        <v>0</v>
      </c>
    </row>
    <row r="34" spans="1:5" ht="27.75" customHeight="1" x14ac:dyDescent="0.2">
      <c r="A34" s="322" t="s">
        <v>546</v>
      </c>
      <c r="B34" s="27" t="s">
        <v>1731</v>
      </c>
      <c r="C34" s="311">
        <v>0</v>
      </c>
      <c r="D34" s="329" t="s">
        <v>797</v>
      </c>
      <c r="E34" s="328">
        <v>0</v>
      </c>
    </row>
    <row r="35" spans="1:5" ht="27.75" customHeight="1" x14ac:dyDescent="0.2">
      <c r="A35" s="322" t="s">
        <v>547</v>
      </c>
      <c r="B35" s="27" t="s">
        <v>1732</v>
      </c>
      <c r="C35" s="311">
        <v>0</v>
      </c>
      <c r="D35" s="329" t="s">
        <v>797</v>
      </c>
      <c r="E35" s="328">
        <v>0</v>
      </c>
    </row>
    <row r="36" spans="1:5" ht="27.75" customHeight="1" x14ac:dyDescent="0.2">
      <c r="A36" s="322" t="s">
        <v>548</v>
      </c>
      <c r="B36" s="27" t="s">
        <v>1733</v>
      </c>
      <c r="C36" s="311">
        <v>0</v>
      </c>
      <c r="D36" s="329" t="s">
        <v>797</v>
      </c>
      <c r="E36" s="328">
        <v>0</v>
      </c>
    </row>
    <row r="37" spans="1:5" ht="27.75" customHeight="1" x14ac:dyDescent="0.2">
      <c r="A37" s="322" t="s">
        <v>681</v>
      </c>
      <c r="B37" s="27" t="s">
        <v>797</v>
      </c>
      <c r="C37" s="311" t="s">
        <v>802</v>
      </c>
      <c r="D37" s="328">
        <v>0</v>
      </c>
      <c r="E37" s="328">
        <v>0</v>
      </c>
    </row>
    <row r="38" spans="1:5" ht="27.75" customHeight="1" x14ac:dyDescent="0.2">
      <c r="A38" s="323" t="s">
        <v>688</v>
      </c>
      <c r="B38" s="27" t="s">
        <v>1734</v>
      </c>
      <c r="C38" s="311" t="s">
        <v>803</v>
      </c>
      <c r="D38" s="329" t="s">
        <v>797</v>
      </c>
      <c r="E38" s="328">
        <v>0</v>
      </c>
    </row>
    <row r="39" spans="1:5" ht="27.75" customHeight="1" x14ac:dyDescent="0.2">
      <c r="A39" s="322" t="s">
        <v>695</v>
      </c>
      <c r="B39" s="27" t="s">
        <v>1735</v>
      </c>
      <c r="C39" s="311" t="s">
        <v>803</v>
      </c>
      <c r="D39" s="329" t="s">
        <v>797</v>
      </c>
      <c r="E39" s="328">
        <v>0</v>
      </c>
    </row>
    <row r="40" spans="1:5" ht="27.75" customHeight="1" x14ac:dyDescent="0.2">
      <c r="A40" s="322" t="s">
        <v>702</v>
      </c>
      <c r="B40" s="27" t="s">
        <v>1736</v>
      </c>
      <c r="C40" s="311" t="s">
        <v>803</v>
      </c>
      <c r="D40" s="329" t="s">
        <v>797</v>
      </c>
      <c r="E40" s="328">
        <v>0</v>
      </c>
    </row>
    <row r="41" spans="1:5" ht="27.75" customHeight="1" x14ac:dyDescent="0.2">
      <c r="A41" s="322" t="s">
        <v>709</v>
      </c>
      <c r="B41" s="27" t="s">
        <v>1737</v>
      </c>
      <c r="C41" s="311" t="s">
        <v>803</v>
      </c>
      <c r="D41" s="329" t="s">
        <v>797</v>
      </c>
      <c r="E41" s="328">
        <v>0</v>
      </c>
    </row>
    <row r="42" spans="1:5" ht="27.75" customHeight="1" x14ac:dyDescent="0.2">
      <c r="A42" s="322" t="s">
        <v>716</v>
      </c>
      <c r="B42" s="27" t="s">
        <v>1738</v>
      </c>
      <c r="C42" s="311" t="s">
        <v>803</v>
      </c>
      <c r="D42" s="329" t="s">
        <v>797</v>
      </c>
      <c r="E42" s="328">
        <v>0</v>
      </c>
    </row>
    <row r="43" spans="1:5" ht="27.75" customHeight="1" x14ac:dyDescent="0.2">
      <c r="A43" s="322" t="s">
        <v>550</v>
      </c>
      <c r="B43" s="27" t="s">
        <v>797</v>
      </c>
      <c r="C43" s="311">
        <v>0</v>
      </c>
      <c r="D43" s="329" t="s">
        <v>797</v>
      </c>
      <c r="E43" s="328">
        <v>0</v>
      </c>
    </row>
    <row r="44" spans="1:5" ht="27.75" customHeight="1" x14ac:dyDescent="0.2">
      <c r="A44" s="322" t="s">
        <v>551</v>
      </c>
      <c r="B44" s="27" t="s">
        <v>1739</v>
      </c>
      <c r="C44" s="311">
        <v>0</v>
      </c>
      <c r="D44" s="329" t="s">
        <v>797</v>
      </c>
      <c r="E44" s="328">
        <v>0</v>
      </c>
    </row>
    <row r="45" spans="1:5" ht="27.75" customHeight="1" x14ac:dyDescent="0.2">
      <c r="A45" s="322" t="s">
        <v>552</v>
      </c>
      <c r="B45" s="27" t="s">
        <v>1740</v>
      </c>
      <c r="C45" s="311">
        <v>0</v>
      </c>
      <c r="D45" s="329" t="s">
        <v>797</v>
      </c>
      <c r="E45" s="328">
        <v>0</v>
      </c>
    </row>
    <row r="46" spans="1:5" ht="27.75" customHeight="1" x14ac:dyDescent="0.2">
      <c r="A46" s="322" t="s">
        <v>553</v>
      </c>
      <c r="B46" s="27" t="s">
        <v>1741</v>
      </c>
      <c r="C46" s="311">
        <v>0</v>
      </c>
      <c r="D46" s="329" t="s">
        <v>797</v>
      </c>
      <c r="E46" s="328">
        <v>0</v>
      </c>
    </row>
    <row r="47" spans="1:5" ht="27.75" customHeight="1" x14ac:dyDescent="0.2">
      <c r="A47" s="322" t="s">
        <v>554</v>
      </c>
      <c r="B47" s="27" t="s">
        <v>1742</v>
      </c>
      <c r="C47" s="311">
        <v>0</v>
      </c>
      <c r="D47" s="329" t="s">
        <v>797</v>
      </c>
      <c r="E47" s="328">
        <v>0</v>
      </c>
    </row>
    <row r="48" spans="1:5" ht="27.75" customHeight="1" x14ac:dyDescent="0.2">
      <c r="A48" s="322" t="s">
        <v>555</v>
      </c>
      <c r="B48" s="27" t="s">
        <v>797</v>
      </c>
      <c r="C48" s="311">
        <v>0</v>
      </c>
      <c r="D48" s="329" t="s">
        <v>797</v>
      </c>
      <c r="E48" s="328">
        <v>0</v>
      </c>
    </row>
    <row r="49" spans="1:5" ht="27.75" customHeight="1" x14ac:dyDescent="0.2">
      <c r="A49" s="322" t="s">
        <v>556</v>
      </c>
      <c r="B49" s="27" t="s">
        <v>1743</v>
      </c>
      <c r="C49" s="311">
        <v>0</v>
      </c>
      <c r="D49" s="329" t="s">
        <v>797</v>
      </c>
      <c r="E49" s="328">
        <v>0</v>
      </c>
    </row>
    <row r="50" spans="1:5" ht="27.75" customHeight="1" x14ac:dyDescent="0.2">
      <c r="A50" s="322" t="s">
        <v>557</v>
      </c>
      <c r="B50" s="27" t="s">
        <v>1744</v>
      </c>
      <c r="C50" s="311">
        <v>0</v>
      </c>
      <c r="D50" s="329" t="s">
        <v>797</v>
      </c>
      <c r="E50" s="328">
        <v>0</v>
      </c>
    </row>
    <row r="51" spans="1:5" ht="27.75" customHeight="1" x14ac:dyDescent="0.2">
      <c r="A51" s="322" t="s">
        <v>558</v>
      </c>
      <c r="B51" s="27" t="s">
        <v>1745</v>
      </c>
      <c r="C51" s="311">
        <v>0</v>
      </c>
      <c r="D51" s="329" t="s">
        <v>797</v>
      </c>
      <c r="E51" s="328">
        <v>0</v>
      </c>
    </row>
    <row r="52" spans="1:5" ht="27.75" customHeight="1" x14ac:dyDescent="0.2">
      <c r="A52" s="322" t="s">
        <v>559</v>
      </c>
      <c r="B52" s="27" t="s">
        <v>1746</v>
      </c>
      <c r="C52" s="311">
        <v>0</v>
      </c>
      <c r="D52" s="329" t="s">
        <v>797</v>
      </c>
      <c r="E52" s="328">
        <v>0</v>
      </c>
    </row>
    <row r="53" spans="1:5" ht="27.75" customHeight="1" x14ac:dyDescent="0.2">
      <c r="A53" s="322" t="s">
        <v>560</v>
      </c>
      <c r="B53" s="27" t="s">
        <v>797</v>
      </c>
      <c r="C53" s="311">
        <v>0</v>
      </c>
      <c r="D53" s="329" t="s">
        <v>797</v>
      </c>
      <c r="E53" s="328">
        <v>0</v>
      </c>
    </row>
    <row r="54" spans="1:5" ht="27.75" customHeight="1" x14ac:dyDescent="0.2">
      <c r="A54" s="322" t="s">
        <v>561</v>
      </c>
      <c r="B54" s="27" t="s">
        <v>1747</v>
      </c>
      <c r="C54" s="311">
        <v>0</v>
      </c>
      <c r="D54" s="329" t="s">
        <v>797</v>
      </c>
      <c r="E54" s="328">
        <v>0</v>
      </c>
    </row>
    <row r="55" spans="1:5" ht="27.75" customHeight="1" x14ac:dyDescent="0.2">
      <c r="A55" s="322" t="s">
        <v>562</v>
      </c>
      <c r="B55" s="27" t="s">
        <v>1748</v>
      </c>
      <c r="C55" s="311">
        <v>0</v>
      </c>
      <c r="D55" s="329" t="s">
        <v>797</v>
      </c>
      <c r="E55" s="328">
        <v>0</v>
      </c>
    </row>
    <row r="56" spans="1:5" ht="27.75" customHeight="1" x14ac:dyDescent="0.2">
      <c r="A56" s="322" t="s">
        <v>563</v>
      </c>
      <c r="B56" s="27" t="s">
        <v>1749</v>
      </c>
      <c r="C56" s="311">
        <v>0</v>
      </c>
      <c r="D56" s="329" t="s">
        <v>797</v>
      </c>
      <c r="E56" s="328">
        <v>0</v>
      </c>
    </row>
    <row r="57" spans="1:5" ht="27.75" customHeight="1" x14ac:dyDescent="0.2">
      <c r="A57" s="322" t="s">
        <v>564</v>
      </c>
      <c r="B57" s="27" t="s">
        <v>1750</v>
      </c>
      <c r="C57" s="311">
        <v>0</v>
      </c>
      <c r="D57" s="329" t="s">
        <v>797</v>
      </c>
      <c r="E57" s="328">
        <v>0</v>
      </c>
    </row>
    <row r="58" spans="1:5" ht="27.75" customHeight="1" x14ac:dyDescent="0.2">
      <c r="A58" s="322" t="s">
        <v>682</v>
      </c>
      <c r="B58" s="27" t="s">
        <v>797</v>
      </c>
      <c r="C58" s="311" t="s">
        <v>802</v>
      </c>
      <c r="D58" s="328">
        <v>0</v>
      </c>
      <c r="E58" s="328">
        <v>0</v>
      </c>
    </row>
    <row r="59" spans="1:5" ht="27.75" customHeight="1" x14ac:dyDescent="0.2">
      <c r="A59" s="322" t="s">
        <v>689</v>
      </c>
      <c r="B59" s="27" t="s">
        <v>1751</v>
      </c>
      <c r="C59" s="311" t="s">
        <v>803</v>
      </c>
      <c r="D59" s="329" t="s">
        <v>797</v>
      </c>
      <c r="E59" s="328">
        <v>0</v>
      </c>
    </row>
    <row r="60" spans="1:5" ht="27.75" customHeight="1" x14ac:dyDescent="0.2">
      <c r="A60" s="322" t="s">
        <v>696</v>
      </c>
      <c r="B60" s="27" t="s">
        <v>1752</v>
      </c>
      <c r="C60" s="311" t="s">
        <v>803</v>
      </c>
      <c r="D60" s="329" t="s">
        <v>797</v>
      </c>
      <c r="E60" s="328">
        <v>0</v>
      </c>
    </row>
    <row r="61" spans="1:5" ht="27.75" customHeight="1" x14ac:dyDescent="0.2">
      <c r="A61" s="322" t="s">
        <v>703</v>
      </c>
      <c r="B61" s="27" t="s">
        <v>1753</v>
      </c>
      <c r="C61" s="311" t="s">
        <v>803</v>
      </c>
      <c r="D61" s="329" t="s">
        <v>797</v>
      </c>
      <c r="E61" s="328">
        <v>0</v>
      </c>
    </row>
    <row r="62" spans="1:5" ht="27.75" customHeight="1" x14ac:dyDescent="0.2">
      <c r="A62" s="322" t="s">
        <v>710</v>
      </c>
      <c r="B62" s="27" t="s">
        <v>1754</v>
      </c>
      <c r="C62" s="311" t="s">
        <v>803</v>
      </c>
      <c r="D62" s="329" t="s">
        <v>797</v>
      </c>
      <c r="E62" s="328">
        <v>0</v>
      </c>
    </row>
    <row r="63" spans="1:5" ht="27.75" customHeight="1" x14ac:dyDescent="0.2">
      <c r="A63" s="322" t="s">
        <v>717</v>
      </c>
      <c r="B63" s="27" t="s">
        <v>1755</v>
      </c>
      <c r="C63" s="311" t="s">
        <v>803</v>
      </c>
      <c r="D63" s="329" t="s">
        <v>797</v>
      </c>
      <c r="E63" s="328">
        <v>0</v>
      </c>
    </row>
    <row r="64" spans="1:5" ht="27.75" customHeight="1" x14ac:dyDescent="0.2">
      <c r="A64" s="322" t="s">
        <v>566</v>
      </c>
      <c r="B64" s="27" t="s">
        <v>797</v>
      </c>
      <c r="C64" s="311">
        <v>0</v>
      </c>
      <c r="D64" s="329" t="s">
        <v>797</v>
      </c>
      <c r="E64" s="328">
        <v>0</v>
      </c>
    </row>
    <row r="65" spans="1:5" ht="27.75" customHeight="1" x14ac:dyDescent="0.2">
      <c r="A65" s="322" t="s">
        <v>567</v>
      </c>
      <c r="B65" s="27" t="s">
        <v>1756</v>
      </c>
      <c r="C65" s="311">
        <v>0</v>
      </c>
      <c r="D65" s="329" t="s">
        <v>797</v>
      </c>
      <c r="E65" s="328">
        <v>0</v>
      </c>
    </row>
    <row r="66" spans="1:5" ht="27.75" customHeight="1" x14ac:dyDescent="0.2">
      <c r="A66" s="322" t="s">
        <v>568</v>
      </c>
      <c r="B66" s="27" t="s">
        <v>1757</v>
      </c>
      <c r="C66" s="311">
        <v>0</v>
      </c>
      <c r="D66" s="329" t="s">
        <v>797</v>
      </c>
      <c r="E66" s="328">
        <v>0</v>
      </c>
    </row>
    <row r="67" spans="1:5" ht="27.75" customHeight="1" x14ac:dyDescent="0.2">
      <c r="A67" s="322" t="s">
        <v>569</v>
      </c>
      <c r="B67" s="27" t="s">
        <v>1758</v>
      </c>
      <c r="C67" s="311">
        <v>0</v>
      </c>
      <c r="D67" s="329" t="s">
        <v>797</v>
      </c>
      <c r="E67" s="328">
        <v>0</v>
      </c>
    </row>
    <row r="68" spans="1:5" ht="27.75" customHeight="1" x14ac:dyDescent="0.2">
      <c r="A68" s="322" t="s">
        <v>570</v>
      </c>
      <c r="B68" s="27" t="s">
        <v>1759</v>
      </c>
      <c r="C68" s="311">
        <v>0</v>
      </c>
      <c r="D68" s="329" t="s">
        <v>797</v>
      </c>
      <c r="E68" s="328">
        <v>0</v>
      </c>
    </row>
    <row r="69" spans="1:5" ht="27.75" customHeight="1" x14ac:dyDescent="0.2">
      <c r="A69" s="322" t="s">
        <v>571</v>
      </c>
      <c r="B69" s="27" t="s">
        <v>797</v>
      </c>
      <c r="C69" s="311">
        <v>0</v>
      </c>
      <c r="D69" s="329" t="s">
        <v>797</v>
      </c>
      <c r="E69" s="328">
        <v>0</v>
      </c>
    </row>
    <row r="70" spans="1:5" ht="27.75" customHeight="1" x14ac:dyDescent="0.2">
      <c r="A70" s="322" t="s">
        <v>572</v>
      </c>
      <c r="B70" s="27" t="s">
        <v>1760</v>
      </c>
      <c r="C70" s="311">
        <v>0</v>
      </c>
      <c r="D70" s="329" t="s">
        <v>797</v>
      </c>
      <c r="E70" s="328">
        <v>0</v>
      </c>
    </row>
    <row r="71" spans="1:5" ht="27.75" customHeight="1" x14ac:dyDescent="0.2">
      <c r="A71" s="322" t="s">
        <v>573</v>
      </c>
      <c r="B71" s="27" t="s">
        <v>1761</v>
      </c>
      <c r="C71" s="311">
        <v>0</v>
      </c>
      <c r="D71" s="329" t="s">
        <v>797</v>
      </c>
      <c r="E71" s="328">
        <v>0</v>
      </c>
    </row>
    <row r="72" spans="1:5" ht="27.75" customHeight="1" x14ac:dyDescent="0.2">
      <c r="A72" s="322" t="s">
        <v>574</v>
      </c>
      <c r="B72" s="27" t="s">
        <v>1762</v>
      </c>
      <c r="C72" s="311">
        <v>0</v>
      </c>
      <c r="D72" s="329" t="s">
        <v>797</v>
      </c>
      <c r="E72" s="328">
        <v>0</v>
      </c>
    </row>
    <row r="73" spans="1:5" ht="27.75" customHeight="1" x14ac:dyDescent="0.2">
      <c r="A73" s="322" t="s">
        <v>575</v>
      </c>
      <c r="B73" s="27" t="s">
        <v>1763</v>
      </c>
      <c r="C73" s="311">
        <v>0</v>
      </c>
      <c r="D73" s="329" t="s">
        <v>797</v>
      </c>
      <c r="E73" s="328">
        <v>0</v>
      </c>
    </row>
    <row r="74" spans="1:5" ht="27.75" customHeight="1" x14ac:dyDescent="0.2">
      <c r="A74" s="322" t="s">
        <v>576</v>
      </c>
      <c r="B74" s="27" t="s">
        <v>797</v>
      </c>
      <c r="C74" s="311">
        <v>0</v>
      </c>
      <c r="D74" s="329" t="s">
        <v>797</v>
      </c>
      <c r="E74" s="328">
        <v>0</v>
      </c>
    </row>
    <row r="75" spans="1:5" ht="27.75" customHeight="1" x14ac:dyDescent="0.2">
      <c r="A75" s="322" t="s">
        <v>577</v>
      </c>
      <c r="B75" s="27" t="s">
        <v>1764</v>
      </c>
      <c r="C75" s="311">
        <v>0</v>
      </c>
      <c r="D75" s="329" t="s">
        <v>797</v>
      </c>
      <c r="E75" s="328">
        <v>0</v>
      </c>
    </row>
    <row r="76" spans="1:5" ht="27.75" customHeight="1" x14ac:dyDescent="0.2">
      <c r="A76" s="322" t="s">
        <v>578</v>
      </c>
      <c r="B76" s="27" t="s">
        <v>1765</v>
      </c>
      <c r="C76" s="311">
        <v>0</v>
      </c>
      <c r="D76" s="329" t="s">
        <v>797</v>
      </c>
      <c r="E76" s="328">
        <v>0</v>
      </c>
    </row>
    <row r="77" spans="1:5" ht="27.75" customHeight="1" x14ac:dyDescent="0.2">
      <c r="A77" s="322" t="s">
        <v>579</v>
      </c>
      <c r="B77" s="27" t="s">
        <v>1766</v>
      </c>
      <c r="C77" s="311">
        <v>0</v>
      </c>
      <c r="D77" s="329" t="s">
        <v>797</v>
      </c>
      <c r="E77" s="328">
        <v>0</v>
      </c>
    </row>
    <row r="78" spans="1:5" ht="27.75" customHeight="1" x14ac:dyDescent="0.2">
      <c r="A78" s="322" t="s">
        <v>580</v>
      </c>
      <c r="B78" s="27" t="s">
        <v>1767</v>
      </c>
      <c r="C78" s="311">
        <v>0</v>
      </c>
      <c r="D78" s="329" t="s">
        <v>797</v>
      </c>
      <c r="E78" s="328">
        <v>0</v>
      </c>
    </row>
    <row r="79" spans="1:5" ht="27.75" customHeight="1" x14ac:dyDescent="0.2">
      <c r="A79" s="322" t="s">
        <v>683</v>
      </c>
      <c r="B79" s="27" t="s">
        <v>797</v>
      </c>
      <c r="C79" s="311" t="s">
        <v>802</v>
      </c>
      <c r="D79" s="328">
        <v>0</v>
      </c>
      <c r="E79" s="328">
        <v>0</v>
      </c>
    </row>
    <row r="80" spans="1:5" ht="27.75" customHeight="1" x14ac:dyDescent="0.2">
      <c r="A80" s="322" t="s">
        <v>690</v>
      </c>
      <c r="B80" s="27" t="s">
        <v>1768</v>
      </c>
      <c r="C80" s="311" t="s">
        <v>803</v>
      </c>
      <c r="D80" s="329" t="s">
        <v>797</v>
      </c>
      <c r="E80" s="328">
        <v>0</v>
      </c>
    </row>
    <row r="81" spans="1:5" ht="27.75" customHeight="1" x14ac:dyDescent="0.2">
      <c r="A81" s="322" t="s">
        <v>697</v>
      </c>
      <c r="B81" s="27" t="s">
        <v>1769</v>
      </c>
      <c r="C81" s="311" t="s">
        <v>803</v>
      </c>
      <c r="D81" s="329" t="s">
        <v>797</v>
      </c>
      <c r="E81" s="328">
        <v>0</v>
      </c>
    </row>
    <row r="82" spans="1:5" ht="27.75" customHeight="1" x14ac:dyDescent="0.2">
      <c r="A82" s="322" t="s">
        <v>704</v>
      </c>
      <c r="B82" s="27" t="s">
        <v>1770</v>
      </c>
      <c r="C82" s="311" t="s">
        <v>803</v>
      </c>
      <c r="D82" s="329" t="s">
        <v>797</v>
      </c>
      <c r="E82" s="328">
        <v>0</v>
      </c>
    </row>
    <row r="83" spans="1:5" ht="27.75" customHeight="1" x14ac:dyDescent="0.2">
      <c r="A83" s="322" t="s">
        <v>711</v>
      </c>
      <c r="B83" s="27" t="s">
        <v>1771</v>
      </c>
      <c r="C83" s="311" t="s">
        <v>803</v>
      </c>
      <c r="D83" s="329" t="s">
        <v>797</v>
      </c>
      <c r="E83" s="328">
        <v>0</v>
      </c>
    </row>
    <row r="84" spans="1:5" ht="27.75" customHeight="1" x14ac:dyDescent="0.2">
      <c r="A84" s="322" t="s">
        <v>718</v>
      </c>
      <c r="B84" s="27" t="s">
        <v>1772</v>
      </c>
      <c r="C84" s="311" t="s">
        <v>803</v>
      </c>
      <c r="D84" s="329" t="s">
        <v>797</v>
      </c>
      <c r="E84" s="328">
        <v>0</v>
      </c>
    </row>
    <row r="85" spans="1:5" ht="27.75" customHeight="1" x14ac:dyDescent="0.2">
      <c r="A85" s="322" t="s">
        <v>582</v>
      </c>
      <c r="B85" s="27" t="s">
        <v>797</v>
      </c>
      <c r="C85" s="311">
        <v>0</v>
      </c>
      <c r="D85" s="329" t="s">
        <v>797</v>
      </c>
      <c r="E85" s="328">
        <v>0</v>
      </c>
    </row>
    <row r="86" spans="1:5" ht="27.75" customHeight="1" x14ac:dyDescent="0.2">
      <c r="A86" s="322" t="s">
        <v>583</v>
      </c>
      <c r="B86" s="27" t="s">
        <v>1773</v>
      </c>
      <c r="C86" s="311">
        <v>0</v>
      </c>
      <c r="D86" s="329" t="s">
        <v>797</v>
      </c>
      <c r="E86" s="328">
        <v>0</v>
      </c>
    </row>
    <row r="87" spans="1:5" ht="27.75" customHeight="1" x14ac:dyDescent="0.2">
      <c r="A87" s="322" t="s">
        <v>584</v>
      </c>
      <c r="B87" s="27" t="s">
        <v>1774</v>
      </c>
      <c r="C87" s="311">
        <v>0</v>
      </c>
      <c r="D87" s="329" t="s">
        <v>797</v>
      </c>
      <c r="E87" s="328">
        <v>0</v>
      </c>
    </row>
    <row r="88" spans="1:5" ht="27.75" customHeight="1" x14ac:dyDescent="0.2">
      <c r="A88" s="322" t="s">
        <v>585</v>
      </c>
      <c r="B88" s="27" t="s">
        <v>1775</v>
      </c>
      <c r="C88" s="311">
        <v>0</v>
      </c>
      <c r="D88" s="329" t="s">
        <v>797</v>
      </c>
      <c r="E88" s="328">
        <v>0</v>
      </c>
    </row>
    <row r="89" spans="1:5" ht="27.75" customHeight="1" x14ac:dyDescent="0.2">
      <c r="A89" s="322" t="s">
        <v>586</v>
      </c>
      <c r="B89" s="27" t="s">
        <v>1776</v>
      </c>
      <c r="C89" s="311">
        <v>0</v>
      </c>
      <c r="D89" s="329" t="s">
        <v>797</v>
      </c>
      <c r="E89" s="328">
        <v>0</v>
      </c>
    </row>
    <row r="90" spans="1:5" ht="27.75" customHeight="1" x14ac:dyDescent="0.2">
      <c r="A90" s="322" t="s">
        <v>587</v>
      </c>
      <c r="B90" s="27" t="s">
        <v>797</v>
      </c>
      <c r="C90" s="311">
        <v>0</v>
      </c>
      <c r="D90" s="329" t="s">
        <v>797</v>
      </c>
      <c r="E90" s="328">
        <v>0</v>
      </c>
    </row>
    <row r="91" spans="1:5" ht="27.75" customHeight="1" x14ac:dyDescent="0.2">
      <c r="A91" s="322" t="s">
        <v>588</v>
      </c>
      <c r="B91" s="27" t="s">
        <v>1777</v>
      </c>
      <c r="C91" s="311">
        <v>0</v>
      </c>
      <c r="D91" s="329" t="s">
        <v>797</v>
      </c>
      <c r="E91" s="328">
        <v>0</v>
      </c>
    </row>
    <row r="92" spans="1:5" ht="27.75" customHeight="1" x14ac:dyDescent="0.2">
      <c r="A92" s="322" t="s">
        <v>589</v>
      </c>
      <c r="B92" s="27" t="s">
        <v>1778</v>
      </c>
      <c r="C92" s="311">
        <v>0</v>
      </c>
      <c r="D92" s="329" t="s">
        <v>797</v>
      </c>
      <c r="E92" s="328">
        <v>0</v>
      </c>
    </row>
    <row r="93" spans="1:5" ht="27.75" customHeight="1" x14ac:dyDescent="0.2">
      <c r="A93" s="322" t="s">
        <v>590</v>
      </c>
      <c r="B93" s="27" t="s">
        <v>1779</v>
      </c>
      <c r="C93" s="311">
        <v>0</v>
      </c>
      <c r="D93" s="329" t="s">
        <v>797</v>
      </c>
      <c r="E93" s="328">
        <v>0</v>
      </c>
    </row>
    <row r="94" spans="1:5" ht="27.75" customHeight="1" x14ac:dyDescent="0.2">
      <c r="A94" s="322" t="s">
        <v>591</v>
      </c>
      <c r="B94" s="27" t="s">
        <v>1780</v>
      </c>
      <c r="C94" s="311">
        <v>0</v>
      </c>
      <c r="D94" s="329" t="s">
        <v>797</v>
      </c>
      <c r="E94" s="328">
        <v>0</v>
      </c>
    </row>
    <row r="95" spans="1:5" ht="27.75" customHeight="1" x14ac:dyDescent="0.2">
      <c r="A95" s="322" t="s">
        <v>592</v>
      </c>
      <c r="B95" s="27" t="s">
        <v>797</v>
      </c>
      <c r="C95" s="311">
        <v>0</v>
      </c>
      <c r="D95" s="329" t="s">
        <v>797</v>
      </c>
      <c r="E95" s="328">
        <v>0</v>
      </c>
    </row>
    <row r="96" spans="1:5" ht="27.75" customHeight="1" x14ac:dyDescent="0.2">
      <c r="A96" s="322" t="s">
        <v>593</v>
      </c>
      <c r="B96" s="27" t="s">
        <v>1781</v>
      </c>
      <c r="C96" s="311">
        <v>0</v>
      </c>
      <c r="D96" s="329" t="s">
        <v>797</v>
      </c>
      <c r="E96" s="328">
        <v>0</v>
      </c>
    </row>
    <row r="97" spans="1:5" ht="27.75" customHeight="1" x14ac:dyDescent="0.2">
      <c r="A97" s="322" t="s">
        <v>594</v>
      </c>
      <c r="B97" s="27" t="s">
        <v>1782</v>
      </c>
      <c r="C97" s="311">
        <v>0</v>
      </c>
      <c r="D97" s="329" t="s">
        <v>797</v>
      </c>
      <c r="E97" s="328">
        <v>0</v>
      </c>
    </row>
    <row r="98" spans="1:5" ht="27.75" customHeight="1" x14ac:dyDescent="0.2">
      <c r="A98" s="322" t="s">
        <v>595</v>
      </c>
      <c r="B98" s="27" t="s">
        <v>1783</v>
      </c>
      <c r="C98" s="311">
        <v>0</v>
      </c>
      <c r="D98" s="329" t="s">
        <v>797</v>
      </c>
      <c r="E98" s="328">
        <v>0</v>
      </c>
    </row>
    <row r="99" spans="1:5" ht="27.75" customHeight="1" x14ac:dyDescent="0.2">
      <c r="A99" s="322" t="s">
        <v>596</v>
      </c>
      <c r="B99" s="27"/>
      <c r="C99" s="311">
        <v>0</v>
      </c>
      <c r="D99" s="329" t="s">
        <v>797</v>
      </c>
      <c r="E99" s="328">
        <v>0</v>
      </c>
    </row>
    <row r="100" spans="1:5" ht="27.75" customHeight="1" x14ac:dyDescent="0.2">
      <c r="A100" s="322" t="s">
        <v>684</v>
      </c>
      <c r="B100" s="27"/>
      <c r="C100" s="311" t="s">
        <v>802</v>
      </c>
      <c r="D100" s="328">
        <v>0</v>
      </c>
      <c r="E100" s="328">
        <v>0</v>
      </c>
    </row>
    <row r="101" spans="1:5" ht="27.75" customHeight="1" x14ac:dyDescent="0.2">
      <c r="A101" s="322" t="s">
        <v>691</v>
      </c>
      <c r="B101" s="27"/>
      <c r="C101" s="311" t="s">
        <v>803</v>
      </c>
      <c r="D101" s="329" t="s">
        <v>797</v>
      </c>
      <c r="E101" s="328">
        <v>0</v>
      </c>
    </row>
    <row r="102" spans="1:5" ht="27.75" customHeight="1" x14ac:dyDescent="0.2">
      <c r="A102" s="322" t="s">
        <v>698</v>
      </c>
      <c r="B102" s="27"/>
      <c r="C102" s="311" t="s">
        <v>803</v>
      </c>
      <c r="D102" s="329" t="s">
        <v>797</v>
      </c>
      <c r="E102" s="328">
        <v>0</v>
      </c>
    </row>
    <row r="103" spans="1:5" ht="27.75" customHeight="1" x14ac:dyDescent="0.2">
      <c r="A103" s="322" t="s">
        <v>705</v>
      </c>
      <c r="B103" s="27"/>
      <c r="C103" s="311" t="s">
        <v>803</v>
      </c>
      <c r="D103" s="329" t="s">
        <v>797</v>
      </c>
      <c r="E103" s="328">
        <v>0</v>
      </c>
    </row>
    <row r="104" spans="1:5" ht="27.75" customHeight="1" x14ac:dyDescent="0.2">
      <c r="A104" s="322" t="s">
        <v>712</v>
      </c>
      <c r="B104" s="27"/>
      <c r="C104" s="311" t="s">
        <v>803</v>
      </c>
      <c r="D104" s="329" t="s">
        <v>797</v>
      </c>
      <c r="E104" s="328">
        <v>0</v>
      </c>
    </row>
    <row r="105" spans="1:5" ht="27.75" customHeight="1" x14ac:dyDescent="0.2">
      <c r="A105" s="322" t="s">
        <v>719</v>
      </c>
      <c r="B105" s="27"/>
      <c r="C105" s="311" t="s">
        <v>803</v>
      </c>
      <c r="D105" s="329" t="s">
        <v>797</v>
      </c>
      <c r="E105" s="328">
        <v>0</v>
      </c>
    </row>
    <row r="106" spans="1:5" ht="27.75" customHeight="1" x14ac:dyDescent="0.2">
      <c r="A106" s="322" t="s">
        <v>598</v>
      </c>
      <c r="B106" s="27"/>
      <c r="C106" s="311">
        <v>0</v>
      </c>
      <c r="D106" s="329" t="s">
        <v>797</v>
      </c>
      <c r="E106" s="328">
        <v>0</v>
      </c>
    </row>
    <row r="107" spans="1:5" ht="27.75" customHeight="1" x14ac:dyDescent="0.2">
      <c r="A107" s="322" t="s">
        <v>599</v>
      </c>
      <c r="B107" s="27"/>
      <c r="C107" s="311">
        <v>0</v>
      </c>
      <c r="D107" s="329" t="s">
        <v>797</v>
      </c>
      <c r="E107" s="328">
        <v>0</v>
      </c>
    </row>
    <row r="108" spans="1:5" ht="27.75" customHeight="1" x14ac:dyDescent="0.2">
      <c r="A108" s="322" t="s">
        <v>600</v>
      </c>
      <c r="B108" s="27"/>
      <c r="C108" s="311">
        <v>0</v>
      </c>
      <c r="D108" s="329" t="s">
        <v>797</v>
      </c>
      <c r="E108" s="328">
        <v>0</v>
      </c>
    </row>
    <row r="109" spans="1:5" ht="27.75" customHeight="1" x14ac:dyDescent="0.2">
      <c r="A109" s="322" t="s">
        <v>601</v>
      </c>
      <c r="B109" s="27"/>
      <c r="C109" s="311">
        <v>0</v>
      </c>
      <c r="D109" s="329" t="s">
        <v>797</v>
      </c>
      <c r="E109" s="328">
        <v>0</v>
      </c>
    </row>
    <row r="110" spans="1:5" ht="27.75" customHeight="1" x14ac:dyDescent="0.2">
      <c r="A110" s="322" t="s">
        <v>602</v>
      </c>
      <c r="B110" s="27"/>
      <c r="C110" s="311">
        <v>0</v>
      </c>
      <c r="D110" s="329" t="s">
        <v>797</v>
      </c>
      <c r="E110" s="328">
        <v>0</v>
      </c>
    </row>
    <row r="111" spans="1:5" ht="27.75" customHeight="1" x14ac:dyDescent="0.2">
      <c r="A111" s="322" t="s">
        <v>603</v>
      </c>
      <c r="B111" s="27"/>
      <c r="C111" s="311">
        <v>0</v>
      </c>
      <c r="D111" s="329" t="s">
        <v>797</v>
      </c>
      <c r="E111" s="328">
        <v>0</v>
      </c>
    </row>
    <row r="112" spans="1:5" ht="27.75" customHeight="1" x14ac:dyDescent="0.2">
      <c r="A112" s="322" t="s">
        <v>604</v>
      </c>
      <c r="B112" s="27"/>
      <c r="C112" s="311">
        <v>0</v>
      </c>
      <c r="D112" s="329" t="s">
        <v>797</v>
      </c>
      <c r="E112" s="328">
        <v>0</v>
      </c>
    </row>
    <row r="113" spans="1:5" ht="27.75" customHeight="1" x14ac:dyDescent="0.2">
      <c r="A113" s="322" t="s">
        <v>605</v>
      </c>
      <c r="B113" s="27"/>
      <c r="C113" s="311">
        <v>0</v>
      </c>
      <c r="D113" s="329" t="s">
        <v>797</v>
      </c>
      <c r="E113" s="328">
        <v>0</v>
      </c>
    </row>
    <row r="114" spans="1:5" ht="27.75" customHeight="1" x14ac:dyDescent="0.2">
      <c r="A114" s="322" t="s">
        <v>606</v>
      </c>
      <c r="B114" s="27"/>
      <c r="C114" s="311">
        <v>0</v>
      </c>
      <c r="D114" s="329" t="s">
        <v>797</v>
      </c>
      <c r="E114" s="328">
        <v>0</v>
      </c>
    </row>
    <row r="115" spans="1:5" ht="27.75" customHeight="1" x14ac:dyDescent="0.2">
      <c r="A115" s="322" t="s">
        <v>607</v>
      </c>
      <c r="B115" s="27"/>
      <c r="C115" s="311">
        <v>0</v>
      </c>
      <c r="D115" s="329" t="s">
        <v>797</v>
      </c>
      <c r="E115" s="328">
        <v>0</v>
      </c>
    </row>
    <row r="116" spans="1:5" ht="27.75" customHeight="1" x14ac:dyDescent="0.2">
      <c r="A116" s="322" t="s">
        <v>608</v>
      </c>
      <c r="B116" s="27"/>
      <c r="C116" s="311">
        <v>0</v>
      </c>
      <c r="D116" s="329" t="s">
        <v>797</v>
      </c>
      <c r="E116" s="328">
        <v>0</v>
      </c>
    </row>
    <row r="117" spans="1:5" ht="27.75" customHeight="1" x14ac:dyDescent="0.2">
      <c r="A117" s="322" t="s">
        <v>609</v>
      </c>
      <c r="B117" s="27"/>
      <c r="C117" s="311">
        <v>0</v>
      </c>
      <c r="D117" s="329" t="s">
        <v>797</v>
      </c>
      <c r="E117" s="328">
        <v>0</v>
      </c>
    </row>
    <row r="118" spans="1:5" ht="27.75" customHeight="1" x14ac:dyDescent="0.2">
      <c r="A118" s="322" t="s">
        <v>610</v>
      </c>
      <c r="B118" s="27"/>
      <c r="C118" s="311">
        <v>0</v>
      </c>
      <c r="D118" s="329" t="s">
        <v>797</v>
      </c>
      <c r="E118" s="328">
        <v>0</v>
      </c>
    </row>
    <row r="119" spans="1:5" ht="27.75" customHeight="1" x14ac:dyDescent="0.2">
      <c r="A119" s="322" t="s">
        <v>611</v>
      </c>
      <c r="B119" s="27"/>
      <c r="C119" s="311">
        <v>0</v>
      </c>
      <c r="D119" s="329" t="s">
        <v>797</v>
      </c>
      <c r="E119" s="328">
        <v>0</v>
      </c>
    </row>
    <row r="120" spans="1:5" ht="27.75" customHeight="1" x14ac:dyDescent="0.2">
      <c r="A120" s="322" t="s">
        <v>612</v>
      </c>
      <c r="B120" s="27"/>
      <c r="C120" s="311">
        <v>0</v>
      </c>
      <c r="D120" s="329" t="s">
        <v>797</v>
      </c>
      <c r="E120" s="328">
        <v>0</v>
      </c>
    </row>
    <row r="121" spans="1:5" ht="27.75" customHeight="1" x14ac:dyDescent="0.2">
      <c r="A121" s="322" t="s">
        <v>685</v>
      </c>
      <c r="B121" s="27"/>
      <c r="C121" s="311" t="s">
        <v>802</v>
      </c>
      <c r="D121" s="328">
        <v>0</v>
      </c>
      <c r="E121" s="328">
        <v>0</v>
      </c>
    </row>
    <row r="122" spans="1:5" ht="27.75" customHeight="1" x14ac:dyDescent="0.2">
      <c r="A122" s="322" t="s">
        <v>692</v>
      </c>
      <c r="B122" s="27"/>
      <c r="C122" s="311" t="s">
        <v>803</v>
      </c>
      <c r="D122" s="329" t="s">
        <v>797</v>
      </c>
      <c r="E122" s="328">
        <v>0</v>
      </c>
    </row>
    <row r="123" spans="1:5" ht="27.75" customHeight="1" x14ac:dyDescent="0.2">
      <c r="A123" s="322" t="s">
        <v>699</v>
      </c>
      <c r="B123" s="27"/>
      <c r="C123" s="311" t="s">
        <v>803</v>
      </c>
      <c r="D123" s="329" t="s">
        <v>797</v>
      </c>
      <c r="E123" s="328">
        <v>0</v>
      </c>
    </row>
    <row r="124" spans="1:5" ht="27.75" customHeight="1" x14ac:dyDescent="0.2">
      <c r="A124" s="322" t="s">
        <v>706</v>
      </c>
      <c r="B124" s="27"/>
      <c r="C124" s="311" t="s">
        <v>803</v>
      </c>
      <c r="D124" s="329" t="s">
        <v>797</v>
      </c>
      <c r="E124" s="328">
        <v>0</v>
      </c>
    </row>
    <row r="125" spans="1:5" ht="27.75" customHeight="1" x14ac:dyDescent="0.2">
      <c r="A125" s="322" t="s">
        <v>713</v>
      </c>
      <c r="B125" s="27"/>
      <c r="C125" s="311" t="s">
        <v>803</v>
      </c>
      <c r="D125" s="329" t="s">
        <v>797</v>
      </c>
      <c r="E125" s="328">
        <v>0</v>
      </c>
    </row>
    <row r="126" spans="1:5" ht="27.75" customHeight="1" x14ac:dyDescent="0.2">
      <c r="A126" s="322" t="s">
        <v>720</v>
      </c>
      <c r="B126" s="27"/>
      <c r="C126" s="311" t="s">
        <v>803</v>
      </c>
      <c r="D126" s="329" t="s">
        <v>797</v>
      </c>
      <c r="E126" s="328">
        <v>0</v>
      </c>
    </row>
    <row r="127" spans="1:5" ht="27.75" customHeight="1" x14ac:dyDescent="0.2">
      <c r="A127" s="322" t="s">
        <v>614</v>
      </c>
      <c r="B127" s="27"/>
      <c r="C127" s="311">
        <v>0</v>
      </c>
      <c r="D127" s="329" t="s">
        <v>797</v>
      </c>
      <c r="E127" s="328">
        <v>0</v>
      </c>
    </row>
    <row r="128" spans="1:5" ht="27.75" customHeight="1" x14ac:dyDescent="0.2">
      <c r="A128" s="322" t="s">
        <v>615</v>
      </c>
      <c r="B128" s="27"/>
      <c r="C128" s="311">
        <v>0</v>
      </c>
      <c r="D128" s="329" t="s">
        <v>797</v>
      </c>
      <c r="E128" s="328">
        <v>0</v>
      </c>
    </row>
    <row r="129" spans="1:5" ht="27.75" customHeight="1" x14ac:dyDescent="0.2">
      <c r="A129" s="322" t="s">
        <v>616</v>
      </c>
      <c r="B129" s="27"/>
      <c r="C129" s="311">
        <v>0</v>
      </c>
      <c r="D129" s="329" t="s">
        <v>797</v>
      </c>
      <c r="E129" s="328">
        <v>0</v>
      </c>
    </row>
    <row r="130" spans="1:5" ht="27.75" customHeight="1" x14ac:dyDescent="0.2">
      <c r="A130" s="322" t="s">
        <v>617</v>
      </c>
      <c r="B130" s="27"/>
      <c r="C130" s="311">
        <v>0</v>
      </c>
      <c r="D130" s="329" t="s">
        <v>797</v>
      </c>
      <c r="E130" s="328">
        <v>0</v>
      </c>
    </row>
    <row r="131" spans="1:5" ht="27.75" customHeight="1" x14ac:dyDescent="0.2">
      <c r="A131" s="322" t="s">
        <v>618</v>
      </c>
      <c r="B131" s="27"/>
      <c r="C131" s="311">
        <v>0</v>
      </c>
      <c r="D131" s="329" t="s">
        <v>797</v>
      </c>
      <c r="E131" s="328">
        <v>0</v>
      </c>
    </row>
    <row r="132" spans="1:5" ht="27.75" customHeight="1" x14ac:dyDescent="0.2">
      <c r="A132" s="322" t="s">
        <v>619</v>
      </c>
      <c r="B132" s="27"/>
      <c r="C132" s="311">
        <v>0</v>
      </c>
      <c r="D132" s="329" t="s">
        <v>797</v>
      </c>
      <c r="E132" s="328">
        <v>0</v>
      </c>
    </row>
    <row r="133" spans="1:5" ht="27.75" customHeight="1" x14ac:dyDescent="0.2">
      <c r="A133" s="322" t="s">
        <v>620</v>
      </c>
      <c r="B133" s="27"/>
      <c r="C133" s="311">
        <v>0</v>
      </c>
      <c r="D133" s="329" t="s">
        <v>797</v>
      </c>
      <c r="E133" s="328">
        <v>0</v>
      </c>
    </row>
    <row r="134" spans="1:5" ht="27.75" customHeight="1" x14ac:dyDescent="0.2">
      <c r="A134" s="322" t="s">
        <v>621</v>
      </c>
      <c r="B134" s="27"/>
      <c r="C134" s="311">
        <v>0</v>
      </c>
      <c r="D134" s="329" t="s">
        <v>797</v>
      </c>
      <c r="E134" s="328">
        <v>0</v>
      </c>
    </row>
    <row r="135" spans="1:5" ht="27.75" customHeight="1" x14ac:dyDescent="0.2">
      <c r="A135" s="322" t="s">
        <v>622</v>
      </c>
      <c r="B135" s="27"/>
      <c r="C135" s="311">
        <v>0</v>
      </c>
      <c r="D135" s="329" t="s">
        <v>797</v>
      </c>
      <c r="E135" s="328">
        <v>0</v>
      </c>
    </row>
    <row r="136" spans="1:5" ht="27.75" customHeight="1" x14ac:dyDescent="0.2">
      <c r="A136" s="322" t="s">
        <v>623</v>
      </c>
      <c r="B136" s="27"/>
      <c r="C136" s="311">
        <v>0</v>
      </c>
      <c r="D136" s="329" t="s">
        <v>797</v>
      </c>
      <c r="E136" s="328">
        <v>0</v>
      </c>
    </row>
    <row r="137" spans="1:5" ht="27.75" customHeight="1" x14ac:dyDescent="0.2">
      <c r="A137" s="322" t="s">
        <v>624</v>
      </c>
      <c r="B137" s="27"/>
      <c r="C137" s="311">
        <v>0</v>
      </c>
      <c r="D137" s="329" t="s">
        <v>797</v>
      </c>
      <c r="E137" s="328">
        <v>0</v>
      </c>
    </row>
    <row r="138" spans="1:5" ht="27.75" customHeight="1" x14ac:dyDescent="0.2">
      <c r="A138" s="322" t="s">
        <v>625</v>
      </c>
      <c r="B138" s="27"/>
      <c r="C138" s="311">
        <v>0</v>
      </c>
      <c r="D138" s="329" t="s">
        <v>797</v>
      </c>
      <c r="E138" s="328">
        <v>0</v>
      </c>
    </row>
    <row r="139" spans="1:5" ht="27.75" customHeight="1" x14ac:dyDescent="0.2">
      <c r="A139" s="322" t="s">
        <v>626</v>
      </c>
      <c r="B139" s="27"/>
      <c r="C139" s="311">
        <v>0</v>
      </c>
      <c r="D139" s="329" t="s">
        <v>797</v>
      </c>
      <c r="E139" s="328">
        <v>0</v>
      </c>
    </row>
    <row r="140" spans="1:5" ht="27.75" customHeight="1" x14ac:dyDescent="0.2">
      <c r="A140" s="322" t="s">
        <v>627</v>
      </c>
      <c r="B140" s="27"/>
      <c r="C140" s="311">
        <v>0</v>
      </c>
      <c r="D140" s="329" t="s">
        <v>797</v>
      </c>
      <c r="E140" s="328">
        <v>0</v>
      </c>
    </row>
    <row r="141" spans="1:5" ht="27.75" customHeight="1" x14ac:dyDescent="0.2">
      <c r="A141" s="322" t="s">
        <v>628</v>
      </c>
      <c r="B141" s="27"/>
      <c r="C141" s="311">
        <v>0</v>
      </c>
      <c r="D141" s="329" t="s">
        <v>797</v>
      </c>
      <c r="E141" s="328">
        <v>0</v>
      </c>
    </row>
    <row r="142" spans="1:5" ht="27.75" customHeight="1" x14ac:dyDescent="0.2">
      <c r="A142" s="322" t="s">
        <v>686</v>
      </c>
      <c r="B142" s="27"/>
      <c r="C142" s="311" t="s">
        <v>802</v>
      </c>
      <c r="D142" s="328">
        <v>0</v>
      </c>
      <c r="E142" s="328">
        <v>0</v>
      </c>
    </row>
    <row r="143" spans="1:5" ht="27.75" customHeight="1" x14ac:dyDescent="0.2">
      <c r="A143" s="322" t="s">
        <v>693</v>
      </c>
      <c r="B143" s="27"/>
      <c r="C143" s="311" t="s">
        <v>803</v>
      </c>
      <c r="D143" s="329" t="s">
        <v>797</v>
      </c>
      <c r="E143" s="328">
        <v>0</v>
      </c>
    </row>
    <row r="144" spans="1:5" ht="27.75" customHeight="1" x14ac:dyDescent="0.2">
      <c r="A144" s="322" t="s">
        <v>700</v>
      </c>
      <c r="B144" s="27"/>
      <c r="C144" s="311" t="s">
        <v>803</v>
      </c>
      <c r="D144" s="329" t="s">
        <v>797</v>
      </c>
      <c r="E144" s="328">
        <v>0</v>
      </c>
    </row>
    <row r="145" spans="1:5" ht="27.75" customHeight="1" x14ac:dyDescent="0.2">
      <c r="A145" s="322" t="s">
        <v>707</v>
      </c>
      <c r="B145" s="27"/>
      <c r="C145" s="311" t="s">
        <v>803</v>
      </c>
      <c r="D145" s="329" t="s">
        <v>797</v>
      </c>
      <c r="E145" s="328">
        <v>0</v>
      </c>
    </row>
    <row r="146" spans="1:5" ht="27.75" customHeight="1" x14ac:dyDescent="0.2">
      <c r="A146" s="322" t="s">
        <v>714</v>
      </c>
      <c r="B146" s="27"/>
      <c r="C146" s="311" t="s">
        <v>803</v>
      </c>
      <c r="D146" s="329" t="s">
        <v>797</v>
      </c>
      <c r="E146" s="328">
        <v>0</v>
      </c>
    </row>
    <row r="147" spans="1:5" ht="27.75" customHeight="1" x14ac:dyDescent="0.2">
      <c r="A147" s="322" t="s">
        <v>721</v>
      </c>
      <c r="B147" s="27"/>
      <c r="C147" s="311" t="s">
        <v>803</v>
      </c>
      <c r="D147" s="329" t="s">
        <v>797</v>
      </c>
      <c r="E147" s="328">
        <v>0</v>
      </c>
    </row>
    <row r="148" spans="1:5" ht="27.75" customHeight="1" x14ac:dyDescent="0.2">
      <c r="A148" s="322" t="s">
        <v>630</v>
      </c>
      <c r="B148" s="27"/>
      <c r="C148" s="311">
        <v>0</v>
      </c>
      <c r="D148" s="329" t="s">
        <v>797</v>
      </c>
      <c r="E148" s="328">
        <v>0</v>
      </c>
    </row>
    <row r="149" spans="1:5" ht="27.75" customHeight="1" x14ac:dyDescent="0.2">
      <c r="A149" s="322" t="s">
        <v>631</v>
      </c>
      <c r="B149" s="27"/>
      <c r="C149" s="311">
        <v>0</v>
      </c>
      <c r="D149" s="329" t="s">
        <v>797</v>
      </c>
      <c r="E149" s="328">
        <v>0</v>
      </c>
    </row>
    <row r="150" spans="1:5" ht="27.75" customHeight="1" x14ac:dyDescent="0.2">
      <c r="A150" s="322" t="s">
        <v>632</v>
      </c>
      <c r="B150" s="27"/>
      <c r="C150" s="311">
        <v>0</v>
      </c>
      <c r="D150" s="329" t="s">
        <v>797</v>
      </c>
      <c r="E150" s="328">
        <v>0</v>
      </c>
    </row>
    <row r="151" spans="1:5" ht="27.75" customHeight="1" x14ac:dyDescent="0.2">
      <c r="A151" s="322" t="s">
        <v>633</v>
      </c>
      <c r="B151" s="27"/>
      <c r="C151" s="311">
        <v>0</v>
      </c>
      <c r="D151" s="329" t="s">
        <v>797</v>
      </c>
      <c r="E151" s="328">
        <v>0</v>
      </c>
    </row>
    <row r="152" spans="1:5" ht="27.75" customHeight="1" x14ac:dyDescent="0.2">
      <c r="A152" s="322" t="s">
        <v>634</v>
      </c>
      <c r="B152" s="27"/>
      <c r="C152" s="311">
        <v>0</v>
      </c>
      <c r="D152" s="329" t="s">
        <v>797</v>
      </c>
      <c r="E152" s="328">
        <v>0</v>
      </c>
    </row>
    <row r="153" spans="1:5" ht="27.75" customHeight="1" x14ac:dyDescent="0.2">
      <c r="A153" s="322" t="s">
        <v>635</v>
      </c>
      <c r="B153" s="27"/>
      <c r="C153" s="311">
        <v>0</v>
      </c>
      <c r="D153" s="329" t="s">
        <v>797</v>
      </c>
      <c r="E153" s="328">
        <v>0</v>
      </c>
    </row>
    <row r="154" spans="1:5" ht="27.75" customHeight="1" x14ac:dyDescent="0.2">
      <c r="A154" s="322" t="s">
        <v>636</v>
      </c>
      <c r="B154" s="27"/>
      <c r="C154" s="311">
        <v>0</v>
      </c>
      <c r="D154" s="329" t="s">
        <v>797</v>
      </c>
      <c r="E154" s="328">
        <v>0</v>
      </c>
    </row>
    <row r="155" spans="1:5" ht="27.75" customHeight="1" x14ac:dyDescent="0.2">
      <c r="A155" s="322" t="s">
        <v>637</v>
      </c>
      <c r="B155" s="27"/>
      <c r="C155" s="311">
        <v>0</v>
      </c>
      <c r="D155" s="329" t="s">
        <v>797</v>
      </c>
      <c r="E155" s="328">
        <v>0</v>
      </c>
    </row>
    <row r="156" spans="1:5" ht="27.75" customHeight="1" x14ac:dyDescent="0.2">
      <c r="A156" s="322" t="s">
        <v>638</v>
      </c>
      <c r="B156" s="27"/>
      <c r="C156" s="311">
        <v>0</v>
      </c>
      <c r="D156" s="329" t="s">
        <v>797</v>
      </c>
      <c r="E156" s="328">
        <v>0</v>
      </c>
    </row>
    <row r="157" spans="1:5" ht="27.75" customHeight="1" x14ac:dyDescent="0.2">
      <c r="A157" s="322" t="s">
        <v>639</v>
      </c>
      <c r="B157" s="27"/>
      <c r="C157" s="311">
        <v>0</v>
      </c>
      <c r="D157" s="329" t="s">
        <v>797</v>
      </c>
      <c r="E157" s="328">
        <v>0</v>
      </c>
    </row>
    <row r="158" spans="1:5" ht="27.75" customHeight="1" x14ac:dyDescent="0.2">
      <c r="A158" s="322" t="s">
        <v>640</v>
      </c>
      <c r="B158" s="27"/>
      <c r="C158" s="311">
        <v>0</v>
      </c>
      <c r="D158" s="329" t="s">
        <v>797</v>
      </c>
      <c r="E158" s="328">
        <v>0</v>
      </c>
    </row>
    <row r="159" spans="1:5" ht="27.75" customHeight="1" x14ac:dyDescent="0.2">
      <c r="A159" s="322" t="s">
        <v>641</v>
      </c>
      <c r="B159" s="27"/>
      <c r="C159" s="311">
        <v>0</v>
      </c>
      <c r="D159" s="329" t="s">
        <v>797</v>
      </c>
      <c r="E159" s="328">
        <v>0</v>
      </c>
    </row>
    <row r="160" spans="1:5" ht="27.75" customHeight="1" x14ac:dyDescent="0.2">
      <c r="A160" s="322" t="s">
        <v>642</v>
      </c>
      <c r="B160" s="27"/>
      <c r="C160" s="311">
        <v>0</v>
      </c>
      <c r="D160" s="329" t="s">
        <v>797</v>
      </c>
      <c r="E160" s="328">
        <v>0</v>
      </c>
    </row>
    <row r="161" spans="1:5" ht="27.75" customHeight="1" x14ac:dyDescent="0.2">
      <c r="A161" s="322" t="s">
        <v>643</v>
      </c>
      <c r="B161" s="27"/>
      <c r="C161" s="311">
        <v>0</v>
      </c>
      <c r="D161" s="329" t="s">
        <v>797</v>
      </c>
      <c r="E161" s="328">
        <v>0</v>
      </c>
    </row>
    <row r="162" spans="1:5" ht="27.75" customHeight="1" x14ac:dyDescent="0.2">
      <c r="A162" s="322" t="s">
        <v>644</v>
      </c>
      <c r="B162" s="27" t="s">
        <v>797</v>
      </c>
      <c r="C162" s="343">
        <v>0</v>
      </c>
      <c r="D162" s="329" t="s">
        <v>797</v>
      </c>
      <c r="E162" s="328">
        <v>0</v>
      </c>
    </row>
    <row r="163" spans="1:5" ht="27.75" customHeight="1" x14ac:dyDescent="0.2">
      <c r="A163" s="1" t="s">
        <v>722</v>
      </c>
      <c r="B163" s="1"/>
      <c r="C163" s="2"/>
    </row>
    <row r="164" spans="1:5" x14ac:dyDescent="0.2">
      <c r="A164" s="1" t="s">
        <v>723</v>
      </c>
      <c r="B164" s="1"/>
      <c r="C164" s="2"/>
    </row>
  </sheetData>
  <mergeCells count="2">
    <mergeCell ref="B1:C1"/>
    <mergeCell ref="A2:E2"/>
  </mergeCells>
  <hyperlinks>
    <hyperlink ref="A1" location="Overview!A1" display="Back to Overview" xr:uid="{F17AABEB-30C4-41F8-B060-4FA832562A56}"/>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2942-A5F0-4311-A164-5A3C7B274EC2}">
  <dimension ref="A1:F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x14ac:dyDescent="0.2">
      <c r="A1" s="31" t="s">
        <v>19</v>
      </c>
      <c r="B1" s="529"/>
      <c r="C1" s="529"/>
      <c r="D1" s="327"/>
      <c r="E1" s="327"/>
    </row>
    <row r="2" spans="1:6" ht="35.1" customHeight="1" x14ac:dyDescent="0.2">
      <c r="A2" s="525" t="str">
        <f>Overview!B4&amp; " - Effective from "&amp;TEXT(Overview!D4,"d mmmm yyyy")&amp;" - "&amp;Overview!E4&amp;" Supplier of Last Resort and Eligible Bad Debt Pass-Through Costs"&amp;" in WPD South West Area (GSP Group_L)"</f>
        <v>Leep Electricity Networks Limited - Effective from 1 April 2027 - Final Supplier of Last Resort and Eligible Bad Debt Pass-Through Costs in WPD South West Area (GSP Group_L)</v>
      </c>
      <c r="B2" s="528"/>
      <c r="C2" s="528"/>
      <c r="D2" s="528"/>
      <c r="E2" s="528"/>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802</v>
      </c>
      <c r="D5" s="328">
        <v>0</v>
      </c>
      <c r="E5" s="337">
        <v>0</v>
      </c>
    </row>
    <row r="6" spans="1:6" ht="30" customHeight="1" x14ac:dyDescent="0.2">
      <c r="A6" s="10" t="s">
        <v>675</v>
      </c>
      <c r="B6" s="335"/>
      <c r="C6" s="336" t="s">
        <v>803</v>
      </c>
      <c r="D6" s="329">
        <v>0</v>
      </c>
      <c r="E6" s="338">
        <v>0</v>
      </c>
    </row>
    <row r="7" spans="1:6" ht="30" customHeight="1" x14ac:dyDescent="0.2">
      <c r="A7" s="10" t="s">
        <v>676</v>
      </c>
      <c r="B7" s="335"/>
      <c r="C7" s="336" t="s">
        <v>803</v>
      </c>
      <c r="D7" s="329" t="s">
        <v>797</v>
      </c>
      <c r="E7" s="338">
        <v>0</v>
      </c>
    </row>
    <row r="8" spans="1:6" ht="30" customHeight="1" x14ac:dyDescent="0.2">
      <c r="A8" s="10" t="s">
        <v>677</v>
      </c>
      <c r="B8" s="335"/>
      <c r="C8" s="336" t="s">
        <v>803</v>
      </c>
      <c r="D8" s="329" t="s">
        <v>797</v>
      </c>
      <c r="E8" s="338">
        <v>0</v>
      </c>
    </row>
    <row r="9" spans="1:6" ht="30" customHeight="1" x14ac:dyDescent="0.2">
      <c r="A9" s="10" t="s">
        <v>678</v>
      </c>
      <c r="B9" s="335"/>
      <c r="C9" s="336" t="s">
        <v>803</v>
      </c>
      <c r="D9" s="329" t="s">
        <v>797</v>
      </c>
      <c r="E9" s="338">
        <v>0</v>
      </c>
    </row>
    <row r="10" spans="1:6" ht="30" customHeight="1" x14ac:dyDescent="0.2">
      <c r="A10" s="10" t="s">
        <v>679</v>
      </c>
      <c r="B10" s="335"/>
      <c r="C10" s="336" t="s">
        <v>803</v>
      </c>
      <c r="D10" s="329" t="s">
        <v>797</v>
      </c>
      <c r="E10" s="338">
        <v>0</v>
      </c>
    </row>
    <row r="11" spans="1:6" ht="30" customHeight="1" x14ac:dyDescent="0.2">
      <c r="A11" s="10" t="s">
        <v>496</v>
      </c>
      <c r="B11" s="335"/>
      <c r="C11" s="336">
        <v>0</v>
      </c>
      <c r="D11" s="329" t="s">
        <v>797</v>
      </c>
      <c r="E11" s="338">
        <v>0</v>
      </c>
    </row>
    <row r="12" spans="1:6" ht="30" customHeight="1" x14ac:dyDescent="0.2">
      <c r="A12" s="10" t="s">
        <v>497</v>
      </c>
      <c r="B12" s="335"/>
      <c r="C12" s="336">
        <v>0</v>
      </c>
      <c r="D12" s="329" t="s">
        <v>797</v>
      </c>
      <c r="E12" s="338">
        <v>0</v>
      </c>
    </row>
    <row r="13" spans="1:6" ht="30" customHeight="1" x14ac:dyDescent="0.2">
      <c r="A13" s="322" t="s">
        <v>498</v>
      </c>
      <c r="B13" s="335"/>
      <c r="C13" s="336">
        <v>0</v>
      </c>
      <c r="D13" s="329" t="s">
        <v>797</v>
      </c>
      <c r="E13" s="338">
        <v>0</v>
      </c>
    </row>
    <row r="14" spans="1:6" ht="30" customHeight="1" x14ac:dyDescent="0.2">
      <c r="A14" s="322" t="s">
        <v>499</v>
      </c>
      <c r="B14" s="335"/>
      <c r="C14" s="336">
        <v>0</v>
      </c>
      <c r="D14" s="329" t="s">
        <v>797</v>
      </c>
      <c r="E14" s="338">
        <v>0</v>
      </c>
    </row>
    <row r="15" spans="1:6" ht="30" customHeight="1" x14ac:dyDescent="0.2">
      <c r="A15" s="322" t="s">
        <v>500</v>
      </c>
      <c r="B15" s="335"/>
      <c r="C15" s="336">
        <v>0</v>
      </c>
      <c r="D15" s="329" t="s">
        <v>797</v>
      </c>
      <c r="E15" s="338">
        <v>0</v>
      </c>
    </row>
    <row r="16" spans="1:6" ht="30" customHeight="1" x14ac:dyDescent="0.2">
      <c r="A16" s="322" t="s">
        <v>501</v>
      </c>
      <c r="B16" s="335"/>
      <c r="C16" s="336">
        <v>0</v>
      </c>
      <c r="D16" s="329" t="s">
        <v>797</v>
      </c>
      <c r="E16" s="338">
        <v>0</v>
      </c>
    </row>
    <row r="17" spans="1:5" ht="30" customHeight="1" x14ac:dyDescent="0.2">
      <c r="A17" s="323" t="s">
        <v>502</v>
      </c>
      <c r="B17" s="335"/>
      <c r="C17" s="336">
        <v>0</v>
      </c>
      <c r="D17" s="329" t="s">
        <v>797</v>
      </c>
      <c r="E17" s="338">
        <v>0</v>
      </c>
    </row>
    <row r="18" spans="1:5" ht="30" customHeight="1" x14ac:dyDescent="0.2">
      <c r="A18" s="323" t="s">
        <v>503</v>
      </c>
      <c r="B18" s="335"/>
      <c r="C18" s="336">
        <v>0</v>
      </c>
      <c r="D18" s="329" t="s">
        <v>797</v>
      </c>
      <c r="E18" s="338">
        <v>0</v>
      </c>
    </row>
    <row r="19" spans="1:5" ht="30" customHeight="1" x14ac:dyDescent="0.2">
      <c r="A19" s="323" t="s">
        <v>504</v>
      </c>
      <c r="B19" s="335"/>
      <c r="C19" s="336">
        <v>0</v>
      </c>
      <c r="D19" s="329" t="s">
        <v>797</v>
      </c>
      <c r="E19" s="338">
        <v>0</v>
      </c>
    </row>
    <row r="20" spans="1:5" ht="30" customHeight="1" x14ac:dyDescent="0.2">
      <c r="A20" s="323" t="s">
        <v>505</v>
      </c>
      <c r="B20" s="335"/>
      <c r="C20" s="336">
        <v>0</v>
      </c>
      <c r="D20" s="329" t="s">
        <v>797</v>
      </c>
      <c r="E20" s="338">
        <v>0</v>
      </c>
    </row>
    <row r="21" spans="1:5" ht="30" customHeight="1" x14ac:dyDescent="0.2">
      <c r="A21" s="323" t="s">
        <v>506</v>
      </c>
      <c r="B21" s="335"/>
      <c r="C21" s="336">
        <v>0</v>
      </c>
      <c r="D21" s="329" t="s">
        <v>797</v>
      </c>
      <c r="E21" s="338">
        <v>0</v>
      </c>
    </row>
    <row r="22" spans="1:5" ht="30" customHeight="1" x14ac:dyDescent="0.2">
      <c r="A22" s="323" t="s">
        <v>507</v>
      </c>
      <c r="B22" s="335"/>
      <c r="C22" s="336">
        <v>0</v>
      </c>
      <c r="D22" s="329" t="s">
        <v>797</v>
      </c>
      <c r="E22" s="338">
        <v>0</v>
      </c>
    </row>
    <row r="23" spans="1:5" ht="30" customHeight="1" x14ac:dyDescent="0.2">
      <c r="A23" s="323" t="s">
        <v>508</v>
      </c>
      <c r="B23" s="335"/>
      <c r="C23" s="336">
        <v>0</v>
      </c>
      <c r="D23" s="329" t="s">
        <v>797</v>
      </c>
      <c r="E23" s="338">
        <v>0</v>
      </c>
    </row>
    <row r="24" spans="1:5" ht="30" customHeight="1" x14ac:dyDescent="0.2">
      <c r="A24" s="323" t="s">
        <v>509</v>
      </c>
      <c r="B24" s="335"/>
      <c r="C24" s="336">
        <v>0</v>
      </c>
      <c r="D24" s="329" t="s">
        <v>797</v>
      </c>
      <c r="E24" s="338">
        <v>0</v>
      </c>
    </row>
    <row r="25" spans="1:5" ht="30" customHeight="1" x14ac:dyDescent="0.2">
      <c r="A25" s="322" t="s">
        <v>510</v>
      </c>
      <c r="B25" s="335"/>
      <c r="C25" s="336">
        <v>0</v>
      </c>
      <c r="D25" s="329" t="s">
        <v>797</v>
      </c>
      <c r="E25" s="338">
        <v>0</v>
      </c>
    </row>
    <row r="26" spans="1:5" ht="30" customHeight="1" x14ac:dyDescent="0.2">
      <c r="A26" s="322" t="s">
        <v>680</v>
      </c>
      <c r="B26" s="335" t="s">
        <v>1784</v>
      </c>
      <c r="C26" s="336" t="s">
        <v>802</v>
      </c>
      <c r="D26" s="328">
        <v>0</v>
      </c>
      <c r="E26" s="338">
        <v>0</v>
      </c>
    </row>
    <row r="27" spans="1:5" ht="30" customHeight="1" x14ac:dyDescent="0.2">
      <c r="A27" s="322" t="s">
        <v>687</v>
      </c>
      <c r="B27" s="335" t="s">
        <v>1785</v>
      </c>
      <c r="C27" s="336" t="s">
        <v>803</v>
      </c>
      <c r="D27" s="329" t="s">
        <v>797</v>
      </c>
      <c r="E27" s="338">
        <v>0</v>
      </c>
    </row>
    <row r="28" spans="1:5" ht="30" customHeight="1" x14ac:dyDescent="0.2">
      <c r="A28" s="322" t="s">
        <v>694</v>
      </c>
      <c r="B28" s="335" t="s">
        <v>1786</v>
      </c>
      <c r="C28" s="336" t="s">
        <v>803</v>
      </c>
      <c r="D28" s="329" t="s">
        <v>797</v>
      </c>
      <c r="E28" s="338">
        <v>0</v>
      </c>
    </row>
    <row r="29" spans="1:5" ht="30" customHeight="1" x14ac:dyDescent="0.2">
      <c r="A29" s="322" t="s">
        <v>701</v>
      </c>
      <c r="B29" s="335" t="s">
        <v>1787</v>
      </c>
      <c r="C29" s="336" t="s">
        <v>803</v>
      </c>
      <c r="D29" s="329" t="s">
        <v>797</v>
      </c>
      <c r="E29" s="338">
        <v>0</v>
      </c>
    </row>
    <row r="30" spans="1:5" ht="30" customHeight="1" x14ac:dyDescent="0.2">
      <c r="A30" s="322" t="s">
        <v>708</v>
      </c>
      <c r="B30" s="335" t="s">
        <v>1788</v>
      </c>
      <c r="C30" s="336" t="s">
        <v>803</v>
      </c>
      <c r="D30" s="329" t="s">
        <v>797</v>
      </c>
      <c r="E30" s="338">
        <v>0</v>
      </c>
    </row>
    <row r="31" spans="1:5" ht="30" customHeight="1" x14ac:dyDescent="0.2">
      <c r="A31" s="322" t="s">
        <v>715</v>
      </c>
      <c r="B31" s="335" t="s">
        <v>1789</v>
      </c>
      <c r="C31" s="336" t="s">
        <v>803</v>
      </c>
      <c r="D31" s="329" t="s">
        <v>797</v>
      </c>
      <c r="E31" s="338">
        <v>0</v>
      </c>
    </row>
    <row r="32" spans="1:5" ht="30" customHeight="1" x14ac:dyDescent="0.2">
      <c r="A32" s="322" t="s">
        <v>544</v>
      </c>
      <c r="B32" s="335" t="s">
        <v>797</v>
      </c>
      <c r="C32" s="336">
        <v>0</v>
      </c>
      <c r="D32" s="329" t="s">
        <v>797</v>
      </c>
      <c r="E32" s="338">
        <v>0</v>
      </c>
    </row>
    <row r="33" spans="1:5" ht="30" customHeight="1" x14ac:dyDescent="0.2">
      <c r="A33" s="322" t="s">
        <v>545</v>
      </c>
      <c r="B33" s="335" t="s">
        <v>1790</v>
      </c>
      <c r="C33" s="336">
        <v>0</v>
      </c>
      <c r="D33" s="329" t="s">
        <v>797</v>
      </c>
      <c r="E33" s="338">
        <v>0</v>
      </c>
    </row>
    <row r="34" spans="1:5" ht="30" customHeight="1" x14ac:dyDescent="0.2">
      <c r="A34" s="322" t="s">
        <v>546</v>
      </c>
      <c r="B34" s="335" t="s">
        <v>1791</v>
      </c>
      <c r="C34" s="336">
        <v>0</v>
      </c>
      <c r="D34" s="329" t="s">
        <v>797</v>
      </c>
      <c r="E34" s="338">
        <v>0</v>
      </c>
    </row>
    <row r="35" spans="1:5" ht="30" customHeight="1" x14ac:dyDescent="0.2">
      <c r="A35" s="322" t="s">
        <v>547</v>
      </c>
      <c r="B35" s="335" t="s">
        <v>1792</v>
      </c>
      <c r="C35" s="336">
        <v>0</v>
      </c>
      <c r="D35" s="329" t="s">
        <v>797</v>
      </c>
      <c r="E35" s="338">
        <v>0</v>
      </c>
    </row>
    <row r="36" spans="1:5" ht="30" customHeight="1" x14ac:dyDescent="0.2">
      <c r="A36" s="322" t="s">
        <v>548</v>
      </c>
      <c r="B36" s="335" t="s">
        <v>1793</v>
      </c>
      <c r="C36" s="336">
        <v>0</v>
      </c>
      <c r="D36" s="329" t="s">
        <v>797</v>
      </c>
      <c r="E36" s="338">
        <v>0</v>
      </c>
    </row>
    <row r="37" spans="1:5" ht="30" customHeight="1" x14ac:dyDescent="0.2">
      <c r="A37" s="322" t="s">
        <v>681</v>
      </c>
      <c r="B37" s="335" t="s">
        <v>797</v>
      </c>
      <c r="C37" s="336" t="s">
        <v>802</v>
      </c>
      <c r="D37" s="328">
        <v>0</v>
      </c>
      <c r="E37" s="338">
        <v>0</v>
      </c>
    </row>
    <row r="38" spans="1:5" ht="30" customHeight="1" x14ac:dyDescent="0.2">
      <c r="A38" s="322" t="s">
        <v>688</v>
      </c>
      <c r="B38" s="335" t="s">
        <v>1794</v>
      </c>
      <c r="C38" s="336" t="s">
        <v>803</v>
      </c>
      <c r="D38" s="329">
        <v>0</v>
      </c>
      <c r="E38" s="338">
        <v>0</v>
      </c>
    </row>
    <row r="39" spans="1:5" ht="30" customHeight="1" x14ac:dyDescent="0.2">
      <c r="A39" s="322" t="s">
        <v>695</v>
      </c>
      <c r="B39" s="335" t="s">
        <v>1795</v>
      </c>
      <c r="C39" s="336" t="s">
        <v>803</v>
      </c>
      <c r="D39" s="329" t="s">
        <v>797</v>
      </c>
      <c r="E39" s="338">
        <v>0</v>
      </c>
    </row>
    <row r="40" spans="1:5" ht="30" customHeight="1" x14ac:dyDescent="0.2">
      <c r="A40" s="322" t="s">
        <v>702</v>
      </c>
      <c r="B40" s="335" t="s">
        <v>1796</v>
      </c>
      <c r="C40" s="336" t="s">
        <v>803</v>
      </c>
      <c r="D40" s="329" t="s">
        <v>797</v>
      </c>
      <c r="E40" s="338">
        <v>0</v>
      </c>
    </row>
    <row r="41" spans="1:5" ht="30" customHeight="1" x14ac:dyDescent="0.2">
      <c r="A41" s="322" t="s">
        <v>709</v>
      </c>
      <c r="B41" s="335" t="s">
        <v>1797</v>
      </c>
      <c r="C41" s="336" t="s">
        <v>803</v>
      </c>
      <c r="D41" s="329" t="s">
        <v>797</v>
      </c>
      <c r="E41" s="338">
        <v>0</v>
      </c>
    </row>
    <row r="42" spans="1:5" ht="30" customHeight="1" x14ac:dyDescent="0.2">
      <c r="A42" s="322" t="s">
        <v>716</v>
      </c>
      <c r="B42" s="335" t="s">
        <v>1798</v>
      </c>
      <c r="C42" s="336" t="s">
        <v>803</v>
      </c>
      <c r="D42" s="329" t="s">
        <v>797</v>
      </c>
      <c r="E42" s="338">
        <v>0</v>
      </c>
    </row>
    <row r="43" spans="1:5" ht="30" customHeight="1" x14ac:dyDescent="0.2">
      <c r="A43" s="322" t="s">
        <v>550</v>
      </c>
      <c r="B43" s="335" t="s">
        <v>797</v>
      </c>
      <c r="C43" s="336">
        <v>0</v>
      </c>
      <c r="D43" s="329" t="s">
        <v>797</v>
      </c>
      <c r="E43" s="338">
        <v>0</v>
      </c>
    </row>
    <row r="44" spans="1:5" ht="30" customHeight="1" x14ac:dyDescent="0.2">
      <c r="A44" s="322" t="s">
        <v>551</v>
      </c>
      <c r="B44" s="335" t="s">
        <v>1799</v>
      </c>
      <c r="C44" s="336">
        <v>0</v>
      </c>
      <c r="D44" s="329" t="s">
        <v>797</v>
      </c>
      <c r="E44" s="338">
        <v>0</v>
      </c>
    </row>
    <row r="45" spans="1:5" ht="30" customHeight="1" x14ac:dyDescent="0.2">
      <c r="A45" s="322" t="s">
        <v>552</v>
      </c>
      <c r="B45" s="335" t="s">
        <v>1800</v>
      </c>
      <c r="C45" s="336">
        <v>0</v>
      </c>
      <c r="D45" s="329" t="s">
        <v>797</v>
      </c>
      <c r="E45" s="338">
        <v>0</v>
      </c>
    </row>
    <row r="46" spans="1:5" ht="30" customHeight="1" x14ac:dyDescent="0.2">
      <c r="A46" s="322" t="s">
        <v>553</v>
      </c>
      <c r="B46" s="335" t="s">
        <v>1801</v>
      </c>
      <c r="C46" s="336">
        <v>0</v>
      </c>
      <c r="D46" s="329" t="s">
        <v>797</v>
      </c>
      <c r="E46" s="338">
        <v>0</v>
      </c>
    </row>
    <row r="47" spans="1:5" ht="30" customHeight="1" x14ac:dyDescent="0.2">
      <c r="A47" s="322" t="s">
        <v>554</v>
      </c>
      <c r="B47" s="335" t="s">
        <v>1802</v>
      </c>
      <c r="C47" s="336">
        <v>0</v>
      </c>
      <c r="D47" s="329" t="s">
        <v>797</v>
      </c>
      <c r="E47" s="338">
        <v>0</v>
      </c>
    </row>
    <row r="48" spans="1:5" ht="30" customHeight="1" x14ac:dyDescent="0.2">
      <c r="A48" s="322" t="s">
        <v>555</v>
      </c>
      <c r="B48" s="335" t="s">
        <v>797</v>
      </c>
      <c r="C48" s="336">
        <v>0</v>
      </c>
      <c r="D48" s="329" t="s">
        <v>797</v>
      </c>
      <c r="E48" s="338">
        <v>0</v>
      </c>
    </row>
    <row r="49" spans="1:5" ht="30" customHeight="1" x14ac:dyDescent="0.2">
      <c r="A49" s="322" t="s">
        <v>556</v>
      </c>
      <c r="B49" s="335" t="s">
        <v>1803</v>
      </c>
      <c r="C49" s="336">
        <v>0</v>
      </c>
      <c r="D49" s="329" t="s">
        <v>797</v>
      </c>
      <c r="E49" s="338">
        <v>0</v>
      </c>
    </row>
    <row r="50" spans="1:5" ht="30" customHeight="1" x14ac:dyDescent="0.2">
      <c r="A50" s="322" t="s">
        <v>557</v>
      </c>
      <c r="B50" s="335" t="s">
        <v>1804</v>
      </c>
      <c r="C50" s="336">
        <v>0</v>
      </c>
      <c r="D50" s="329" t="s">
        <v>797</v>
      </c>
      <c r="E50" s="338">
        <v>0</v>
      </c>
    </row>
    <row r="51" spans="1:5" ht="30" customHeight="1" x14ac:dyDescent="0.2">
      <c r="A51" s="322" t="s">
        <v>558</v>
      </c>
      <c r="B51" s="335" t="s">
        <v>1805</v>
      </c>
      <c r="C51" s="336">
        <v>0</v>
      </c>
      <c r="D51" s="329" t="s">
        <v>797</v>
      </c>
      <c r="E51" s="338">
        <v>0</v>
      </c>
    </row>
    <row r="52" spans="1:5" ht="30" customHeight="1" x14ac:dyDescent="0.2">
      <c r="A52" s="322" t="s">
        <v>559</v>
      </c>
      <c r="B52" s="335" t="s">
        <v>1806</v>
      </c>
      <c r="C52" s="336">
        <v>0</v>
      </c>
      <c r="D52" s="329" t="s">
        <v>797</v>
      </c>
      <c r="E52" s="338">
        <v>0</v>
      </c>
    </row>
    <row r="53" spans="1:5" ht="30" customHeight="1" x14ac:dyDescent="0.2">
      <c r="A53" s="322" t="s">
        <v>560</v>
      </c>
      <c r="B53" s="335" t="s">
        <v>797</v>
      </c>
      <c r="C53" s="336">
        <v>0</v>
      </c>
      <c r="D53" s="329">
        <v>0</v>
      </c>
      <c r="E53" s="338">
        <v>0</v>
      </c>
    </row>
    <row r="54" spans="1:5" ht="30" customHeight="1" x14ac:dyDescent="0.2">
      <c r="A54" s="322" t="s">
        <v>561</v>
      </c>
      <c r="B54" s="335" t="s">
        <v>1807</v>
      </c>
      <c r="C54" s="336">
        <v>0</v>
      </c>
      <c r="D54" s="329">
        <v>0</v>
      </c>
      <c r="E54" s="338">
        <v>0</v>
      </c>
    </row>
    <row r="55" spans="1:5" ht="30" customHeight="1" x14ac:dyDescent="0.2">
      <c r="A55" s="322" t="s">
        <v>562</v>
      </c>
      <c r="B55" s="335" t="s">
        <v>1808</v>
      </c>
      <c r="C55" s="336">
        <v>0</v>
      </c>
      <c r="D55" s="329" t="s">
        <v>797</v>
      </c>
      <c r="E55" s="338">
        <v>0</v>
      </c>
    </row>
    <row r="56" spans="1:5" ht="30" customHeight="1" x14ac:dyDescent="0.2">
      <c r="A56" s="322" t="s">
        <v>563</v>
      </c>
      <c r="B56" s="335" t="s">
        <v>1809</v>
      </c>
      <c r="C56" s="336">
        <v>0</v>
      </c>
      <c r="D56" s="329" t="s">
        <v>797</v>
      </c>
      <c r="E56" s="338">
        <v>0</v>
      </c>
    </row>
    <row r="57" spans="1:5" ht="30" customHeight="1" x14ac:dyDescent="0.2">
      <c r="A57" s="322" t="s">
        <v>564</v>
      </c>
      <c r="B57" s="335" t="s">
        <v>1810</v>
      </c>
      <c r="C57" s="336">
        <v>0</v>
      </c>
      <c r="D57" s="329" t="s">
        <v>797</v>
      </c>
      <c r="E57" s="338">
        <v>0</v>
      </c>
    </row>
    <row r="58" spans="1:5" ht="30" customHeight="1" x14ac:dyDescent="0.2">
      <c r="A58" s="322" t="s">
        <v>682</v>
      </c>
      <c r="B58" s="335" t="s">
        <v>797</v>
      </c>
      <c r="C58" s="336" t="s">
        <v>802</v>
      </c>
      <c r="D58" s="328">
        <v>0</v>
      </c>
      <c r="E58" s="338">
        <v>0</v>
      </c>
    </row>
    <row r="59" spans="1:5" ht="30" customHeight="1" x14ac:dyDescent="0.2">
      <c r="A59" s="322" t="s">
        <v>689</v>
      </c>
      <c r="B59" s="335" t="s">
        <v>1811</v>
      </c>
      <c r="C59" s="336" t="s">
        <v>803</v>
      </c>
      <c r="D59" s="329" t="s">
        <v>797</v>
      </c>
      <c r="E59" s="338">
        <v>0</v>
      </c>
    </row>
    <row r="60" spans="1:5" ht="30" customHeight="1" x14ac:dyDescent="0.2">
      <c r="A60" s="322" t="s">
        <v>696</v>
      </c>
      <c r="B60" s="335" t="s">
        <v>1812</v>
      </c>
      <c r="C60" s="336" t="s">
        <v>803</v>
      </c>
      <c r="D60" s="329" t="s">
        <v>797</v>
      </c>
      <c r="E60" s="338">
        <v>0</v>
      </c>
    </row>
    <row r="61" spans="1:5" ht="30" customHeight="1" x14ac:dyDescent="0.2">
      <c r="A61" s="322" t="s">
        <v>703</v>
      </c>
      <c r="B61" s="335" t="s">
        <v>1813</v>
      </c>
      <c r="C61" s="336" t="s">
        <v>803</v>
      </c>
      <c r="D61" s="329" t="s">
        <v>797</v>
      </c>
      <c r="E61" s="338">
        <v>0</v>
      </c>
    </row>
    <row r="62" spans="1:5" ht="30" customHeight="1" x14ac:dyDescent="0.2">
      <c r="A62" s="322" t="s">
        <v>710</v>
      </c>
      <c r="B62" s="335" t="s">
        <v>1814</v>
      </c>
      <c r="C62" s="336" t="s">
        <v>803</v>
      </c>
      <c r="D62" s="329" t="s">
        <v>797</v>
      </c>
      <c r="E62" s="338">
        <v>0</v>
      </c>
    </row>
    <row r="63" spans="1:5" ht="30" customHeight="1" x14ac:dyDescent="0.2">
      <c r="A63" s="322" t="s">
        <v>717</v>
      </c>
      <c r="B63" s="335" t="s">
        <v>1815</v>
      </c>
      <c r="C63" s="336" t="s">
        <v>803</v>
      </c>
      <c r="D63" s="329" t="s">
        <v>797</v>
      </c>
      <c r="E63" s="338">
        <v>0</v>
      </c>
    </row>
    <row r="64" spans="1:5" ht="30" customHeight="1" x14ac:dyDescent="0.2">
      <c r="A64" s="322" t="s">
        <v>566</v>
      </c>
      <c r="B64" s="335" t="s">
        <v>797</v>
      </c>
      <c r="C64" s="336">
        <v>0</v>
      </c>
      <c r="D64" s="329" t="s">
        <v>797</v>
      </c>
      <c r="E64" s="338">
        <v>0</v>
      </c>
    </row>
    <row r="65" spans="1:5" ht="30" customHeight="1" x14ac:dyDescent="0.2">
      <c r="A65" s="322" t="s">
        <v>567</v>
      </c>
      <c r="B65" s="335" t="s">
        <v>1816</v>
      </c>
      <c r="C65" s="336">
        <v>0</v>
      </c>
      <c r="D65" s="329" t="s">
        <v>797</v>
      </c>
      <c r="E65" s="338">
        <v>0</v>
      </c>
    </row>
    <row r="66" spans="1:5" ht="30" customHeight="1" x14ac:dyDescent="0.2">
      <c r="A66" s="322" t="s">
        <v>568</v>
      </c>
      <c r="B66" s="335" t="s">
        <v>1817</v>
      </c>
      <c r="C66" s="336">
        <v>0</v>
      </c>
      <c r="D66" s="329" t="s">
        <v>797</v>
      </c>
      <c r="E66" s="338">
        <v>0</v>
      </c>
    </row>
    <row r="67" spans="1:5" ht="30" customHeight="1" x14ac:dyDescent="0.2">
      <c r="A67" s="322" t="s">
        <v>569</v>
      </c>
      <c r="B67" s="335" t="s">
        <v>1818</v>
      </c>
      <c r="C67" s="336">
        <v>0</v>
      </c>
      <c r="D67" s="329" t="s">
        <v>797</v>
      </c>
      <c r="E67" s="338">
        <v>0</v>
      </c>
    </row>
    <row r="68" spans="1:5" ht="30" customHeight="1" x14ac:dyDescent="0.2">
      <c r="A68" s="322" t="s">
        <v>570</v>
      </c>
      <c r="B68" s="335" t="s">
        <v>1819</v>
      </c>
      <c r="C68" s="336">
        <v>0</v>
      </c>
      <c r="D68" s="329" t="s">
        <v>797</v>
      </c>
      <c r="E68" s="338">
        <v>0</v>
      </c>
    </row>
    <row r="69" spans="1:5" ht="30" customHeight="1" x14ac:dyDescent="0.2">
      <c r="A69" s="322" t="s">
        <v>571</v>
      </c>
      <c r="B69" s="335" t="s">
        <v>797</v>
      </c>
      <c r="C69" s="336">
        <v>0</v>
      </c>
      <c r="D69" s="329" t="s">
        <v>797</v>
      </c>
      <c r="E69" s="338">
        <v>0</v>
      </c>
    </row>
    <row r="70" spans="1:5" ht="30" customHeight="1" x14ac:dyDescent="0.2">
      <c r="A70" s="322" t="s">
        <v>572</v>
      </c>
      <c r="B70" s="335" t="s">
        <v>1820</v>
      </c>
      <c r="C70" s="336">
        <v>0</v>
      </c>
      <c r="D70" s="329" t="s">
        <v>797</v>
      </c>
      <c r="E70" s="338">
        <v>0</v>
      </c>
    </row>
    <row r="71" spans="1:5" ht="30" customHeight="1" x14ac:dyDescent="0.2">
      <c r="A71" s="322" t="s">
        <v>573</v>
      </c>
      <c r="B71" s="335" t="s">
        <v>1821</v>
      </c>
      <c r="C71" s="336">
        <v>0</v>
      </c>
      <c r="D71" s="329" t="s">
        <v>797</v>
      </c>
      <c r="E71" s="338">
        <v>0</v>
      </c>
    </row>
    <row r="72" spans="1:5" ht="30" customHeight="1" x14ac:dyDescent="0.2">
      <c r="A72" s="322" t="s">
        <v>574</v>
      </c>
      <c r="B72" s="335" t="s">
        <v>1822</v>
      </c>
      <c r="C72" s="336">
        <v>0</v>
      </c>
      <c r="D72" s="329" t="s">
        <v>797</v>
      </c>
      <c r="E72" s="338">
        <v>0</v>
      </c>
    </row>
    <row r="73" spans="1:5" ht="30" customHeight="1" x14ac:dyDescent="0.2">
      <c r="A73" s="322" t="s">
        <v>575</v>
      </c>
      <c r="B73" s="335" t="s">
        <v>1823</v>
      </c>
      <c r="C73" s="336">
        <v>0</v>
      </c>
      <c r="D73" s="329" t="s">
        <v>797</v>
      </c>
      <c r="E73" s="338">
        <v>0</v>
      </c>
    </row>
    <row r="74" spans="1:5" ht="30" customHeight="1" x14ac:dyDescent="0.2">
      <c r="A74" s="322" t="s">
        <v>576</v>
      </c>
      <c r="B74" s="335" t="s">
        <v>797</v>
      </c>
      <c r="C74" s="336">
        <v>0</v>
      </c>
      <c r="D74" s="329" t="s">
        <v>797</v>
      </c>
      <c r="E74" s="338">
        <v>0</v>
      </c>
    </row>
    <row r="75" spans="1:5" ht="30" customHeight="1" x14ac:dyDescent="0.2">
      <c r="A75" s="322" t="s">
        <v>577</v>
      </c>
      <c r="B75" s="335" t="s">
        <v>1824</v>
      </c>
      <c r="C75" s="336">
        <v>0</v>
      </c>
      <c r="D75" s="329" t="s">
        <v>797</v>
      </c>
      <c r="E75" s="338">
        <v>0</v>
      </c>
    </row>
    <row r="76" spans="1:5" ht="30" customHeight="1" x14ac:dyDescent="0.2">
      <c r="A76" s="322" t="s">
        <v>578</v>
      </c>
      <c r="B76" s="335" t="s">
        <v>1825</v>
      </c>
      <c r="C76" s="336">
        <v>0</v>
      </c>
      <c r="D76" s="329" t="s">
        <v>797</v>
      </c>
      <c r="E76" s="338">
        <v>0</v>
      </c>
    </row>
    <row r="77" spans="1:5" ht="30" customHeight="1" x14ac:dyDescent="0.2">
      <c r="A77" s="322" t="s">
        <v>579</v>
      </c>
      <c r="B77" s="335" t="s">
        <v>1826</v>
      </c>
      <c r="C77" s="336">
        <v>0</v>
      </c>
      <c r="D77" s="329" t="s">
        <v>797</v>
      </c>
      <c r="E77" s="338">
        <v>0</v>
      </c>
    </row>
    <row r="78" spans="1:5" ht="30" customHeight="1" x14ac:dyDescent="0.2">
      <c r="A78" s="322" t="s">
        <v>580</v>
      </c>
      <c r="B78" s="335" t="s">
        <v>1827</v>
      </c>
      <c r="C78" s="336">
        <v>0</v>
      </c>
      <c r="D78" s="329" t="s">
        <v>797</v>
      </c>
      <c r="E78" s="338">
        <v>0</v>
      </c>
    </row>
    <row r="79" spans="1:5" ht="30" customHeight="1" x14ac:dyDescent="0.2">
      <c r="A79" s="322" t="s">
        <v>683</v>
      </c>
      <c r="B79" s="335" t="s">
        <v>797</v>
      </c>
      <c r="C79" s="336" t="s">
        <v>802</v>
      </c>
      <c r="D79" s="328">
        <v>0</v>
      </c>
      <c r="E79" s="338">
        <v>0</v>
      </c>
    </row>
    <row r="80" spans="1:5" ht="30" customHeight="1" x14ac:dyDescent="0.2">
      <c r="A80" s="322" t="s">
        <v>690</v>
      </c>
      <c r="B80" s="335" t="s">
        <v>1828</v>
      </c>
      <c r="C80" s="336" t="s">
        <v>803</v>
      </c>
      <c r="D80" s="329" t="s">
        <v>797</v>
      </c>
      <c r="E80" s="338">
        <v>0</v>
      </c>
    </row>
    <row r="81" spans="1:5" ht="30" customHeight="1" x14ac:dyDescent="0.2">
      <c r="A81" s="322" t="s">
        <v>697</v>
      </c>
      <c r="B81" s="335" t="s">
        <v>1829</v>
      </c>
      <c r="C81" s="336" t="s">
        <v>803</v>
      </c>
      <c r="D81" s="329" t="s">
        <v>797</v>
      </c>
      <c r="E81" s="338">
        <v>0</v>
      </c>
    </row>
    <row r="82" spans="1:5" ht="30" customHeight="1" x14ac:dyDescent="0.2">
      <c r="A82" s="322" t="s">
        <v>704</v>
      </c>
      <c r="B82" s="335" t="s">
        <v>1830</v>
      </c>
      <c r="C82" s="336" t="s">
        <v>803</v>
      </c>
      <c r="D82" s="329">
        <v>0</v>
      </c>
      <c r="E82" s="338">
        <v>0</v>
      </c>
    </row>
    <row r="83" spans="1:5" ht="30" customHeight="1" x14ac:dyDescent="0.2">
      <c r="A83" s="322" t="s">
        <v>711</v>
      </c>
      <c r="B83" s="335" t="s">
        <v>1831</v>
      </c>
      <c r="C83" s="336" t="s">
        <v>803</v>
      </c>
      <c r="D83" s="329">
        <v>0</v>
      </c>
      <c r="E83" s="338">
        <v>0</v>
      </c>
    </row>
    <row r="84" spans="1:5" ht="30" customHeight="1" x14ac:dyDescent="0.2">
      <c r="A84" s="322" t="s">
        <v>718</v>
      </c>
      <c r="B84" s="335" t="s">
        <v>1832</v>
      </c>
      <c r="C84" s="336" t="s">
        <v>803</v>
      </c>
      <c r="D84" s="329" t="s">
        <v>797</v>
      </c>
      <c r="E84" s="338">
        <v>0</v>
      </c>
    </row>
    <row r="85" spans="1:5" ht="30" customHeight="1" x14ac:dyDescent="0.2">
      <c r="A85" s="322" t="s">
        <v>582</v>
      </c>
      <c r="B85" s="335" t="s">
        <v>797</v>
      </c>
      <c r="C85" s="336">
        <v>0</v>
      </c>
      <c r="D85" s="329" t="s">
        <v>797</v>
      </c>
      <c r="E85" s="338">
        <v>0</v>
      </c>
    </row>
    <row r="86" spans="1:5" ht="30" customHeight="1" x14ac:dyDescent="0.2">
      <c r="A86" s="322" t="s">
        <v>583</v>
      </c>
      <c r="B86" s="335" t="s">
        <v>1833</v>
      </c>
      <c r="C86" s="336">
        <v>0</v>
      </c>
      <c r="D86" s="329" t="s">
        <v>797</v>
      </c>
      <c r="E86" s="338">
        <v>0</v>
      </c>
    </row>
    <row r="87" spans="1:5" ht="30" customHeight="1" x14ac:dyDescent="0.2">
      <c r="A87" s="322" t="s">
        <v>584</v>
      </c>
      <c r="B87" s="335" t="s">
        <v>1834</v>
      </c>
      <c r="C87" s="336">
        <v>0</v>
      </c>
      <c r="D87" s="329" t="s">
        <v>797</v>
      </c>
      <c r="E87" s="338">
        <v>0</v>
      </c>
    </row>
    <row r="88" spans="1:5" ht="30" customHeight="1" x14ac:dyDescent="0.2">
      <c r="A88" s="322" t="s">
        <v>585</v>
      </c>
      <c r="B88" s="335" t="s">
        <v>1835</v>
      </c>
      <c r="C88" s="336">
        <v>0</v>
      </c>
      <c r="D88" s="329" t="s">
        <v>797</v>
      </c>
      <c r="E88" s="338">
        <v>0</v>
      </c>
    </row>
    <row r="89" spans="1:5" ht="30" customHeight="1" x14ac:dyDescent="0.2">
      <c r="A89" s="322" t="s">
        <v>586</v>
      </c>
      <c r="B89" s="335" t="s">
        <v>1836</v>
      </c>
      <c r="C89" s="336">
        <v>0</v>
      </c>
      <c r="D89" s="329" t="s">
        <v>797</v>
      </c>
      <c r="E89" s="338">
        <v>0</v>
      </c>
    </row>
    <row r="90" spans="1:5" ht="30" customHeight="1" x14ac:dyDescent="0.2">
      <c r="A90" s="322" t="s">
        <v>587</v>
      </c>
      <c r="B90" s="335" t="s">
        <v>797</v>
      </c>
      <c r="C90" s="336">
        <v>0</v>
      </c>
      <c r="D90" s="329" t="s">
        <v>797</v>
      </c>
      <c r="E90" s="338">
        <v>0</v>
      </c>
    </row>
    <row r="91" spans="1:5" ht="30" customHeight="1" x14ac:dyDescent="0.2">
      <c r="A91" s="322" t="s">
        <v>588</v>
      </c>
      <c r="B91" s="335" t="s">
        <v>1837</v>
      </c>
      <c r="C91" s="336">
        <v>0</v>
      </c>
      <c r="D91" s="329" t="s">
        <v>797</v>
      </c>
      <c r="E91" s="338">
        <v>0</v>
      </c>
    </row>
    <row r="92" spans="1:5" ht="30" customHeight="1" x14ac:dyDescent="0.2">
      <c r="A92" s="322" t="s">
        <v>589</v>
      </c>
      <c r="B92" s="335" t="s">
        <v>1838</v>
      </c>
      <c r="C92" s="336">
        <v>0</v>
      </c>
      <c r="D92" s="329" t="s">
        <v>797</v>
      </c>
      <c r="E92" s="338">
        <v>0</v>
      </c>
    </row>
    <row r="93" spans="1:5" ht="30" customHeight="1" x14ac:dyDescent="0.2">
      <c r="A93" s="322" t="s">
        <v>590</v>
      </c>
      <c r="B93" s="335" t="s">
        <v>1839</v>
      </c>
      <c r="C93" s="336">
        <v>0</v>
      </c>
      <c r="D93" s="329" t="s">
        <v>797</v>
      </c>
      <c r="E93" s="338">
        <v>0</v>
      </c>
    </row>
    <row r="94" spans="1:5" ht="30" customHeight="1" x14ac:dyDescent="0.2">
      <c r="A94" s="322" t="s">
        <v>591</v>
      </c>
      <c r="B94" s="335" t="s">
        <v>1840</v>
      </c>
      <c r="C94" s="336">
        <v>0</v>
      </c>
      <c r="D94" s="329" t="s">
        <v>797</v>
      </c>
      <c r="E94" s="338">
        <v>0</v>
      </c>
    </row>
    <row r="95" spans="1:5" ht="30" customHeight="1" x14ac:dyDescent="0.2">
      <c r="A95" s="322" t="s">
        <v>592</v>
      </c>
      <c r="B95" s="335" t="s">
        <v>797</v>
      </c>
      <c r="C95" s="336">
        <v>0</v>
      </c>
      <c r="D95" s="329" t="s">
        <v>797</v>
      </c>
      <c r="E95" s="338">
        <v>0</v>
      </c>
    </row>
    <row r="96" spans="1:5" ht="30" customHeight="1" x14ac:dyDescent="0.2">
      <c r="A96" s="322" t="s">
        <v>593</v>
      </c>
      <c r="B96" s="335" t="s">
        <v>1841</v>
      </c>
      <c r="C96" s="336">
        <v>0</v>
      </c>
      <c r="D96" s="329" t="s">
        <v>797</v>
      </c>
      <c r="E96" s="338">
        <v>0</v>
      </c>
    </row>
    <row r="97" spans="1:5" ht="30" customHeight="1" x14ac:dyDescent="0.2">
      <c r="A97" s="322" t="s">
        <v>594</v>
      </c>
      <c r="B97" s="335" t="s">
        <v>1842</v>
      </c>
      <c r="C97" s="336">
        <v>0</v>
      </c>
      <c r="D97" s="329" t="s">
        <v>797</v>
      </c>
      <c r="E97" s="338">
        <v>0</v>
      </c>
    </row>
    <row r="98" spans="1:5" ht="30" customHeight="1" x14ac:dyDescent="0.2">
      <c r="A98" s="322" t="s">
        <v>595</v>
      </c>
      <c r="B98" s="335" t="s">
        <v>1843</v>
      </c>
      <c r="C98" s="336">
        <v>0</v>
      </c>
      <c r="D98" s="329" t="s">
        <v>797</v>
      </c>
      <c r="E98" s="338">
        <v>0</v>
      </c>
    </row>
    <row r="99" spans="1:5" ht="30" customHeight="1" x14ac:dyDescent="0.2">
      <c r="A99" s="322" t="s">
        <v>596</v>
      </c>
      <c r="B99" s="335"/>
      <c r="C99" s="336">
        <v>0</v>
      </c>
      <c r="D99" s="329" t="s">
        <v>797</v>
      </c>
      <c r="E99" s="338">
        <v>0</v>
      </c>
    </row>
    <row r="100" spans="1:5" ht="30" customHeight="1" x14ac:dyDescent="0.2">
      <c r="A100" s="322" t="s">
        <v>684</v>
      </c>
      <c r="B100" s="335"/>
      <c r="C100" s="336" t="s">
        <v>802</v>
      </c>
      <c r="D100" s="328">
        <v>0</v>
      </c>
      <c r="E100" s="338">
        <v>0</v>
      </c>
    </row>
    <row r="101" spans="1:5" ht="30" customHeight="1" x14ac:dyDescent="0.2">
      <c r="A101" s="322" t="s">
        <v>691</v>
      </c>
      <c r="B101" s="335"/>
      <c r="C101" s="336" t="s">
        <v>803</v>
      </c>
      <c r="D101" s="329" t="s">
        <v>797</v>
      </c>
      <c r="E101" s="338">
        <v>0</v>
      </c>
    </row>
    <row r="102" spans="1:5" ht="30" customHeight="1" x14ac:dyDescent="0.2">
      <c r="A102" s="322" t="s">
        <v>698</v>
      </c>
      <c r="B102" s="335"/>
      <c r="C102" s="336" t="s">
        <v>803</v>
      </c>
      <c r="D102" s="329" t="s">
        <v>797</v>
      </c>
      <c r="E102" s="338">
        <v>0</v>
      </c>
    </row>
    <row r="103" spans="1:5" ht="30" customHeight="1" x14ac:dyDescent="0.2">
      <c r="A103" s="322" t="s">
        <v>705</v>
      </c>
      <c r="B103" s="335"/>
      <c r="C103" s="336" t="s">
        <v>803</v>
      </c>
      <c r="D103" s="329" t="s">
        <v>797</v>
      </c>
      <c r="E103" s="338">
        <v>0</v>
      </c>
    </row>
    <row r="104" spans="1:5" ht="30" customHeight="1" x14ac:dyDescent="0.2">
      <c r="A104" s="322" t="s">
        <v>712</v>
      </c>
      <c r="B104" s="335"/>
      <c r="C104" s="336" t="s">
        <v>803</v>
      </c>
      <c r="D104" s="329" t="s">
        <v>797</v>
      </c>
      <c r="E104" s="338">
        <v>0</v>
      </c>
    </row>
    <row r="105" spans="1:5" ht="30" customHeight="1" x14ac:dyDescent="0.2">
      <c r="A105" s="322" t="s">
        <v>719</v>
      </c>
      <c r="B105" s="335"/>
      <c r="C105" s="336" t="s">
        <v>803</v>
      </c>
      <c r="D105" s="329" t="s">
        <v>797</v>
      </c>
      <c r="E105" s="338">
        <v>0</v>
      </c>
    </row>
    <row r="106" spans="1:5" ht="30" customHeight="1" x14ac:dyDescent="0.2">
      <c r="A106" s="322" t="s">
        <v>598</v>
      </c>
      <c r="B106" s="335"/>
      <c r="C106" s="336">
        <v>0</v>
      </c>
      <c r="D106" s="329" t="s">
        <v>797</v>
      </c>
      <c r="E106" s="338">
        <v>0</v>
      </c>
    </row>
    <row r="107" spans="1:5" ht="30" customHeight="1" x14ac:dyDescent="0.2">
      <c r="A107" s="322" t="s">
        <v>599</v>
      </c>
      <c r="B107" s="335"/>
      <c r="C107" s="336">
        <v>0</v>
      </c>
      <c r="D107" s="329" t="s">
        <v>797</v>
      </c>
      <c r="E107" s="338">
        <v>0</v>
      </c>
    </row>
    <row r="108" spans="1:5" ht="30" customHeight="1" x14ac:dyDescent="0.2">
      <c r="A108" s="322" t="s">
        <v>600</v>
      </c>
      <c r="B108" s="335"/>
      <c r="C108" s="336">
        <v>0</v>
      </c>
      <c r="D108" s="329" t="s">
        <v>797</v>
      </c>
      <c r="E108" s="338">
        <v>0</v>
      </c>
    </row>
    <row r="109" spans="1:5" ht="30" customHeight="1" x14ac:dyDescent="0.2">
      <c r="A109" s="322" t="s">
        <v>601</v>
      </c>
      <c r="B109" s="335"/>
      <c r="C109" s="336">
        <v>0</v>
      </c>
      <c r="D109" s="329" t="s">
        <v>797</v>
      </c>
      <c r="E109" s="338">
        <v>0</v>
      </c>
    </row>
    <row r="110" spans="1:5" ht="30" customHeight="1" x14ac:dyDescent="0.2">
      <c r="A110" s="322" t="s">
        <v>602</v>
      </c>
      <c r="B110" s="335"/>
      <c r="C110" s="336">
        <v>0</v>
      </c>
      <c r="D110" s="329" t="s">
        <v>797</v>
      </c>
      <c r="E110" s="338">
        <v>0</v>
      </c>
    </row>
    <row r="111" spans="1:5" ht="30" customHeight="1" x14ac:dyDescent="0.2">
      <c r="A111" s="322" t="s">
        <v>603</v>
      </c>
      <c r="B111" s="335"/>
      <c r="C111" s="336">
        <v>0</v>
      </c>
      <c r="D111" s="329">
        <v>0</v>
      </c>
      <c r="E111" s="338">
        <v>0</v>
      </c>
    </row>
    <row r="112" spans="1:5" ht="30" customHeight="1" x14ac:dyDescent="0.2">
      <c r="A112" s="322" t="s">
        <v>604</v>
      </c>
      <c r="B112" s="335"/>
      <c r="C112" s="336">
        <v>0</v>
      </c>
      <c r="D112" s="329">
        <v>0</v>
      </c>
      <c r="E112" s="338">
        <v>0</v>
      </c>
    </row>
    <row r="113" spans="1:5" ht="30" customHeight="1" x14ac:dyDescent="0.2">
      <c r="A113" s="322" t="s">
        <v>605</v>
      </c>
      <c r="B113" s="335"/>
      <c r="C113" s="336">
        <v>0</v>
      </c>
      <c r="D113" s="329" t="s">
        <v>797</v>
      </c>
      <c r="E113" s="338">
        <v>0</v>
      </c>
    </row>
    <row r="114" spans="1:5" ht="30" customHeight="1" x14ac:dyDescent="0.2">
      <c r="A114" s="322" t="s">
        <v>606</v>
      </c>
      <c r="B114" s="335"/>
      <c r="C114" s="336">
        <v>0</v>
      </c>
      <c r="D114" s="329" t="s">
        <v>797</v>
      </c>
      <c r="E114" s="338">
        <v>0</v>
      </c>
    </row>
    <row r="115" spans="1:5" ht="30" customHeight="1" x14ac:dyDescent="0.2">
      <c r="A115" s="322" t="s">
        <v>607</v>
      </c>
      <c r="B115" s="335"/>
      <c r="C115" s="336">
        <v>0</v>
      </c>
      <c r="D115" s="329" t="s">
        <v>797</v>
      </c>
      <c r="E115" s="338">
        <v>0</v>
      </c>
    </row>
    <row r="116" spans="1:5" ht="30" customHeight="1" x14ac:dyDescent="0.2">
      <c r="A116" s="322" t="s">
        <v>608</v>
      </c>
      <c r="B116" s="335"/>
      <c r="C116" s="336">
        <v>0</v>
      </c>
      <c r="D116" s="329" t="s">
        <v>797</v>
      </c>
      <c r="E116" s="338">
        <v>0</v>
      </c>
    </row>
    <row r="117" spans="1:5" ht="30" customHeight="1" x14ac:dyDescent="0.2">
      <c r="A117" s="322" t="s">
        <v>609</v>
      </c>
      <c r="B117" s="335"/>
      <c r="C117" s="336">
        <v>0</v>
      </c>
      <c r="D117" s="329" t="s">
        <v>797</v>
      </c>
      <c r="E117" s="338">
        <v>0</v>
      </c>
    </row>
    <row r="118" spans="1:5" ht="30" customHeight="1" x14ac:dyDescent="0.2">
      <c r="A118" s="322" t="s">
        <v>610</v>
      </c>
      <c r="B118" s="335"/>
      <c r="C118" s="336">
        <v>0</v>
      </c>
      <c r="D118" s="329" t="s">
        <v>797</v>
      </c>
      <c r="E118" s="338">
        <v>0</v>
      </c>
    </row>
    <row r="119" spans="1:5" ht="30" customHeight="1" x14ac:dyDescent="0.2">
      <c r="A119" s="322" t="s">
        <v>611</v>
      </c>
      <c r="B119" s="335"/>
      <c r="C119" s="336">
        <v>0</v>
      </c>
      <c r="D119" s="329" t="s">
        <v>797</v>
      </c>
      <c r="E119" s="338">
        <v>0</v>
      </c>
    </row>
    <row r="120" spans="1:5" ht="30" customHeight="1" x14ac:dyDescent="0.2">
      <c r="A120" s="322" t="s">
        <v>612</v>
      </c>
      <c r="B120" s="335"/>
      <c r="C120" s="336">
        <v>0</v>
      </c>
      <c r="D120" s="329" t="s">
        <v>797</v>
      </c>
      <c r="E120" s="338">
        <v>0</v>
      </c>
    </row>
    <row r="121" spans="1:5" ht="30" customHeight="1" x14ac:dyDescent="0.2">
      <c r="A121" s="322" t="s">
        <v>685</v>
      </c>
      <c r="B121" s="335"/>
      <c r="C121" s="336" t="s">
        <v>802</v>
      </c>
      <c r="D121" s="328">
        <v>0</v>
      </c>
      <c r="E121" s="338">
        <v>0</v>
      </c>
    </row>
    <row r="122" spans="1:5" ht="30" customHeight="1" x14ac:dyDescent="0.2">
      <c r="A122" s="322" t="s">
        <v>692</v>
      </c>
      <c r="B122" s="335"/>
      <c r="C122" s="336" t="s">
        <v>803</v>
      </c>
      <c r="D122" s="329" t="s">
        <v>797</v>
      </c>
      <c r="E122" s="338">
        <v>0</v>
      </c>
    </row>
    <row r="123" spans="1:5" ht="30" customHeight="1" x14ac:dyDescent="0.2">
      <c r="A123" s="322" t="s">
        <v>699</v>
      </c>
      <c r="B123" s="335"/>
      <c r="C123" s="336" t="s">
        <v>803</v>
      </c>
      <c r="D123" s="329" t="s">
        <v>797</v>
      </c>
      <c r="E123" s="338">
        <v>0</v>
      </c>
    </row>
    <row r="124" spans="1:5" ht="30" customHeight="1" x14ac:dyDescent="0.2">
      <c r="A124" s="322" t="s">
        <v>706</v>
      </c>
      <c r="B124" s="335"/>
      <c r="C124" s="336" t="s">
        <v>803</v>
      </c>
      <c r="D124" s="329" t="s">
        <v>797</v>
      </c>
      <c r="E124" s="338">
        <v>0</v>
      </c>
    </row>
    <row r="125" spans="1:5" ht="30" customHeight="1" x14ac:dyDescent="0.2">
      <c r="A125" s="322" t="s">
        <v>713</v>
      </c>
      <c r="B125" s="335"/>
      <c r="C125" s="336" t="s">
        <v>803</v>
      </c>
      <c r="D125" s="329" t="s">
        <v>797</v>
      </c>
      <c r="E125" s="338">
        <v>0</v>
      </c>
    </row>
    <row r="126" spans="1:5" ht="30" customHeight="1" x14ac:dyDescent="0.2">
      <c r="A126" s="322" t="s">
        <v>720</v>
      </c>
      <c r="B126" s="335"/>
      <c r="C126" s="336" t="s">
        <v>803</v>
      </c>
      <c r="D126" s="329" t="s">
        <v>797</v>
      </c>
      <c r="E126" s="338">
        <v>0</v>
      </c>
    </row>
    <row r="127" spans="1:5" ht="30" customHeight="1" x14ac:dyDescent="0.2">
      <c r="A127" s="322" t="s">
        <v>614</v>
      </c>
      <c r="B127" s="335"/>
      <c r="C127" s="336">
        <v>0</v>
      </c>
      <c r="D127" s="329" t="s">
        <v>797</v>
      </c>
      <c r="E127" s="338">
        <v>0</v>
      </c>
    </row>
    <row r="128" spans="1:5" ht="30" customHeight="1" x14ac:dyDescent="0.2">
      <c r="A128" s="322" t="s">
        <v>615</v>
      </c>
      <c r="B128" s="335"/>
      <c r="C128" s="336">
        <v>0</v>
      </c>
      <c r="D128" s="329" t="s">
        <v>797</v>
      </c>
      <c r="E128" s="338">
        <v>0</v>
      </c>
    </row>
    <row r="129" spans="1:5" ht="30" customHeight="1" x14ac:dyDescent="0.2">
      <c r="A129" s="322" t="s">
        <v>616</v>
      </c>
      <c r="B129" s="335"/>
      <c r="C129" s="336">
        <v>0</v>
      </c>
      <c r="D129" s="329" t="s">
        <v>797</v>
      </c>
      <c r="E129" s="338">
        <v>0</v>
      </c>
    </row>
    <row r="130" spans="1:5" ht="30" customHeight="1" x14ac:dyDescent="0.2">
      <c r="A130" s="322" t="s">
        <v>617</v>
      </c>
      <c r="B130" s="335"/>
      <c r="C130" s="336">
        <v>0</v>
      </c>
      <c r="D130" s="329" t="s">
        <v>797</v>
      </c>
      <c r="E130" s="338">
        <v>0</v>
      </c>
    </row>
    <row r="131" spans="1:5" ht="30" customHeight="1" x14ac:dyDescent="0.2">
      <c r="A131" s="322" t="s">
        <v>618</v>
      </c>
      <c r="B131" s="335"/>
      <c r="C131" s="336">
        <v>0</v>
      </c>
      <c r="D131" s="329" t="s">
        <v>797</v>
      </c>
      <c r="E131" s="338">
        <v>0</v>
      </c>
    </row>
    <row r="132" spans="1:5" ht="30" customHeight="1" x14ac:dyDescent="0.2">
      <c r="A132" s="322" t="s">
        <v>619</v>
      </c>
      <c r="B132" s="335"/>
      <c r="C132" s="336">
        <v>0</v>
      </c>
      <c r="D132" s="329" t="s">
        <v>797</v>
      </c>
      <c r="E132" s="338">
        <v>0</v>
      </c>
    </row>
    <row r="133" spans="1:5" ht="30" customHeight="1" x14ac:dyDescent="0.2">
      <c r="A133" s="322" t="s">
        <v>620</v>
      </c>
      <c r="B133" s="335"/>
      <c r="C133" s="336">
        <v>0</v>
      </c>
      <c r="D133" s="329" t="s">
        <v>797</v>
      </c>
      <c r="E133" s="338">
        <v>0</v>
      </c>
    </row>
    <row r="134" spans="1:5" ht="30" customHeight="1" x14ac:dyDescent="0.2">
      <c r="A134" s="322" t="s">
        <v>621</v>
      </c>
      <c r="B134" s="335"/>
      <c r="C134" s="336">
        <v>0</v>
      </c>
      <c r="D134" s="329" t="s">
        <v>797</v>
      </c>
      <c r="E134" s="338">
        <v>0</v>
      </c>
    </row>
    <row r="135" spans="1:5" ht="30" customHeight="1" x14ac:dyDescent="0.2">
      <c r="A135" s="322" t="s">
        <v>622</v>
      </c>
      <c r="B135" s="335"/>
      <c r="C135" s="336">
        <v>0</v>
      </c>
      <c r="D135" s="329" t="s">
        <v>797</v>
      </c>
      <c r="E135" s="338">
        <v>0</v>
      </c>
    </row>
    <row r="136" spans="1:5" ht="30" customHeight="1" x14ac:dyDescent="0.2">
      <c r="A136" s="322" t="s">
        <v>623</v>
      </c>
      <c r="B136" s="335"/>
      <c r="C136" s="336">
        <v>0</v>
      </c>
      <c r="D136" s="329" t="s">
        <v>797</v>
      </c>
      <c r="E136" s="338">
        <v>0</v>
      </c>
    </row>
    <row r="137" spans="1:5" ht="30" customHeight="1" x14ac:dyDescent="0.2">
      <c r="A137" s="322" t="s">
        <v>624</v>
      </c>
      <c r="B137" s="335"/>
      <c r="C137" s="336">
        <v>0</v>
      </c>
      <c r="D137" s="329" t="s">
        <v>797</v>
      </c>
      <c r="E137" s="338">
        <v>0</v>
      </c>
    </row>
    <row r="138" spans="1:5" ht="30" customHeight="1" x14ac:dyDescent="0.2">
      <c r="A138" s="322" t="s">
        <v>625</v>
      </c>
      <c r="B138" s="335"/>
      <c r="C138" s="336">
        <v>0</v>
      </c>
      <c r="D138" s="329" t="s">
        <v>797</v>
      </c>
      <c r="E138" s="338">
        <v>0</v>
      </c>
    </row>
    <row r="139" spans="1:5" ht="30" customHeight="1" x14ac:dyDescent="0.2">
      <c r="A139" s="322" t="s">
        <v>626</v>
      </c>
      <c r="B139" s="335"/>
      <c r="C139" s="336">
        <v>0</v>
      </c>
      <c r="D139" s="329" t="s">
        <v>797</v>
      </c>
      <c r="E139" s="338">
        <v>0</v>
      </c>
    </row>
    <row r="140" spans="1:5" ht="30" customHeight="1" x14ac:dyDescent="0.2">
      <c r="A140" s="322" t="s">
        <v>627</v>
      </c>
      <c r="B140" s="335"/>
      <c r="C140" s="336">
        <v>0</v>
      </c>
      <c r="D140" s="329">
        <v>0</v>
      </c>
      <c r="E140" s="338">
        <v>0</v>
      </c>
    </row>
    <row r="141" spans="1:5" ht="30" customHeight="1" x14ac:dyDescent="0.2">
      <c r="A141" s="322" t="s">
        <v>628</v>
      </c>
      <c r="B141" s="335"/>
      <c r="C141" s="336">
        <v>0</v>
      </c>
      <c r="D141" s="329">
        <v>0</v>
      </c>
      <c r="E141" s="338">
        <v>0</v>
      </c>
    </row>
    <row r="142" spans="1:5" ht="30" customHeight="1" x14ac:dyDescent="0.2">
      <c r="A142" s="322" t="s">
        <v>686</v>
      </c>
      <c r="B142" s="335"/>
      <c r="C142" s="336" t="s">
        <v>802</v>
      </c>
      <c r="D142" s="328">
        <v>0</v>
      </c>
      <c r="E142" s="338">
        <v>0</v>
      </c>
    </row>
    <row r="143" spans="1:5" ht="30" customHeight="1" x14ac:dyDescent="0.2">
      <c r="A143" s="322" t="s">
        <v>693</v>
      </c>
      <c r="B143" s="335"/>
      <c r="C143" s="336" t="s">
        <v>803</v>
      </c>
      <c r="D143" s="329" t="s">
        <v>797</v>
      </c>
      <c r="E143" s="338">
        <v>0</v>
      </c>
    </row>
    <row r="144" spans="1:5" ht="30" customHeight="1" x14ac:dyDescent="0.2">
      <c r="A144" s="322" t="s">
        <v>700</v>
      </c>
      <c r="B144" s="335"/>
      <c r="C144" s="336" t="s">
        <v>803</v>
      </c>
      <c r="D144" s="329" t="s">
        <v>797</v>
      </c>
      <c r="E144" s="338">
        <v>0</v>
      </c>
    </row>
    <row r="145" spans="1:5" ht="30" customHeight="1" x14ac:dyDescent="0.2">
      <c r="A145" s="322" t="s">
        <v>707</v>
      </c>
      <c r="B145" s="335"/>
      <c r="C145" s="336" t="s">
        <v>803</v>
      </c>
      <c r="D145" s="329" t="s">
        <v>797</v>
      </c>
      <c r="E145" s="338">
        <v>0</v>
      </c>
    </row>
    <row r="146" spans="1:5" ht="30" customHeight="1" x14ac:dyDescent="0.2">
      <c r="A146" s="322" t="s">
        <v>714</v>
      </c>
      <c r="B146" s="335"/>
      <c r="C146" s="336" t="s">
        <v>803</v>
      </c>
      <c r="D146" s="329" t="s">
        <v>797</v>
      </c>
      <c r="E146" s="338">
        <v>0</v>
      </c>
    </row>
    <row r="147" spans="1:5" ht="30" customHeight="1" x14ac:dyDescent="0.2">
      <c r="A147" s="322" t="s">
        <v>721</v>
      </c>
      <c r="B147" s="335"/>
      <c r="C147" s="336" t="s">
        <v>803</v>
      </c>
      <c r="D147" s="329" t="s">
        <v>797</v>
      </c>
      <c r="E147" s="338">
        <v>0</v>
      </c>
    </row>
    <row r="148" spans="1:5" ht="30" customHeight="1" x14ac:dyDescent="0.2">
      <c r="A148" s="322" t="s">
        <v>630</v>
      </c>
      <c r="B148" s="335"/>
      <c r="C148" s="336">
        <v>0</v>
      </c>
      <c r="D148" s="329" t="s">
        <v>797</v>
      </c>
      <c r="E148" s="338">
        <v>0</v>
      </c>
    </row>
    <row r="149" spans="1:5" ht="30" customHeight="1" x14ac:dyDescent="0.2">
      <c r="A149" s="322" t="s">
        <v>631</v>
      </c>
      <c r="B149" s="335"/>
      <c r="C149" s="336">
        <v>0</v>
      </c>
      <c r="D149" s="329" t="s">
        <v>797</v>
      </c>
      <c r="E149" s="338">
        <v>0</v>
      </c>
    </row>
    <row r="150" spans="1:5" ht="30" customHeight="1" x14ac:dyDescent="0.2">
      <c r="A150" s="322" t="s">
        <v>632</v>
      </c>
      <c r="B150" s="335"/>
      <c r="C150" s="336">
        <v>0</v>
      </c>
      <c r="D150" s="329" t="s">
        <v>797</v>
      </c>
      <c r="E150" s="338">
        <v>0</v>
      </c>
    </row>
    <row r="151" spans="1:5" ht="30" customHeight="1" x14ac:dyDescent="0.2">
      <c r="A151" s="322" t="s">
        <v>633</v>
      </c>
      <c r="B151" s="335"/>
      <c r="C151" s="336">
        <v>0</v>
      </c>
      <c r="D151" s="329" t="s">
        <v>797</v>
      </c>
      <c r="E151" s="338">
        <v>0</v>
      </c>
    </row>
    <row r="152" spans="1:5" ht="30" customHeight="1" x14ac:dyDescent="0.2">
      <c r="A152" s="322" t="s">
        <v>634</v>
      </c>
      <c r="B152" s="335"/>
      <c r="C152" s="336">
        <v>0</v>
      </c>
      <c r="D152" s="329" t="s">
        <v>797</v>
      </c>
      <c r="E152" s="338">
        <v>0</v>
      </c>
    </row>
    <row r="153" spans="1:5" ht="30" customHeight="1" x14ac:dyDescent="0.2">
      <c r="A153" s="322" t="s">
        <v>635</v>
      </c>
      <c r="B153" s="335"/>
      <c r="C153" s="336">
        <v>0</v>
      </c>
      <c r="D153" s="329" t="s">
        <v>797</v>
      </c>
      <c r="E153" s="338">
        <v>0</v>
      </c>
    </row>
    <row r="154" spans="1:5" ht="30" customHeight="1" x14ac:dyDescent="0.2">
      <c r="A154" s="322" t="s">
        <v>636</v>
      </c>
      <c r="B154" s="335"/>
      <c r="C154" s="336">
        <v>0</v>
      </c>
      <c r="D154" s="329" t="s">
        <v>797</v>
      </c>
      <c r="E154" s="338">
        <v>0</v>
      </c>
    </row>
    <row r="155" spans="1:5" ht="30" customHeight="1" x14ac:dyDescent="0.2">
      <c r="A155" s="322" t="s">
        <v>637</v>
      </c>
      <c r="B155" s="335"/>
      <c r="C155" s="336">
        <v>0</v>
      </c>
      <c r="D155" s="329" t="s">
        <v>797</v>
      </c>
      <c r="E155" s="338">
        <v>0</v>
      </c>
    </row>
    <row r="156" spans="1:5" ht="30" customHeight="1" x14ac:dyDescent="0.2">
      <c r="A156" s="322" t="s">
        <v>638</v>
      </c>
      <c r="B156" s="335"/>
      <c r="C156" s="336">
        <v>0</v>
      </c>
      <c r="D156" s="329" t="s">
        <v>797</v>
      </c>
      <c r="E156" s="338">
        <v>0</v>
      </c>
    </row>
    <row r="157" spans="1:5" ht="30" customHeight="1" x14ac:dyDescent="0.2">
      <c r="A157" s="322" t="s">
        <v>639</v>
      </c>
      <c r="B157" s="335"/>
      <c r="C157" s="336">
        <v>0</v>
      </c>
      <c r="D157" s="329" t="s">
        <v>797</v>
      </c>
      <c r="E157" s="338">
        <v>0</v>
      </c>
    </row>
    <row r="158" spans="1:5" ht="30" customHeight="1" x14ac:dyDescent="0.2">
      <c r="A158" s="322" t="s">
        <v>640</v>
      </c>
      <c r="B158" s="335"/>
      <c r="C158" s="336">
        <v>0</v>
      </c>
      <c r="D158" s="329" t="s">
        <v>797</v>
      </c>
      <c r="E158" s="338">
        <v>0</v>
      </c>
    </row>
    <row r="159" spans="1:5" ht="30" customHeight="1" x14ac:dyDescent="0.2">
      <c r="A159" s="322" t="s">
        <v>641</v>
      </c>
      <c r="B159" s="335"/>
      <c r="C159" s="336">
        <v>0</v>
      </c>
      <c r="D159" s="329" t="s">
        <v>797</v>
      </c>
      <c r="E159" s="338">
        <v>0</v>
      </c>
    </row>
    <row r="160" spans="1:5" ht="30" customHeight="1" x14ac:dyDescent="0.2">
      <c r="A160" s="322" t="s">
        <v>642</v>
      </c>
      <c r="B160" s="335"/>
      <c r="C160" s="336">
        <v>0</v>
      </c>
      <c r="D160" s="329" t="s">
        <v>797</v>
      </c>
      <c r="E160" s="338">
        <v>0</v>
      </c>
    </row>
    <row r="161" spans="1:5" ht="30" customHeight="1" x14ac:dyDescent="0.2">
      <c r="A161" s="322" t="s">
        <v>643</v>
      </c>
      <c r="B161" s="335"/>
      <c r="C161" s="336">
        <v>0</v>
      </c>
      <c r="D161" s="329" t="s">
        <v>797</v>
      </c>
      <c r="E161" s="338">
        <v>0</v>
      </c>
    </row>
    <row r="162" spans="1:5" ht="30" customHeight="1" x14ac:dyDescent="0.2">
      <c r="A162" s="322" t="s">
        <v>644</v>
      </c>
      <c r="B162" s="335" t="s">
        <v>797</v>
      </c>
      <c r="C162" s="336">
        <v>0</v>
      </c>
      <c r="D162" s="329" t="s">
        <v>797</v>
      </c>
      <c r="E162" s="338">
        <v>0</v>
      </c>
    </row>
    <row r="163" spans="1:5" ht="30" customHeight="1" x14ac:dyDescent="0.2">
      <c r="A163" s="1" t="s">
        <v>722</v>
      </c>
    </row>
    <row r="164" spans="1:5" ht="30" customHeight="1" x14ac:dyDescent="0.2">
      <c r="A164" s="1" t="s">
        <v>723</v>
      </c>
    </row>
  </sheetData>
  <mergeCells count="2">
    <mergeCell ref="B1:C1"/>
    <mergeCell ref="A2:E2"/>
  </mergeCells>
  <hyperlinks>
    <hyperlink ref="A1" location="Overview!A1" display="Back to Overview" xr:uid="{E5EFF542-0BCD-4B54-9011-3E5B8CA30F8A}"/>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0D12-1277-4A0C-8EBD-D735EF3F4664}">
  <dimension ref="A1:F165"/>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NPG Yorkshire Area (GSP Group_M)"</f>
        <v>Leep Electricity Networks Limited - Effective from 1 April 2027 - Final Supplier of Last Resort and Eligible Bad Debt Pass-Through Costs in NPG Yorkshire Area (GSP Group_M)</v>
      </c>
      <c r="B2" s="526"/>
      <c r="C2" s="526"/>
      <c r="D2" s="526"/>
      <c r="E2" s="527"/>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802</v>
      </c>
      <c r="D5" s="328">
        <v>0</v>
      </c>
      <c r="E5" s="345">
        <v>2.4957662542059021E-4</v>
      </c>
    </row>
    <row r="6" spans="1:6" ht="27" customHeight="1" x14ac:dyDescent="0.2">
      <c r="A6" s="10" t="s">
        <v>675</v>
      </c>
      <c r="B6" s="27"/>
      <c r="C6" s="311" t="s">
        <v>803</v>
      </c>
      <c r="D6" s="329">
        <v>0</v>
      </c>
      <c r="E6" s="345">
        <v>2.4957662542059021E-4</v>
      </c>
    </row>
    <row r="7" spans="1:6" ht="27" customHeight="1" x14ac:dyDescent="0.2">
      <c r="A7" s="10" t="s">
        <v>676</v>
      </c>
      <c r="B7" s="27"/>
      <c r="C7" s="311" t="s">
        <v>803</v>
      </c>
      <c r="D7" s="329">
        <v>0</v>
      </c>
      <c r="E7" s="345">
        <v>2.4957662542059021E-4</v>
      </c>
    </row>
    <row r="8" spans="1:6" ht="27" customHeight="1" x14ac:dyDescent="0.2">
      <c r="A8" s="10" t="s">
        <v>677</v>
      </c>
      <c r="B8" s="27"/>
      <c r="C8" s="311" t="s">
        <v>803</v>
      </c>
      <c r="D8" s="329">
        <v>0</v>
      </c>
      <c r="E8" s="345">
        <v>2.4957662542059021E-4</v>
      </c>
    </row>
    <row r="9" spans="1:6" ht="27" customHeight="1" x14ac:dyDescent="0.2">
      <c r="A9" s="10" t="s">
        <v>678</v>
      </c>
      <c r="B9" s="27"/>
      <c r="C9" s="311" t="s">
        <v>803</v>
      </c>
      <c r="D9" s="329">
        <v>0</v>
      </c>
      <c r="E9" s="345">
        <v>2.4957662542059021E-4</v>
      </c>
    </row>
    <row r="10" spans="1:6" ht="27" customHeight="1" x14ac:dyDescent="0.2">
      <c r="A10" s="10" t="s">
        <v>679</v>
      </c>
      <c r="B10" s="27"/>
      <c r="C10" s="311" t="s">
        <v>803</v>
      </c>
      <c r="D10" s="329">
        <v>0</v>
      </c>
      <c r="E10" s="345">
        <v>2.4957662542059021E-4</v>
      </c>
    </row>
    <row r="11" spans="1:6" ht="27" customHeight="1" x14ac:dyDescent="0.2">
      <c r="A11" s="10" t="s">
        <v>496</v>
      </c>
      <c r="B11" s="27"/>
      <c r="C11" s="311">
        <v>0</v>
      </c>
      <c r="D11" s="329">
        <v>0</v>
      </c>
      <c r="E11" s="345">
        <v>2.4957662542059021E-4</v>
      </c>
    </row>
    <row r="12" spans="1:6" ht="27" customHeight="1" x14ac:dyDescent="0.2">
      <c r="A12" s="322" t="s">
        <v>497</v>
      </c>
      <c r="B12" s="27"/>
      <c r="C12" s="311">
        <v>0</v>
      </c>
      <c r="D12" s="329">
        <v>0</v>
      </c>
      <c r="E12" s="345">
        <v>2.4957662542059021E-4</v>
      </c>
    </row>
    <row r="13" spans="1:6" ht="27" customHeight="1" x14ac:dyDescent="0.2">
      <c r="A13" s="322" t="s">
        <v>498</v>
      </c>
      <c r="B13" s="27"/>
      <c r="C13" s="311">
        <v>0</v>
      </c>
      <c r="D13" s="329">
        <v>0</v>
      </c>
      <c r="E13" s="345">
        <v>2.4957662542059021E-4</v>
      </c>
    </row>
    <row r="14" spans="1:6" ht="27.75" customHeight="1" x14ac:dyDescent="0.2">
      <c r="A14" s="322" t="s">
        <v>499</v>
      </c>
      <c r="B14" s="27"/>
      <c r="C14" s="311">
        <v>0</v>
      </c>
      <c r="D14" s="329">
        <v>0</v>
      </c>
      <c r="E14" s="345">
        <v>2.4957662542059021E-4</v>
      </c>
    </row>
    <row r="15" spans="1:6" ht="27.75" customHeight="1" x14ac:dyDescent="0.2">
      <c r="A15" s="323" t="s">
        <v>500</v>
      </c>
      <c r="B15" s="27"/>
      <c r="C15" s="311">
        <v>0</v>
      </c>
      <c r="D15" s="329">
        <v>0</v>
      </c>
      <c r="E15" s="345">
        <v>2.4957662542059021E-4</v>
      </c>
    </row>
    <row r="16" spans="1:6" ht="27.75" customHeight="1" x14ac:dyDescent="0.2">
      <c r="A16" s="323" t="s">
        <v>501</v>
      </c>
      <c r="B16" s="27"/>
      <c r="C16" s="311">
        <v>0</v>
      </c>
      <c r="D16" s="329">
        <v>0</v>
      </c>
      <c r="E16" s="345">
        <v>2.4957662542059021E-4</v>
      </c>
    </row>
    <row r="17" spans="1:5" ht="27.75" customHeight="1" x14ac:dyDescent="0.2">
      <c r="A17" s="323" t="s">
        <v>502</v>
      </c>
      <c r="B17" s="27"/>
      <c r="C17" s="311">
        <v>0</v>
      </c>
      <c r="D17" s="329">
        <v>0</v>
      </c>
      <c r="E17" s="345">
        <v>2.4957662542059021E-4</v>
      </c>
    </row>
    <row r="18" spans="1:5" ht="27.75" customHeight="1" x14ac:dyDescent="0.2">
      <c r="A18" s="323" t="s">
        <v>503</v>
      </c>
      <c r="B18" s="27"/>
      <c r="C18" s="311">
        <v>0</v>
      </c>
      <c r="D18" s="329">
        <v>0</v>
      </c>
      <c r="E18" s="345">
        <v>2.4957662542059021E-4</v>
      </c>
    </row>
    <row r="19" spans="1:5" ht="27.75" customHeight="1" x14ac:dyDescent="0.2">
      <c r="A19" s="323" t="s">
        <v>504</v>
      </c>
      <c r="B19" s="27"/>
      <c r="C19" s="311">
        <v>0</v>
      </c>
      <c r="D19" s="329">
        <v>0</v>
      </c>
      <c r="E19" s="345">
        <v>2.4957662542059021E-4</v>
      </c>
    </row>
    <row r="20" spans="1:5" ht="27.75" customHeight="1" x14ac:dyDescent="0.2">
      <c r="A20" s="323" t="s">
        <v>505</v>
      </c>
      <c r="B20" s="27"/>
      <c r="C20" s="311">
        <v>0</v>
      </c>
      <c r="D20" s="329">
        <v>0</v>
      </c>
      <c r="E20" s="345">
        <v>2.4957662542059021E-4</v>
      </c>
    </row>
    <row r="21" spans="1:5" ht="27.75" customHeight="1" x14ac:dyDescent="0.2">
      <c r="A21" s="323" t="s">
        <v>506</v>
      </c>
      <c r="B21" s="27"/>
      <c r="C21" s="311">
        <v>0</v>
      </c>
      <c r="D21" s="329">
        <v>0</v>
      </c>
      <c r="E21" s="345">
        <v>2.4957662542059021E-4</v>
      </c>
    </row>
    <row r="22" spans="1:5" ht="27.75" customHeight="1" x14ac:dyDescent="0.2">
      <c r="A22" s="323" t="s">
        <v>507</v>
      </c>
      <c r="B22" s="27"/>
      <c r="C22" s="311">
        <v>0</v>
      </c>
      <c r="D22" s="329">
        <v>0</v>
      </c>
      <c r="E22" s="345">
        <v>2.4957662542059021E-4</v>
      </c>
    </row>
    <row r="23" spans="1:5" ht="27.75" customHeight="1" x14ac:dyDescent="0.2">
      <c r="A23" s="322" t="s">
        <v>508</v>
      </c>
      <c r="B23" s="27"/>
      <c r="C23" s="311">
        <v>0</v>
      </c>
      <c r="D23" s="329">
        <v>0</v>
      </c>
      <c r="E23" s="345">
        <v>2.4957662542059021E-4</v>
      </c>
    </row>
    <row r="24" spans="1:5" ht="27.75" customHeight="1" x14ac:dyDescent="0.2">
      <c r="A24" s="322" t="s">
        <v>509</v>
      </c>
      <c r="B24" s="27"/>
      <c r="C24" s="311">
        <v>0</v>
      </c>
      <c r="D24" s="329">
        <v>0</v>
      </c>
      <c r="E24" s="345">
        <v>2.4957662542059021E-4</v>
      </c>
    </row>
    <row r="25" spans="1:5" ht="27.75" customHeight="1" x14ac:dyDescent="0.2">
      <c r="A25" s="322" t="s">
        <v>510</v>
      </c>
      <c r="B25" s="27"/>
      <c r="C25" s="311">
        <v>0</v>
      </c>
      <c r="D25" s="329">
        <v>0</v>
      </c>
      <c r="E25" s="345">
        <v>2.4957662542059021E-4</v>
      </c>
    </row>
    <row r="26" spans="1:5" ht="27.75" customHeight="1" x14ac:dyDescent="0.2">
      <c r="A26" s="322" t="s">
        <v>680</v>
      </c>
      <c r="B26" s="27" t="s">
        <v>1844</v>
      </c>
      <c r="C26" s="311" t="s">
        <v>802</v>
      </c>
      <c r="D26" s="328">
        <v>0</v>
      </c>
      <c r="E26" s="345">
        <v>2.4957662542059021E-4</v>
      </c>
    </row>
    <row r="27" spans="1:5" ht="27.75" customHeight="1" x14ac:dyDescent="0.2">
      <c r="A27" s="322" t="s">
        <v>687</v>
      </c>
      <c r="B27" s="27" t="s">
        <v>1845</v>
      </c>
      <c r="C27" s="311" t="s">
        <v>803</v>
      </c>
      <c r="D27" s="329">
        <v>0</v>
      </c>
      <c r="E27" s="345">
        <v>2.4957662542059021E-4</v>
      </c>
    </row>
    <row r="28" spans="1:5" ht="27.75" customHeight="1" x14ac:dyDescent="0.2">
      <c r="A28" s="322" t="s">
        <v>694</v>
      </c>
      <c r="B28" s="27" t="s">
        <v>1846</v>
      </c>
      <c r="C28" s="311" t="s">
        <v>803</v>
      </c>
      <c r="D28" s="329">
        <v>0</v>
      </c>
      <c r="E28" s="345">
        <v>2.4957662542059021E-4</v>
      </c>
    </row>
    <row r="29" spans="1:5" ht="27.75" customHeight="1" x14ac:dyDescent="0.2">
      <c r="A29" s="322" t="s">
        <v>701</v>
      </c>
      <c r="B29" s="27" t="s">
        <v>1847</v>
      </c>
      <c r="C29" s="311" t="s">
        <v>803</v>
      </c>
      <c r="D29" s="329">
        <v>0</v>
      </c>
      <c r="E29" s="345">
        <v>2.4957662542059021E-4</v>
      </c>
    </row>
    <row r="30" spans="1:5" ht="27.75" customHeight="1" x14ac:dyDescent="0.2">
      <c r="A30" s="322" t="s">
        <v>708</v>
      </c>
      <c r="B30" s="27" t="s">
        <v>1848</v>
      </c>
      <c r="C30" s="311" t="s">
        <v>803</v>
      </c>
      <c r="D30" s="329">
        <v>0</v>
      </c>
      <c r="E30" s="345">
        <v>2.4957662542059021E-4</v>
      </c>
    </row>
    <row r="31" spans="1:5" ht="27.75" customHeight="1" x14ac:dyDescent="0.2">
      <c r="A31" s="322" t="s">
        <v>715</v>
      </c>
      <c r="B31" s="27" t="s">
        <v>1849</v>
      </c>
      <c r="C31" s="311" t="s">
        <v>803</v>
      </c>
      <c r="D31" s="329">
        <v>0</v>
      </c>
      <c r="E31" s="345">
        <v>2.4957662542059021E-4</v>
      </c>
    </row>
    <row r="32" spans="1:5" ht="27.75" customHeight="1" x14ac:dyDescent="0.2">
      <c r="A32" s="322" t="s">
        <v>544</v>
      </c>
      <c r="B32" s="27" t="s">
        <v>797</v>
      </c>
      <c r="C32" s="311">
        <v>0</v>
      </c>
      <c r="D32" s="329">
        <v>0</v>
      </c>
      <c r="E32" s="345">
        <v>2.4957662542059021E-4</v>
      </c>
    </row>
    <row r="33" spans="1:5" ht="27.75" customHeight="1" x14ac:dyDescent="0.2">
      <c r="A33" s="322" t="s">
        <v>545</v>
      </c>
      <c r="B33" s="27" t="s">
        <v>1850</v>
      </c>
      <c r="C33" s="311">
        <v>0</v>
      </c>
      <c r="D33" s="329">
        <v>0</v>
      </c>
      <c r="E33" s="345">
        <v>2.4957662542059021E-4</v>
      </c>
    </row>
    <row r="34" spans="1:5" ht="27.75" customHeight="1" x14ac:dyDescent="0.2">
      <c r="A34" s="322" t="s">
        <v>546</v>
      </c>
      <c r="B34" s="27" t="s">
        <v>1851</v>
      </c>
      <c r="C34" s="311">
        <v>0</v>
      </c>
      <c r="D34" s="329">
        <v>0</v>
      </c>
      <c r="E34" s="345">
        <v>2.4957662542059021E-4</v>
      </c>
    </row>
    <row r="35" spans="1:5" ht="27.75" customHeight="1" x14ac:dyDescent="0.2">
      <c r="A35" s="322" t="s">
        <v>547</v>
      </c>
      <c r="B35" s="27" t="s">
        <v>1852</v>
      </c>
      <c r="C35" s="311">
        <v>0</v>
      </c>
      <c r="D35" s="329">
        <v>0</v>
      </c>
      <c r="E35" s="345">
        <v>2.4957662542059021E-4</v>
      </c>
    </row>
    <row r="36" spans="1:5" ht="27.75" customHeight="1" x14ac:dyDescent="0.2">
      <c r="A36" s="322" t="s">
        <v>548</v>
      </c>
      <c r="B36" s="27" t="s">
        <v>1853</v>
      </c>
      <c r="C36" s="311">
        <v>0</v>
      </c>
      <c r="D36" s="329">
        <v>0</v>
      </c>
      <c r="E36" s="345">
        <v>2.4957662542059021E-4</v>
      </c>
    </row>
    <row r="37" spans="1:5" ht="27.75" customHeight="1" x14ac:dyDescent="0.2">
      <c r="A37" s="323" t="s">
        <v>681</v>
      </c>
      <c r="B37" s="27" t="e">
        <v>#N/A</v>
      </c>
      <c r="C37" s="311" t="s">
        <v>802</v>
      </c>
      <c r="D37" s="328">
        <v>0</v>
      </c>
      <c r="E37" s="345">
        <v>2.4957662542059021E-4</v>
      </c>
    </row>
    <row r="38" spans="1:5" ht="27.75" customHeight="1" x14ac:dyDescent="0.2">
      <c r="A38" s="322" t="s">
        <v>688</v>
      </c>
      <c r="B38" s="27" t="s">
        <v>1854</v>
      </c>
      <c r="C38" s="311" t="s">
        <v>803</v>
      </c>
      <c r="D38" s="329">
        <v>0</v>
      </c>
      <c r="E38" s="345">
        <v>2.4957662542059021E-4</v>
      </c>
    </row>
    <row r="39" spans="1:5" ht="27.75" customHeight="1" x14ac:dyDescent="0.2">
      <c r="A39" s="322" t="s">
        <v>695</v>
      </c>
      <c r="B39" s="27" t="s">
        <v>1855</v>
      </c>
      <c r="C39" s="311" t="s">
        <v>803</v>
      </c>
      <c r="D39" s="329">
        <v>0</v>
      </c>
      <c r="E39" s="345">
        <v>2.4957662542059021E-4</v>
      </c>
    </row>
    <row r="40" spans="1:5" ht="27.75" customHeight="1" x14ac:dyDescent="0.2">
      <c r="A40" s="322" t="s">
        <v>702</v>
      </c>
      <c r="B40" s="27" t="s">
        <v>1856</v>
      </c>
      <c r="C40" s="311" t="s">
        <v>803</v>
      </c>
      <c r="D40" s="329">
        <v>0</v>
      </c>
      <c r="E40" s="345">
        <v>2.4957662542059021E-4</v>
      </c>
    </row>
    <row r="41" spans="1:5" ht="27.75" customHeight="1" x14ac:dyDescent="0.2">
      <c r="A41" s="322" t="s">
        <v>709</v>
      </c>
      <c r="B41" s="27" t="s">
        <v>1857</v>
      </c>
      <c r="C41" s="311" t="s">
        <v>803</v>
      </c>
      <c r="D41" s="329">
        <v>0</v>
      </c>
      <c r="E41" s="345">
        <v>2.4957662542059021E-4</v>
      </c>
    </row>
    <row r="42" spans="1:5" ht="27.75" customHeight="1" x14ac:dyDescent="0.2">
      <c r="A42" s="322" t="s">
        <v>716</v>
      </c>
      <c r="B42" s="27" t="s">
        <v>1858</v>
      </c>
      <c r="C42" s="311" t="s">
        <v>803</v>
      </c>
      <c r="D42" s="329">
        <v>0</v>
      </c>
      <c r="E42" s="345">
        <v>2.4957662542059021E-4</v>
      </c>
    </row>
    <row r="43" spans="1:5" ht="27.75" customHeight="1" x14ac:dyDescent="0.2">
      <c r="A43" s="322" t="s">
        <v>550</v>
      </c>
      <c r="B43" s="27" t="s">
        <v>797</v>
      </c>
      <c r="C43" s="311">
        <v>0</v>
      </c>
      <c r="D43" s="329">
        <v>0</v>
      </c>
      <c r="E43" s="345">
        <v>2.4957662542059021E-4</v>
      </c>
    </row>
    <row r="44" spans="1:5" ht="27.75" customHeight="1" x14ac:dyDescent="0.2">
      <c r="A44" s="322" t="s">
        <v>551</v>
      </c>
      <c r="B44" s="27" t="s">
        <v>1859</v>
      </c>
      <c r="C44" s="311">
        <v>0</v>
      </c>
      <c r="D44" s="329">
        <v>0</v>
      </c>
      <c r="E44" s="345">
        <v>2.4957662542059021E-4</v>
      </c>
    </row>
    <row r="45" spans="1:5" ht="27.75" customHeight="1" x14ac:dyDescent="0.2">
      <c r="A45" s="322" t="s">
        <v>552</v>
      </c>
      <c r="B45" s="27" t="s">
        <v>1860</v>
      </c>
      <c r="C45" s="311">
        <v>0</v>
      </c>
      <c r="D45" s="329">
        <v>0</v>
      </c>
      <c r="E45" s="345">
        <v>2.4957662542059021E-4</v>
      </c>
    </row>
    <row r="46" spans="1:5" ht="27.75" customHeight="1" x14ac:dyDescent="0.2">
      <c r="A46" s="322" t="s">
        <v>553</v>
      </c>
      <c r="B46" s="27" t="s">
        <v>1861</v>
      </c>
      <c r="C46" s="311">
        <v>0</v>
      </c>
      <c r="D46" s="329">
        <v>0</v>
      </c>
      <c r="E46" s="345">
        <v>2.4957662542059021E-4</v>
      </c>
    </row>
    <row r="47" spans="1:5" ht="27.75" customHeight="1" x14ac:dyDescent="0.2">
      <c r="A47" s="322" t="s">
        <v>554</v>
      </c>
      <c r="B47" s="27" t="s">
        <v>1862</v>
      </c>
      <c r="C47" s="311">
        <v>0</v>
      </c>
      <c r="D47" s="329">
        <v>0</v>
      </c>
      <c r="E47" s="345">
        <v>2.4957662542059021E-4</v>
      </c>
    </row>
    <row r="48" spans="1:5" ht="27.75" customHeight="1" x14ac:dyDescent="0.2">
      <c r="A48" s="322" t="s">
        <v>555</v>
      </c>
      <c r="B48" s="27" t="s">
        <v>797</v>
      </c>
      <c r="C48" s="311">
        <v>0</v>
      </c>
      <c r="D48" s="329">
        <v>0</v>
      </c>
      <c r="E48" s="345">
        <v>2.4957662542059021E-4</v>
      </c>
    </row>
    <row r="49" spans="1:5" ht="27.75" customHeight="1" x14ac:dyDescent="0.2">
      <c r="A49" s="322" t="s">
        <v>556</v>
      </c>
      <c r="B49" s="27" t="s">
        <v>1863</v>
      </c>
      <c r="C49" s="311">
        <v>0</v>
      </c>
      <c r="D49" s="329">
        <v>0</v>
      </c>
      <c r="E49" s="345">
        <v>2.4957662542059021E-4</v>
      </c>
    </row>
    <row r="50" spans="1:5" ht="27.75" customHeight="1" x14ac:dyDescent="0.2">
      <c r="A50" s="322" t="s">
        <v>557</v>
      </c>
      <c r="B50" s="27" t="s">
        <v>1864</v>
      </c>
      <c r="C50" s="311">
        <v>0</v>
      </c>
      <c r="D50" s="329">
        <v>0</v>
      </c>
      <c r="E50" s="345">
        <v>2.4957662542059021E-4</v>
      </c>
    </row>
    <row r="51" spans="1:5" ht="27.75" customHeight="1" x14ac:dyDescent="0.2">
      <c r="A51" s="322" t="s">
        <v>558</v>
      </c>
      <c r="B51" s="27" t="s">
        <v>1865</v>
      </c>
      <c r="C51" s="311">
        <v>0</v>
      </c>
      <c r="D51" s="329">
        <v>0</v>
      </c>
      <c r="E51" s="345">
        <v>2.4957662542059021E-4</v>
      </c>
    </row>
    <row r="52" spans="1:5" ht="27.75" customHeight="1" x14ac:dyDescent="0.2">
      <c r="A52" s="322" t="s">
        <v>559</v>
      </c>
      <c r="B52" s="27" t="s">
        <v>1866</v>
      </c>
      <c r="C52" s="311">
        <v>0</v>
      </c>
      <c r="D52" s="329">
        <v>0</v>
      </c>
      <c r="E52" s="345">
        <v>2.4957662542059021E-4</v>
      </c>
    </row>
    <row r="53" spans="1:5" ht="27.75" customHeight="1" x14ac:dyDescent="0.2">
      <c r="A53" s="322" t="s">
        <v>560</v>
      </c>
      <c r="B53" s="27" t="s">
        <v>797</v>
      </c>
      <c r="C53" s="311">
        <v>0</v>
      </c>
      <c r="D53" s="329">
        <v>0</v>
      </c>
      <c r="E53" s="345">
        <v>2.4957662542059021E-4</v>
      </c>
    </row>
    <row r="54" spans="1:5" ht="27.75" customHeight="1" x14ac:dyDescent="0.2">
      <c r="A54" s="322" t="s">
        <v>561</v>
      </c>
      <c r="B54" s="27" t="s">
        <v>1867</v>
      </c>
      <c r="C54" s="311">
        <v>0</v>
      </c>
      <c r="D54" s="329">
        <v>0</v>
      </c>
      <c r="E54" s="345">
        <v>2.4957662542059021E-4</v>
      </c>
    </row>
    <row r="55" spans="1:5" ht="27.75" customHeight="1" x14ac:dyDescent="0.2">
      <c r="A55" s="322" t="s">
        <v>562</v>
      </c>
      <c r="B55" s="27" t="s">
        <v>1868</v>
      </c>
      <c r="C55" s="311">
        <v>0</v>
      </c>
      <c r="D55" s="329">
        <v>0</v>
      </c>
      <c r="E55" s="345">
        <v>2.4957662542059021E-4</v>
      </c>
    </row>
    <row r="56" spans="1:5" ht="27.75" customHeight="1" x14ac:dyDescent="0.2">
      <c r="A56" s="322" t="s">
        <v>563</v>
      </c>
      <c r="B56" s="27" t="s">
        <v>1869</v>
      </c>
      <c r="C56" s="311">
        <v>0</v>
      </c>
      <c r="D56" s="329">
        <v>0</v>
      </c>
      <c r="E56" s="345">
        <v>2.4957662542059021E-4</v>
      </c>
    </row>
    <row r="57" spans="1:5" ht="27.75" customHeight="1" x14ac:dyDescent="0.2">
      <c r="A57" s="322" t="s">
        <v>564</v>
      </c>
      <c r="B57" s="27" t="s">
        <v>1870</v>
      </c>
      <c r="C57" s="311">
        <v>0</v>
      </c>
      <c r="D57" s="329">
        <v>0</v>
      </c>
      <c r="E57" s="345">
        <v>2.4957662542059021E-4</v>
      </c>
    </row>
    <row r="58" spans="1:5" ht="27.75" customHeight="1" x14ac:dyDescent="0.2">
      <c r="A58" s="322" t="s">
        <v>682</v>
      </c>
      <c r="B58" s="27" t="e">
        <v>#N/A</v>
      </c>
      <c r="C58" s="311" t="s">
        <v>802</v>
      </c>
      <c r="D58" s="328">
        <v>0</v>
      </c>
      <c r="E58" s="345">
        <v>2.4957662542059021E-4</v>
      </c>
    </row>
    <row r="59" spans="1:5" ht="27.75" customHeight="1" x14ac:dyDescent="0.2">
      <c r="A59" s="322" t="s">
        <v>689</v>
      </c>
      <c r="B59" s="27" t="s">
        <v>1871</v>
      </c>
      <c r="C59" s="311" t="s">
        <v>803</v>
      </c>
      <c r="D59" s="329">
        <v>0</v>
      </c>
      <c r="E59" s="345">
        <v>2.4957662542059021E-4</v>
      </c>
    </row>
    <row r="60" spans="1:5" ht="27.75" customHeight="1" x14ac:dyDescent="0.2">
      <c r="A60" s="322" t="s">
        <v>696</v>
      </c>
      <c r="B60" s="27" t="s">
        <v>1872</v>
      </c>
      <c r="C60" s="311" t="s">
        <v>803</v>
      </c>
      <c r="D60" s="329">
        <v>0</v>
      </c>
      <c r="E60" s="345">
        <v>2.4957662542059021E-4</v>
      </c>
    </row>
    <row r="61" spans="1:5" ht="27.75" customHeight="1" x14ac:dyDescent="0.2">
      <c r="A61" s="322" t="s">
        <v>703</v>
      </c>
      <c r="B61" s="27" t="s">
        <v>1873</v>
      </c>
      <c r="C61" s="311" t="s">
        <v>803</v>
      </c>
      <c r="D61" s="329">
        <v>0</v>
      </c>
      <c r="E61" s="345">
        <v>2.4957662542059021E-4</v>
      </c>
    </row>
    <row r="62" spans="1:5" ht="27.75" customHeight="1" x14ac:dyDescent="0.2">
      <c r="A62" s="322" t="s">
        <v>710</v>
      </c>
      <c r="B62" s="27" t="s">
        <v>1874</v>
      </c>
      <c r="C62" s="311" t="s">
        <v>803</v>
      </c>
      <c r="D62" s="329">
        <v>0</v>
      </c>
      <c r="E62" s="345">
        <v>2.4957662542059021E-4</v>
      </c>
    </row>
    <row r="63" spans="1:5" ht="27.75" customHeight="1" x14ac:dyDescent="0.2">
      <c r="A63" s="322" t="s">
        <v>717</v>
      </c>
      <c r="B63" s="27" t="s">
        <v>1875</v>
      </c>
      <c r="C63" s="311" t="s">
        <v>803</v>
      </c>
      <c r="D63" s="329">
        <v>0</v>
      </c>
      <c r="E63" s="345">
        <v>2.4957662542059021E-4</v>
      </c>
    </row>
    <row r="64" spans="1:5" ht="27.75" customHeight="1" x14ac:dyDescent="0.2">
      <c r="A64" s="322" t="s">
        <v>566</v>
      </c>
      <c r="B64" s="27" t="s">
        <v>797</v>
      </c>
      <c r="C64" s="311">
        <v>0</v>
      </c>
      <c r="D64" s="329">
        <v>0</v>
      </c>
      <c r="E64" s="345">
        <v>2.4957662542059021E-4</v>
      </c>
    </row>
    <row r="65" spans="1:5" ht="27.75" customHeight="1" x14ac:dyDescent="0.2">
      <c r="A65" s="322" t="s">
        <v>567</v>
      </c>
      <c r="B65" s="27" t="s">
        <v>1876</v>
      </c>
      <c r="C65" s="311">
        <v>0</v>
      </c>
      <c r="D65" s="329">
        <v>0</v>
      </c>
      <c r="E65" s="345">
        <v>2.4957662542059021E-4</v>
      </c>
    </row>
    <row r="66" spans="1:5" ht="27.75" customHeight="1" x14ac:dyDescent="0.2">
      <c r="A66" s="322" t="s">
        <v>568</v>
      </c>
      <c r="B66" s="27" t="s">
        <v>1877</v>
      </c>
      <c r="C66" s="311">
        <v>0</v>
      </c>
      <c r="D66" s="329">
        <v>0</v>
      </c>
      <c r="E66" s="345">
        <v>2.4957662542059021E-4</v>
      </c>
    </row>
    <row r="67" spans="1:5" ht="27.75" customHeight="1" x14ac:dyDescent="0.2">
      <c r="A67" s="322" t="s">
        <v>569</v>
      </c>
      <c r="B67" s="27" t="s">
        <v>1878</v>
      </c>
      <c r="C67" s="311">
        <v>0</v>
      </c>
      <c r="D67" s="329">
        <v>0</v>
      </c>
      <c r="E67" s="345">
        <v>2.4957662542059021E-4</v>
      </c>
    </row>
    <row r="68" spans="1:5" ht="27.75" customHeight="1" x14ac:dyDescent="0.2">
      <c r="A68" s="322" t="s">
        <v>570</v>
      </c>
      <c r="B68" s="27" t="s">
        <v>1879</v>
      </c>
      <c r="C68" s="311">
        <v>0</v>
      </c>
      <c r="D68" s="329">
        <v>0</v>
      </c>
      <c r="E68" s="345">
        <v>2.4957662542059021E-4</v>
      </c>
    </row>
    <row r="69" spans="1:5" ht="27.75" customHeight="1" x14ac:dyDescent="0.2">
      <c r="A69" s="322" t="s">
        <v>571</v>
      </c>
      <c r="B69" s="27" t="s">
        <v>797</v>
      </c>
      <c r="C69" s="311">
        <v>0</v>
      </c>
      <c r="D69" s="329">
        <v>0</v>
      </c>
      <c r="E69" s="345">
        <v>2.4957662542059021E-4</v>
      </c>
    </row>
    <row r="70" spans="1:5" ht="27.75" customHeight="1" x14ac:dyDescent="0.2">
      <c r="A70" s="322" t="s">
        <v>572</v>
      </c>
      <c r="B70" s="27" t="s">
        <v>1880</v>
      </c>
      <c r="C70" s="311">
        <v>0</v>
      </c>
      <c r="D70" s="329">
        <v>0</v>
      </c>
      <c r="E70" s="345">
        <v>2.4957662542059021E-4</v>
      </c>
    </row>
    <row r="71" spans="1:5" ht="27.75" customHeight="1" x14ac:dyDescent="0.2">
      <c r="A71" s="322" t="s">
        <v>573</v>
      </c>
      <c r="B71" s="27" t="s">
        <v>1881</v>
      </c>
      <c r="C71" s="311">
        <v>0</v>
      </c>
      <c r="D71" s="329">
        <v>0</v>
      </c>
      <c r="E71" s="345">
        <v>2.4957662542059021E-4</v>
      </c>
    </row>
    <row r="72" spans="1:5" ht="27.75" customHeight="1" x14ac:dyDescent="0.2">
      <c r="A72" s="322" t="s">
        <v>574</v>
      </c>
      <c r="B72" s="27" t="s">
        <v>1882</v>
      </c>
      <c r="C72" s="311">
        <v>0</v>
      </c>
      <c r="D72" s="329">
        <v>0</v>
      </c>
      <c r="E72" s="345">
        <v>2.4957662542059021E-4</v>
      </c>
    </row>
    <row r="73" spans="1:5" ht="27.75" customHeight="1" x14ac:dyDescent="0.2">
      <c r="A73" s="322" t="s">
        <v>575</v>
      </c>
      <c r="B73" s="27" t="s">
        <v>1883</v>
      </c>
      <c r="C73" s="311">
        <v>0</v>
      </c>
      <c r="D73" s="329">
        <v>0</v>
      </c>
      <c r="E73" s="345">
        <v>2.4957662542059021E-4</v>
      </c>
    </row>
    <row r="74" spans="1:5" ht="27.75" customHeight="1" x14ac:dyDescent="0.2">
      <c r="A74" s="322" t="s">
        <v>576</v>
      </c>
      <c r="B74" s="27" t="s">
        <v>797</v>
      </c>
      <c r="C74" s="311">
        <v>0</v>
      </c>
      <c r="D74" s="329">
        <v>0</v>
      </c>
      <c r="E74" s="345">
        <v>2.4957662542059021E-4</v>
      </c>
    </row>
    <row r="75" spans="1:5" ht="27.75" customHeight="1" x14ac:dyDescent="0.2">
      <c r="A75" s="322" t="s">
        <v>577</v>
      </c>
      <c r="B75" s="27" t="s">
        <v>1884</v>
      </c>
      <c r="C75" s="311">
        <v>0</v>
      </c>
      <c r="D75" s="329">
        <v>0</v>
      </c>
      <c r="E75" s="345">
        <v>2.4957662542059021E-4</v>
      </c>
    </row>
    <row r="76" spans="1:5" ht="27.75" customHeight="1" x14ac:dyDescent="0.2">
      <c r="A76" s="322" t="s">
        <v>578</v>
      </c>
      <c r="B76" s="27" t="s">
        <v>1885</v>
      </c>
      <c r="C76" s="311">
        <v>0</v>
      </c>
      <c r="D76" s="329">
        <v>0</v>
      </c>
      <c r="E76" s="345">
        <v>2.4957662542059021E-4</v>
      </c>
    </row>
    <row r="77" spans="1:5" ht="27.75" customHeight="1" x14ac:dyDescent="0.2">
      <c r="A77" s="322" t="s">
        <v>579</v>
      </c>
      <c r="B77" s="27" t="s">
        <v>1886</v>
      </c>
      <c r="C77" s="311">
        <v>0</v>
      </c>
      <c r="D77" s="329">
        <v>0</v>
      </c>
      <c r="E77" s="345">
        <v>2.4957662542059021E-4</v>
      </c>
    </row>
    <row r="78" spans="1:5" ht="27.75" customHeight="1" x14ac:dyDescent="0.2">
      <c r="A78" s="322" t="s">
        <v>580</v>
      </c>
      <c r="B78" s="27" t="s">
        <v>1887</v>
      </c>
      <c r="C78" s="311">
        <v>0</v>
      </c>
      <c r="D78" s="329">
        <v>0</v>
      </c>
      <c r="E78" s="345">
        <v>2.4957662542059021E-4</v>
      </c>
    </row>
    <row r="79" spans="1:5" ht="27.75" customHeight="1" x14ac:dyDescent="0.2">
      <c r="A79" s="322" t="s">
        <v>683</v>
      </c>
      <c r="B79" s="27" t="e">
        <v>#N/A</v>
      </c>
      <c r="C79" s="311" t="s">
        <v>802</v>
      </c>
      <c r="D79" s="328">
        <v>0</v>
      </c>
      <c r="E79" s="345">
        <v>2.4957662542059021E-4</v>
      </c>
    </row>
    <row r="80" spans="1:5" ht="27.75" customHeight="1" x14ac:dyDescent="0.2">
      <c r="A80" s="322" t="s">
        <v>690</v>
      </c>
      <c r="B80" s="27" t="s">
        <v>1888</v>
      </c>
      <c r="C80" s="311" t="s">
        <v>803</v>
      </c>
      <c r="D80" s="329">
        <v>0</v>
      </c>
      <c r="E80" s="345">
        <v>2.4957662542059021E-4</v>
      </c>
    </row>
    <row r="81" spans="1:5" ht="27.75" customHeight="1" x14ac:dyDescent="0.2">
      <c r="A81" s="322" t="s">
        <v>697</v>
      </c>
      <c r="B81" s="27" t="s">
        <v>1889</v>
      </c>
      <c r="C81" s="311" t="s">
        <v>803</v>
      </c>
      <c r="D81" s="329">
        <v>0</v>
      </c>
      <c r="E81" s="345">
        <v>2.4957662542059021E-4</v>
      </c>
    </row>
    <row r="82" spans="1:5" ht="27.75" customHeight="1" x14ac:dyDescent="0.2">
      <c r="A82" s="322" t="s">
        <v>704</v>
      </c>
      <c r="B82" s="27" t="s">
        <v>1890</v>
      </c>
      <c r="C82" s="311" t="s">
        <v>803</v>
      </c>
      <c r="D82" s="329">
        <v>0</v>
      </c>
      <c r="E82" s="345">
        <v>2.4957662542059021E-4</v>
      </c>
    </row>
    <row r="83" spans="1:5" ht="27.75" customHeight="1" x14ac:dyDescent="0.2">
      <c r="A83" s="322" t="s">
        <v>711</v>
      </c>
      <c r="B83" s="27" t="s">
        <v>1891</v>
      </c>
      <c r="C83" s="311" t="s">
        <v>803</v>
      </c>
      <c r="D83" s="329">
        <v>0</v>
      </c>
      <c r="E83" s="345">
        <v>2.4957662542059021E-4</v>
      </c>
    </row>
    <row r="84" spans="1:5" ht="27.75" customHeight="1" x14ac:dyDescent="0.2">
      <c r="A84" s="322" t="s">
        <v>718</v>
      </c>
      <c r="B84" s="27" t="s">
        <v>1892</v>
      </c>
      <c r="C84" s="311" t="s">
        <v>803</v>
      </c>
      <c r="D84" s="329">
        <v>0</v>
      </c>
      <c r="E84" s="345">
        <v>2.4957662542059021E-4</v>
      </c>
    </row>
    <row r="85" spans="1:5" ht="27.75" customHeight="1" x14ac:dyDescent="0.2">
      <c r="A85" s="322" t="s">
        <v>582</v>
      </c>
      <c r="B85" s="27" t="s">
        <v>797</v>
      </c>
      <c r="C85" s="311">
        <v>0</v>
      </c>
      <c r="D85" s="329">
        <v>0</v>
      </c>
      <c r="E85" s="345">
        <v>2.4957662542059021E-4</v>
      </c>
    </row>
    <row r="86" spans="1:5" ht="27.75" customHeight="1" x14ac:dyDescent="0.2">
      <c r="A86" s="322" t="s">
        <v>583</v>
      </c>
      <c r="B86" s="27" t="s">
        <v>1893</v>
      </c>
      <c r="C86" s="311">
        <v>0</v>
      </c>
      <c r="D86" s="329">
        <v>0</v>
      </c>
      <c r="E86" s="345">
        <v>2.4957662542059021E-4</v>
      </c>
    </row>
    <row r="87" spans="1:5" ht="27.75" customHeight="1" x14ac:dyDescent="0.2">
      <c r="A87" s="322" t="s">
        <v>584</v>
      </c>
      <c r="B87" s="27" t="s">
        <v>1894</v>
      </c>
      <c r="C87" s="311">
        <v>0</v>
      </c>
      <c r="D87" s="329">
        <v>0</v>
      </c>
      <c r="E87" s="345">
        <v>2.4957662542059021E-4</v>
      </c>
    </row>
    <row r="88" spans="1:5" ht="27.75" customHeight="1" x14ac:dyDescent="0.2">
      <c r="A88" s="322" t="s">
        <v>585</v>
      </c>
      <c r="B88" s="27" t="s">
        <v>1895</v>
      </c>
      <c r="C88" s="311">
        <v>0</v>
      </c>
      <c r="D88" s="329">
        <v>0</v>
      </c>
      <c r="E88" s="345">
        <v>2.4957662542059021E-4</v>
      </c>
    </row>
    <row r="89" spans="1:5" ht="27.75" customHeight="1" x14ac:dyDescent="0.2">
      <c r="A89" s="322" t="s">
        <v>586</v>
      </c>
      <c r="B89" s="27" t="s">
        <v>1896</v>
      </c>
      <c r="C89" s="311">
        <v>0</v>
      </c>
      <c r="D89" s="329">
        <v>0</v>
      </c>
      <c r="E89" s="345">
        <v>2.4957662542059021E-4</v>
      </c>
    </row>
    <row r="90" spans="1:5" ht="27.75" customHeight="1" x14ac:dyDescent="0.2">
      <c r="A90" s="322" t="s">
        <v>587</v>
      </c>
      <c r="B90" s="27" t="s">
        <v>797</v>
      </c>
      <c r="C90" s="311">
        <v>0</v>
      </c>
      <c r="D90" s="329">
        <v>0</v>
      </c>
      <c r="E90" s="345">
        <v>2.4957662542059021E-4</v>
      </c>
    </row>
    <row r="91" spans="1:5" ht="27.75" customHeight="1" x14ac:dyDescent="0.2">
      <c r="A91" s="322" t="s">
        <v>588</v>
      </c>
      <c r="B91" s="27" t="s">
        <v>1897</v>
      </c>
      <c r="C91" s="311">
        <v>0</v>
      </c>
      <c r="D91" s="329">
        <v>0</v>
      </c>
      <c r="E91" s="345">
        <v>2.4957662542059021E-4</v>
      </c>
    </row>
    <row r="92" spans="1:5" ht="27.75" customHeight="1" x14ac:dyDescent="0.2">
      <c r="A92" s="322" t="s">
        <v>589</v>
      </c>
      <c r="B92" s="27" t="s">
        <v>1898</v>
      </c>
      <c r="C92" s="311">
        <v>0</v>
      </c>
      <c r="D92" s="329">
        <v>0</v>
      </c>
      <c r="E92" s="345">
        <v>2.4957662542059021E-4</v>
      </c>
    </row>
    <row r="93" spans="1:5" ht="27.75" customHeight="1" x14ac:dyDescent="0.2">
      <c r="A93" s="322" t="s">
        <v>590</v>
      </c>
      <c r="B93" s="27" t="s">
        <v>1899</v>
      </c>
      <c r="C93" s="311">
        <v>0</v>
      </c>
      <c r="D93" s="329">
        <v>0</v>
      </c>
      <c r="E93" s="345">
        <v>2.4957662542059021E-4</v>
      </c>
    </row>
    <row r="94" spans="1:5" ht="27.75" customHeight="1" x14ac:dyDescent="0.2">
      <c r="A94" s="322" t="s">
        <v>591</v>
      </c>
      <c r="B94" s="27" t="s">
        <v>1900</v>
      </c>
      <c r="C94" s="311">
        <v>0</v>
      </c>
      <c r="D94" s="329">
        <v>0</v>
      </c>
      <c r="E94" s="345">
        <v>2.4957662542059021E-4</v>
      </c>
    </row>
    <row r="95" spans="1:5" ht="27.75" customHeight="1" x14ac:dyDescent="0.2">
      <c r="A95" s="322" t="s">
        <v>592</v>
      </c>
      <c r="B95" s="27" t="s">
        <v>797</v>
      </c>
      <c r="C95" s="311">
        <v>0</v>
      </c>
      <c r="D95" s="329">
        <v>0</v>
      </c>
      <c r="E95" s="345">
        <v>2.4957662542059021E-4</v>
      </c>
    </row>
    <row r="96" spans="1:5" ht="27.75" customHeight="1" x14ac:dyDescent="0.2">
      <c r="A96" s="322" t="s">
        <v>593</v>
      </c>
      <c r="B96" s="27" t="s">
        <v>1901</v>
      </c>
      <c r="C96" s="311">
        <v>0</v>
      </c>
      <c r="D96" s="329">
        <v>0</v>
      </c>
      <c r="E96" s="345">
        <v>2.4957662542059021E-4</v>
      </c>
    </row>
    <row r="97" spans="1:5" ht="27.75" customHeight="1" x14ac:dyDescent="0.2">
      <c r="A97" s="322" t="s">
        <v>594</v>
      </c>
      <c r="B97" s="27" t="s">
        <v>1902</v>
      </c>
      <c r="C97" s="311">
        <v>0</v>
      </c>
      <c r="D97" s="329">
        <v>0</v>
      </c>
      <c r="E97" s="345">
        <v>2.4957662542059021E-4</v>
      </c>
    </row>
    <row r="98" spans="1:5" ht="27.75" customHeight="1" x14ac:dyDescent="0.2">
      <c r="A98" s="322" t="s">
        <v>595</v>
      </c>
      <c r="B98" s="27" t="s">
        <v>1903</v>
      </c>
      <c r="C98" s="311">
        <v>0</v>
      </c>
      <c r="D98" s="329">
        <v>0</v>
      </c>
      <c r="E98" s="345">
        <v>2.4957662542059021E-4</v>
      </c>
    </row>
    <row r="99" spans="1:5" ht="27.75" customHeight="1" x14ac:dyDescent="0.2">
      <c r="A99" s="322" t="s">
        <v>596</v>
      </c>
      <c r="B99" s="27"/>
      <c r="C99" s="311">
        <v>0</v>
      </c>
      <c r="D99" s="329">
        <v>0</v>
      </c>
      <c r="E99" s="345">
        <v>2.4957662542059021E-4</v>
      </c>
    </row>
    <row r="100" spans="1:5" ht="27.75" customHeight="1" x14ac:dyDescent="0.2">
      <c r="A100" s="322" t="s">
        <v>684</v>
      </c>
      <c r="B100" s="27"/>
      <c r="C100" s="311" t="s">
        <v>802</v>
      </c>
      <c r="D100" s="328">
        <v>0</v>
      </c>
      <c r="E100" s="345">
        <v>2.4957662542059021E-4</v>
      </c>
    </row>
    <row r="101" spans="1:5" ht="27.75" customHeight="1" x14ac:dyDescent="0.2">
      <c r="A101" s="322" t="s">
        <v>691</v>
      </c>
      <c r="B101" s="27"/>
      <c r="C101" s="311" t="s">
        <v>803</v>
      </c>
      <c r="D101" s="329">
        <v>0</v>
      </c>
      <c r="E101" s="345">
        <v>2.4957662542059021E-4</v>
      </c>
    </row>
    <row r="102" spans="1:5" ht="27.75" customHeight="1" x14ac:dyDescent="0.2">
      <c r="A102" s="322" t="s">
        <v>698</v>
      </c>
      <c r="B102" s="27"/>
      <c r="C102" s="311" t="s">
        <v>803</v>
      </c>
      <c r="D102" s="329">
        <v>0</v>
      </c>
      <c r="E102" s="345">
        <v>2.4957662542059021E-4</v>
      </c>
    </row>
    <row r="103" spans="1:5" ht="27.75" customHeight="1" x14ac:dyDescent="0.2">
      <c r="A103" s="322" t="s">
        <v>705</v>
      </c>
      <c r="B103" s="27"/>
      <c r="C103" s="311" t="s">
        <v>803</v>
      </c>
      <c r="D103" s="329">
        <v>0</v>
      </c>
      <c r="E103" s="345">
        <v>2.4957662542059021E-4</v>
      </c>
    </row>
    <row r="104" spans="1:5" ht="27.75" customHeight="1" x14ac:dyDescent="0.2">
      <c r="A104" s="322" t="s">
        <v>712</v>
      </c>
      <c r="B104" s="27"/>
      <c r="C104" s="311" t="s">
        <v>803</v>
      </c>
      <c r="D104" s="329">
        <v>0</v>
      </c>
      <c r="E104" s="345">
        <v>2.4957662542059021E-4</v>
      </c>
    </row>
    <row r="105" spans="1:5" ht="27.75" customHeight="1" x14ac:dyDescent="0.2">
      <c r="A105" s="322" t="s">
        <v>719</v>
      </c>
      <c r="B105" s="27"/>
      <c r="C105" s="311" t="s">
        <v>803</v>
      </c>
      <c r="D105" s="329">
        <v>0</v>
      </c>
      <c r="E105" s="345">
        <v>2.4957662542059021E-4</v>
      </c>
    </row>
    <row r="106" spans="1:5" ht="27.75" customHeight="1" x14ac:dyDescent="0.2">
      <c r="A106" s="322" t="s">
        <v>598</v>
      </c>
      <c r="B106" s="27"/>
      <c r="C106" s="311">
        <v>0</v>
      </c>
      <c r="D106" s="329">
        <v>0</v>
      </c>
      <c r="E106" s="345">
        <v>2.4957662542059021E-4</v>
      </c>
    </row>
    <row r="107" spans="1:5" ht="27.75" customHeight="1" x14ac:dyDescent="0.2">
      <c r="A107" s="322" t="s">
        <v>599</v>
      </c>
      <c r="B107" s="27"/>
      <c r="C107" s="311">
        <v>0</v>
      </c>
      <c r="D107" s="329">
        <v>0</v>
      </c>
      <c r="E107" s="345">
        <v>2.4957662542059021E-4</v>
      </c>
    </row>
    <row r="108" spans="1:5" ht="27.75" customHeight="1" x14ac:dyDescent="0.2">
      <c r="A108" s="322" t="s">
        <v>600</v>
      </c>
      <c r="B108" s="27"/>
      <c r="C108" s="311">
        <v>0</v>
      </c>
      <c r="D108" s="329">
        <v>0</v>
      </c>
      <c r="E108" s="345">
        <v>2.4957662542059021E-4</v>
      </c>
    </row>
    <row r="109" spans="1:5" ht="27.75" customHeight="1" x14ac:dyDescent="0.2">
      <c r="A109" s="322" t="s">
        <v>601</v>
      </c>
      <c r="B109" s="27"/>
      <c r="C109" s="311">
        <v>0</v>
      </c>
      <c r="D109" s="329">
        <v>0</v>
      </c>
      <c r="E109" s="345">
        <v>2.4957662542059021E-4</v>
      </c>
    </row>
    <row r="110" spans="1:5" ht="27.75" customHeight="1" x14ac:dyDescent="0.2">
      <c r="A110" s="322" t="s">
        <v>602</v>
      </c>
      <c r="B110" s="27"/>
      <c r="C110" s="311">
        <v>0</v>
      </c>
      <c r="D110" s="329">
        <v>0</v>
      </c>
      <c r="E110" s="345">
        <v>2.4957662542059021E-4</v>
      </c>
    </row>
    <row r="111" spans="1:5" ht="27.75" customHeight="1" x14ac:dyDescent="0.2">
      <c r="A111" s="322" t="s">
        <v>603</v>
      </c>
      <c r="B111" s="27"/>
      <c r="C111" s="311">
        <v>0</v>
      </c>
      <c r="D111" s="329">
        <v>0</v>
      </c>
      <c r="E111" s="345">
        <v>2.4957662542059021E-4</v>
      </c>
    </row>
    <row r="112" spans="1:5" ht="27.75" customHeight="1" x14ac:dyDescent="0.2">
      <c r="A112" s="322" t="s">
        <v>604</v>
      </c>
      <c r="B112" s="27"/>
      <c r="C112" s="311">
        <v>0</v>
      </c>
      <c r="D112" s="329">
        <v>0</v>
      </c>
      <c r="E112" s="345">
        <v>2.4957662542059021E-4</v>
      </c>
    </row>
    <row r="113" spans="1:5" ht="27.75" customHeight="1" x14ac:dyDescent="0.2">
      <c r="A113" s="322" t="s">
        <v>605</v>
      </c>
      <c r="B113" s="27"/>
      <c r="C113" s="311">
        <v>0</v>
      </c>
      <c r="D113" s="329">
        <v>0</v>
      </c>
      <c r="E113" s="345">
        <v>2.4957662542059021E-4</v>
      </c>
    </row>
    <row r="114" spans="1:5" ht="27.75" customHeight="1" x14ac:dyDescent="0.2">
      <c r="A114" s="322" t="s">
        <v>606</v>
      </c>
      <c r="B114" s="27"/>
      <c r="C114" s="311">
        <v>0</v>
      </c>
      <c r="D114" s="329">
        <v>0</v>
      </c>
      <c r="E114" s="345">
        <v>2.4957662542059021E-4</v>
      </c>
    </row>
    <row r="115" spans="1:5" ht="27.75" customHeight="1" x14ac:dyDescent="0.2">
      <c r="A115" s="322" t="s">
        <v>607</v>
      </c>
      <c r="B115" s="27"/>
      <c r="C115" s="311">
        <v>0</v>
      </c>
      <c r="D115" s="329">
        <v>0</v>
      </c>
      <c r="E115" s="345">
        <v>2.4957662542059021E-4</v>
      </c>
    </row>
    <row r="116" spans="1:5" ht="27.75" customHeight="1" x14ac:dyDescent="0.2">
      <c r="A116" s="322" t="s">
        <v>608</v>
      </c>
      <c r="B116" s="27"/>
      <c r="C116" s="311">
        <v>0</v>
      </c>
      <c r="D116" s="329">
        <v>0</v>
      </c>
      <c r="E116" s="345">
        <v>2.4957662542059021E-4</v>
      </c>
    </row>
    <row r="117" spans="1:5" ht="27.75" customHeight="1" x14ac:dyDescent="0.2">
      <c r="A117" s="322" t="s">
        <v>609</v>
      </c>
      <c r="B117" s="27"/>
      <c r="C117" s="311">
        <v>0</v>
      </c>
      <c r="D117" s="329">
        <v>0</v>
      </c>
      <c r="E117" s="345">
        <v>2.4957662542059021E-4</v>
      </c>
    </row>
    <row r="118" spans="1:5" ht="27.75" customHeight="1" x14ac:dyDescent="0.2">
      <c r="A118" s="322" t="s">
        <v>610</v>
      </c>
      <c r="B118" s="27"/>
      <c r="C118" s="311">
        <v>0</v>
      </c>
      <c r="D118" s="329">
        <v>0</v>
      </c>
      <c r="E118" s="345">
        <v>2.4957662542059021E-4</v>
      </c>
    </row>
    <row r="119" spans="1:5" ht="27.75" customHeight="1" x14ac:dyDescent="0.2">
      <c r="A119" s="322" t="s">
        <v>611</v>
      </c>
      <c r="B119" s="27"/>
      <c r="C119" s="311">
        <v>0</v>
      </c>
      <c r="D119" s="329">
        <v>0</v>
      </c>
      <c r="E119" s="345">
        <v>2.4957662542059021E-4</v>
      </c>
    </row>
    <row r="120" spans="1:5" ht="27.75" customHeight="1" x14ac:dyDescent="0.2">
      <c r="A120" s="322" t="s">
        <v>612</v>
      </c>
      <c r="B120" s="27"/>
      <c r="C120" s="311">
        <v>0</v>
      </c>
      <c r="D120" s="329">
        <v>0</v>
      </c>
      <c r="E120" s="345">
        <v>2.4957662542059021E-4</v>
      </c>
    </row>
    <row r="121" spans="1:5" ht="27.75" customHeight="1" x14ac:dyDescent="0.2">
      <c r="A121" s="322" t="s">
        <v>685</v>
      </c>
      <c r="B121" s="27"/>
      <c r="C121" s="311" t="s">
        <v>802</v>
      </c>
      <c r="D121" s="328">
        <v>0</v>
      </c>
      <c r="E121" s="345">
        <v>2.4957662542059021E-4</v>
      </c>
    </row>
    <row r="122" spans="1:5" ht="27.75" customHeight="1" x14ac:dyDescent="0.2">
      <c r="A122" s="322" t="s">
        <v>692</v>
      </c>
      <c r="B122" s="27"/>
      <c r="C122" s="311" t="s">
        <v>803</v>
      </c>
      <c r="D122" s="329">
        <v>0</v>
      </c>
      <c r="E122" s="345">
        <v>2.4957662542059021E-4</v>
      </c>
    </row>
    <row r="123" spans="1:5" ht="27.75" customHeight="1" x14ac:dyDescent="0.2">
      <c r="A123" s="322" t="s">
        <v>699</v>
      </c>
      <c r="B123" s="27"/>
      <c r="C123" s="311" t="s">
        <v>803</v>
      </c>
      <c r="D123" s="329">
        <v>0</v>
      </c>
      <c r="E123" s="345">
        <v>2.4957662542059021E-4</v>
      </c>
    </row>
    <row r="124" spans="1:5" ht="27.75" customHeight="1" x14ac:dyDescent="0.2">
      <c r="A124" s="322" t="s">
        <v>706</v>
      </c>
      <c r="B124" s="27"/>
      <c r="C124" s="311" t="s">
        <v>803</v>
      </c>
      <c r="D124" s="329">
        <v>0</v>
      </c>
      <c r="E124" s="345">
        <v>2.4957662542059021E-4</v>
      </c>
    </row>
    <row r="125" spans="1:5" ht="27.75" customHeight="1" x14ac:dyDescent="0.2">
      <c r="A125" s="322" t="s">
        <v>713</v>
      </c>
      <c r="B125" s="27"/>
      <c r="C125" s="311" t="s">
        <v>803</v>
      </c>
      <c r="D125" s="329">
        <v>0</v>
      </c>
      <c r="E125" s="345">
        <v>2.4957662542059021E-4</v>
      </c>
    </row>
    <row r="126" spans="1:5" ht="27.75" customHeight="1" x14ac:dyDescent="0.2">
      <c r="A126" s="322" t="s">
        <v>720</v>
      </c>
      <c r="B126" s="27"/>
      <c r="C126" s="311" t="s">
        <v>803</v>
      </c>
      <c r="D126" s="329">
        <v>0</v>
      </c>
      <c r="E126" s="345">
        <v>2.4957662542059021E-4</v>
      </c>
    </row>
    <row r="127" spans="1:5" ht="27.75" customHeight="1" x14ac:dyDescent="0.2">
      <c r="A127" s="322" t="s">
        <v>614</v>
      </c>
      <c r="B127" s="27"/>
      <c r="C127" s="311">
        <v>0</v>
      </c>
      <c r="D127" s="329">
        <v>0</v>
      </c>
      <c r="E127" s="345">
        <v>2.4957662542059021E-4</v>
      </c>
    </row>
    <row r="128" spans="1:5" ht="27.75" customHeight="1" x14ac:dyDescent="0.2">
      <c r="A128" s="322" t="s">
        <v>615</v>
      </c>
      <c r="B128" s="27"/>
      <c r="C128" s="311">
        <v>0</v>
      </c>
      <c r="D128" s="329">
        <v>0</v>
      </c>
      <c r="E128" s="345">
        <v>2.4957662542059021E-4</v>
      </c>
    </row>
    <row r="129" spans="1:5" ht="27.75" customHeight="1" x14ac:dyDescent="0.2">
      <c r="A129" s="322" t="s">
        <v>616</v>
      </c>
      <c r="B129" s="27"/>
      <c r="C129" s="311">
        <v>0</v>
      </c>
      <c r="D129" s="329">
        <v>0</v>
      </c>
      <c r="E129" s="345">
        <v>2.4957662542059021E-4</v>
      </c>
    </row>
    <row r="130" spans="1:5" ht="27.75" customHeight="1" x14ac:dyDescent="0.2">
      <c r="A130" s="322" t="s">
        <v>617</v>
      </c>
      <c r="B130" s="27"/>
      <c r="C130" s="311">
        <v>0</v>
      </c>
      <c r="D130" s="329">
        <v>0</v>
      </c>
      <c r="E130" s="345">
        <v>2.4957662542059021E-4</v>
      </c>
    </row>
    <row r="131" spans="1:5" ht="27.75" customHeight="1" x14ac:dyDescent="0.2">
      <c r="A131" s="322" t="s">
        <v>618</v>
      </c>
      <c r="B131" s="27"/>
      <c r="C131" s="311">
        <v>0</v>
      </c>
      <c r="D131" s="329">
        <v>0</v>
      </c>
      <c r="E131" s="345">
        <v>2.4957662542059021E-4</v>
      </c>
    </row>
    <row r="132" spans="1:5" ht="27.75" customHeight="1" x14ac:dyDescent="0.2">
      <c r="A132" s="322" t="s">
        <v>619</v>
      </c>
      <c r="B132" s="27"/>
      <c r="C132" s="311">
        <v>0</v>
      </c>
      <c r="D132" s="329">
        <v>0</v>
      </c>
      <c r="E132" s="345">
        <v>2.4957662542059021E-4</v>
      </c>
    </row>
    <row r="133" spans="1:5" ht="27.75" customHeight="1" x14ac:dyDescent="0.2">
      <c r="A133" s="322" t="s">
        <v>620</v>
      </c>
      <c r="B133" s="27"/>
      <c r="C133" s="311">
        <v>0</v>
      </c>
      <c r="D133" s="329">
        <v>0</v>
      </c>
      <c r="E133" s="345">
        <v>2.4957662542059021E-4</v>
      </c>
    </row>
    <row r="134" spans="1:5" ht="27.75" customHeight="1" x14ac:dyDescent="0.2">
      <c r="A134" s="322" t="s">
        <v>621</v>
      </c>
      <c r="B134" s="27"/>
      <c r="C134" s="311">
        <v>0</v>
      </c>
      <c r="D134" s="329">
        <v>0</v>
      </c>
      <c r="E134" s="345">
        <v>2.4957662542059021E-4</v>
      </c>
    </row>
    <row r="135" spans="1:5" ht="27.75" customHeight="1" x14ac:dyDescent="0.2">
      <c r="A135" s="322" t="s">
        <v>622</v>
      </c>
      <c r="B135" s="27"/>
      <c r="C135" s="311">
        <v>0</v>
      </c>
      <c r="D135" s="329">
        <v>0</v>
      </c>
      <c r="E135" s="345">
        <v>2.4957662542059021E-4</v>
      </c>
    </row>
    <row r="136" spans="1:5" ht="27.75" customHeight="1" x14ac:dyDescent="0.2">
      <c r="A136" s="322" t="s">
        <v>623</v>
      </c>
      <c r="B136" s="27"/>
      <c r="C136" s="311">
        <v>0</v>
      </c>
      <c r="D136" s="329">
        <v>0</v>
      </c>
      <c r="E136" s="345">
        <v>2.4957662542059021E-4</v>
      </c>
    </row>
    <row r="137" spans="1:5" ht="27.75" customHeight="1" x14ac:dyDescent="0.2">
      <c r="A137" s="322" t="s">
        <v>624</v>
      </c>
      <c r="B137" s="27"/>
      <c r="C137" s="311">
        <v>0</v>
      </c>
      <c r="D137" s="329">
        <v>0</v>
      </c>
      <c r="E137" s="345">
        <v>2.4957662542059021E-4</v>
      </c>
    </row>
    <row r="138" spans="1:5" ht="27.75" customHeight="1" x14ac:dyDescent="0.2">
      <c r="A138" s="322" t="s">
        <v>625</v>
      </c>
      <c r="B138" s="27"/>
      <c r="C138" s="311">
        <v>0</v>
      </c>
      <c r="D138" s="329">
        <v>0</v>
      </c>
      <c r="E138" s="345">
        <v>2.4957662542059021E-4</v>
      </c>
    </row>
    <row r="139" spans="1:5" ht="27.75" customHeight="1" x14ac:dyDescent="0.2">
      <c r="A139" s="322" t="s">
        <v>626</v>
      </c>
      <c r="B139" s="27"/>
      <c r="C139" s="311">
        <v>0</v>
      </c>
      <c r="D139" s="329">
        <v>0</v>
      </c>
      <c r="E139" s="345">
        <v>2.4957662542059021E-4</v>
      </c>
    </row>
    <row r="140" spans="1:5" ht="27.75" customHeight="1" x14ac:dyDescent="0.2">
      <c r="A140" s="322" t="s">
        <v>627</v>
      </c>
      <c r="B140" s="27"/>
      <c r="C140" s="311">
        <v>0</v>
      </c>
      <c r="D140" s="329">
        <v>0</v>
      </c>
      <c r="E140" s="345">
        <v>2.4957662542059021E-4</v>
      </c>
    </row>
    <row r="141" spans="1:5" ht="27.75" customHeight="1" x14ac:dyDescent="0.2">
      <c r="A141" s="322" t="s">
        <v>628</v>
      </c>
      <c r="B141" s="27"/>
      <c r="C141" s="311">
        <v>0</v>
      </c>
      <c r="D141" s="329">
        <v>0</v>
      </c>
      <c r="E141" s="345">
        <v>2.4957662542059021E-4</v>
      </c>
    </row>
    <row r="142" spans="1:5" ht="27.75" customHeight="1" x14ac:dyDescent="0.2">
      <c r="A142" s="322" t="s">
        <v>686</v>
      </c>
      <c r="B142" s="27"/>
      <c r="C142" s="311" t="s">
        <v>802</v>
      </c>
      <c r="D142" s="328">
        <v>0</v>
      </c>
      <c r="E142" s="345">
        <v>2.4957662542059021E-4</v>
      </c>
    </row>
    <row r="143" spans="1:5" ht="27.75" customHeight="1" x14ac:dyDescent="0.2">
      <c r="A143" s="322" t="s">
        <v>693</v>
      </c>
      <c r="B143" s="27"/>
      <c r="C143" s="311" t="s">
        <v>803</v>
      </c>
      <c r="D143" s="329">
        <v>0</v>
      </c>
      <c r="E143" s="345">
        <v>2.4957662542059021E-4</v>
      </c>
    </row>
    <row r="144" spans="1:5" ht="27.75" customHeight="1" x14ac:dyDescent="0.2">
      <c r="A144" s="322" t="s">
        <v>700</v>
      </c>
      <c r="B144" s="27"/>
      <c r="C144" s="311" t="s">
        <v>803</v>
      </c>
      <c r="D144" s="329">
        <v>0</v>
      </c>
      <c r="E144" s="345">
        <v>2.4957662542059021E-4</v>
      </c>
    </row>
    <row r="145" spans="1:5" ht="27.75" customHeight="1" x14ac:dyDescent="0.2">
      <c r="A145" s="322" t="s">
        <v>707</v>
      </c>
      <c r="B145" s="27"/>
      <c r="C145" s="311" t="s">
        <v>803</v>
      </c>
      <c r="D145" s="329">
        <v>0</v>
      </c>
      <c r="E145" s="345">
        <v>2.4957662542059021E-4</v>
      </c>
    </row>
    <row r="146" spans="1:5" ht="27.75" customHeight="1" x14ac:dyDescent="0.2">
      <c r="A146" s="322" t="s">
        <v>714</v>
      </c>
      <c r="B146" s="27"/>
      <c r="C146" s="311" t="s">
        <v>803</v>
      </c>
      <c r="D146" s="329">
        <v>0</v>
      </c>
      <c r="E146" s="345">
        <v>2.4957662542059021E-4</v>
      </c>
    </row>
    <row r="147" spans="1:5" ht="27.75" customHeight="1" x14ac:dyDescent="0.2">
      <c r="A147" s="322" t="s">
        <v>721</v>
      </c>
      <c r="B147" s="27"/>
      <c r="C147" s="311" t="s">
        <v>803</v>
      </c>
      <c r="D147" s="329">
        <v>0</v>
      </c>
      <c r="E147" s="345">
        <v>2.4957662542059021E-4</v>
      </c>
    </row>
    <row r="148" spans="1:5" ht="27.75" customHeight="1" x14ac:dyDescent="0.2">
      <c r="A148" s="322" t="s">
        <v>630</v>
      </c>
      <c r="B148" s="27"/>
      <c r="C148" s="311">
        <v>0</v>
      </c>
      <c r="D148" s="329">
        <v>0</v>
      </c>
      <c r="E148" s="345">
        <v>2.4957662542059021E-4</v>
      </c>
    </row>
    <row r="149" spans="1:5" ht="27.75" customHeight="1" x14ac:dyDescent="0.2">
      <c r="A149" s="322" t="s">
        <v>631</v>
      </c>
      <c r="B149" s="27"/>
      <c r="C149" s="311">
        <v>0</v>
      </c>
      <c r="D149" s="329">
        <v>0</v>
      </c>
      <c r="E149" s="345">
        <v>2.4957662542059021E-4</v>
      </c>
    </row>
    <row r="150" spans="1:5" ht="27.75" customHeight="1" x14ac:dyDescent="0.2">
      <c r="A150" s="322" t="s">
        <v>632</v>
      </c>
      <c r="B150" s="27"/>
      <c r="C150" s="311">
        <v>0</v>
      </c>
      <c r="D150" s="329">
        <v>0</v>
      </c>
      <c r="E150" s="345">
        <v>2.4957662542059021E-4</v>
      </c>
    </row>
    <row r="151" spans="1:5" ht="27.75" customHeight="1" x14ac:dyDescent="0.2">
      <c r="A151" s="322" t="s">
        <v>633</v>
      </c>
      <c r="B151" s="27"/>
      <c r="C151" s="311">
        <v>0</v>
      </c>
      <c r="D151" s="329">
        <v>0</v>
      </c>
      <c r="E151" s="345">
        <v>2.4957662542059021E-4</v>
      </c>
    </row>
    <row r="152" spans="1:5" ht="27.75" customHeight="1" x14ac:dyDescent="0.2">
      <c r="A152" s="322" t="s">
        <v>634</v>
      </c>
      <c r="B152" s="27"/>
      <c r="C152" s="311">
        <v>0</v>
      </c>
      <c r="D152" s="329">
        <v>0</v>
      </c>
      <c r="E152" s="345">
        <v>2.4957662542059021E-4</v>
      </c>
    </row>
    <row r="153" spans="1:5" ht="27.75" customHeight="1" x14ac:dyDescent="0.2">
      <c r="A153" s="322" t="s">
        <v>635</v>
      </c>
      <c r="B153" s="27"/>
      <c r="C153" s="311">
        <v>0</v>
      </c>
      <c r="D153" s="329">
        <v>0</v>
      </c>
      <c r="E153" s="345">
        <v>2.4957662542059021E-4</v>
      </c>
    </row>
    <row r="154" spans="1:5" ht="27.75" customHeight="1" x14ac:dyDescent="0.2">
      <c r="A154" s="322" t="s">
        <v>636</v>
      </c>
      <c r="B154" s="27"/>
      <c r="C154" s="311">
        <v>0</v>
      </c>
      <c r="D154" s="329">
        <v>0</v>
      </c>
      <c r="E154" s="345">
        <v>2.4957662542059021E-4</v>
      </c>
    </row>
    <row r="155" spans="1:5" ht="27.75" customHeight="1" x14ac:dyDescent="0.2">
      <c r="A155" s="322" t="s">
        <v>637</v>
      </c>
      <c r="B155" s="27"/>
      <c r="C155" s="311">
        <v>0</v>
      </c>
      <c r="D155" s="329">
        <v>0</v>
      </c>
      <c r="E155" s="345">
        <v>2.4957662542059021E-4</v>
      </c>
    </row>
    <row r="156" spans="1:5" ht="27.75" customHeight="1" x14ac:dyDescent="0.2">
      <c r="A156" s="322" t="s">
        <v>638</v>
      </c>
      <c r="B156" s="27"/>
      <c r="C156" s="311">
        <v>0</v>
      </c>
      <c r="D156" s="329">
        <v>0</v>
      </c>
      <c r="E156" s="345">
        <v>2.4957662542059021E-4</v>
      </c>
    </row>
    <row r="157" spans="1:5" ht="27.75" customHeight="1" x14ac:dyDescent="0.2">
      <c r="A157" s="322" t="s">
        <v>639</v>
      </c>
      <c r="B157" s="27"/>
      <c r="C157" s="311">
        <v>0</v>
      </c>
      <c r="D157" s="329">
        <v>0</v>
      </c>
      <c r="E157" s="345">
        <v>2.4957662542059021E-4</v>
      </c>
    </row>
    <row r="158" spans="1:5" ht="27.75" customHeight="1" x14ac:dyDescent="0.2">
      <c r="A158" s="322" t="s">
        <v>640</v>
      </c>
      <c r="B158" s="27"/>
      <c r="C158" s="311">
        <v>0</v>
      </c>
      <c r="D158" s="329">
        <v>0</v>
      </c>
      <c r="E158" s="345">
        <v>2.4957662542059021E-4</v>
      </c>
    </row>
    <row r="159" spans="1:5" ht="27.75" customHeight="1" x14ac:dyDescent="0.2">
      <c r="A159" s="322" t="s">
        <v>641</v>
      </c>
      <c r="B159" s="27"/>
      <c r="C159" s="311">
        <v>0</v>
      </c>
      <c r="D159" s="329">
        <v>0</v>
      </c>
      <c r="E159" s="345">
        <v>2.4957662542059021E-4</v>
      </c>
    </row>
    <row r="160" spans="1:5" ht="27.75" customHeight="1" x14ac:dyDescent="0.2">
      <c r="A160" s="322" t="s">
        <v>642</v>
      </c>
      <c r="B160" s="27"/>
      <c r="C160" s="311">
        <v>0</v>
      </c>
      <c r="D160" s="329">
        <v>0</v>
      </c>
      <c r="E160" s="345">
        <v>2.4957662542059021E-4</v>
      </c>
    </row>
    <row r="161" spans="1:5" ht="27.75" customHeight="1" x14ac:dyDescent="0.2">
      <c r="A161" s="322" t="s">
        <v>643</v>
      </c>
      <c r="B161" s="27"/>
      <c r="C161" s="311">
        <v>0</v>
      </c>
      <c r="D161" s="329">
        <v>0</v>
      </c>
      <c r="E161" s="345">
        <v>2.4957662542059021E-4</v>
      </c>
    </row>
    <row r="162" spans="1:5" ht="27.75" customHeight="1" x14ac:dyDescent="0.2">
      <c r="A162" s="322" t="s">
        <v>644</v>
      </c>
      <c r="B162" s="27" t="s">
        <v>797</v>
      </c>
      <c r="C162" s="311">
        <v>0</v>
      </c>
      <c r="D162" s="329">
        <v>0</v>
      </c>
      <c r="E162" s="345">
        <v>2.4957662542059021E-4</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67F7B654-9485-4993-9480-E62B4223D1A9}"/>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3B05E-188F-4A83-8A98-DAFB541F7C30}">
  <dimension ref="A1:F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SP Distribution Area (GSP Group _N)"</f>
        <v>Leep Electricity Networks Limited - Effective from 1 April 2027 - Final Supplier of Last Resort and Eligible Bad Debt Pass-Through Costs in SP Distribution Area (GSP Group _N)</v>
      </c>
      <c r="B2" s="526"/>
      <c r="C2" s="526"/>
      <c r="D2" s="526"/>
      <c r="E2" s="527"/>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802</v>
      </c>
      <c r="D5" s="328" t="s">
        <v>797</v>
      </c>
      <c r="E5" s="328" t="s">
        <v>797</v>
      </c>
    </row>
    <row r="6" spans="1:6" ht="27" customHeight="1" x14ac:dyDescent="0.2">
      <c r="A6" s="10" t="s">
        <v>675</v>
      </c>
      <c r="B6" s="27"/>
      <c r="C6" s="311" t="s">
        <v>803</v>
      </c>
      <c r="D6" s="329" t="s">
        <v>797</v>
      </c>
      <c r="E6" s="328" t="s">
        <v>797</v>
      </c>
    </row>
    <row r="7" spans="1:6" ht="27" customHeight="1" x14ac:dyDescent="0.2">
      <c r="A7" s="10" t="s">
        <v>676</v>
      </c>
      <c r="B7" s="27"/>
      <c r="C7" s="311" t="s">
        <v>803</v>
      </c>
      <c r="D7" s="329" t="s">
        <v>797</v>
      </c>
      <c r="E7" s="328" t="s">
        <v>797</v>
      </c>
    </row>
    <row r="8" spans="1:6" ht="27" customHeight="1" x14ac:dyDescent="0.2">
      <c r="A8" s="10" t="s">
        <v>677</v>
      </c>
      <c r="B8" s="27"/>
      <c r="C8" s="311" t="s">
        <v>803</v>
      </c>
      <c r="D8" s="329" t="s">
        <v>797</v>
      </c>
      <c r="E8" s="328" t="s">
        <v>797</v>
      </c>
    </row>
    <row r="9" spans="1:6" ht="27" customHeight="1" x14ac:dyDescent="0.2">
      <c r="A9" s="10" t="s">
        <v>678</v>
      </c>
      <c r="B9" s="27"/>
      <c r="C9" s="311" t="s">
        <v>803</v>
      </c>
      <c r="D9" s="329" t="s">
        <v>797</v>
      </c>
      <c r="E9" s="328" t="s">
        <v>797</v>
      </c>
    </row>
    <row r="10" spans="1:6" ht="27" customHeight="1" x14ac:dyDescent="0.2">
      <c r="A10" s="10" t="s">
        <v>679</v>
      </c>
      <c r="B10" s="27"/>
      <c r="C10" s="311" t="s">
        <v>803</v>
      </c>
      <c r="D10" s="329" t="s">
        <v>797</v>
      </c>
      <c r="E10" s="328" t="s">
        <v>797</v>
      </c>
    </row>
    <row r="11" spans="1:6" ht="27" customHeight="1" x14ac:dyDescent="0.2">
      <c r="A11" s="10" t="s">
        <v>496</v>
      </c>
      <c r="B11" s="27"/>
      <c r="C11" s="311">
        <v>0</v>
      </c>
      <c r="D11" s="329" t="s">
        <v>797</v>
      </c>
      <c r="E11" s="328" t="s">
        <v>797</v>
      </c>
    </row>
    <row r="12" spans="1:6" ht="27" customHeight="1" x14ac:dyDescent="0.2">
      <c r="A12" s="322" t="s">
        <v>497</v>
      </c>
      <c r="B12" s="27"/>
      <c r="C12" s="311">
        <v>0</v>
      </c>
      <c r="D12" s="329" t="s">
        <v>797</v>
      </c>
      <c r="E12" s="328" t="s">
        <v>797</v>
      </c>
    </row>
    <row r="13" spans="1:6" ht="27" customHeight="1" x14ac:dyDescent="0.2">
      <c r="A13" s="322" t="s">
        <v>498</v>
      </c>
      <c r="B13" s="27"/>
      <c r="C13" s="311">
        <v>0</v>
      </c>
      <c r="D13" s="329" t="s">
        <v>797</v>
      </c>
      <c r="E13" s="328" t="s">
        <v>797</v>
      </c>
    </row>
    <row r="14" spans="1:6" ht="27.75" customHeight="1" x14ac:dyDescent="0.2">
      <c r="A14" s="322" t="s">
        <v>499</v>
      </c>
      <c r="B14" s="27"/>
      <c r="C14" s="311">
        <v>0</v>
      </c>
      <c r="D14" s="329" t="s">
        <v>797</v>
      </c>
      <c r="E14" s="328" t="s">
        <v>797</v>
      </c>
    </row>
    <row r="15" spans="1:6" ht="27.75" customHeight="1" x14ac:dyDescent="0.2">
      <c r="A15" s="323" t="s">
        <v>500</v>
      </c>
      <c r="B15" s="27"/>
      <c r="C15" s="311">
        <v>0</v>
      </c>
      <c r="D15" s="329" t="s">
        <v>797</v>
      </c>
      <c r="E15" s="328" t="s">
        <v>797</v>
      </c>
    </row>
    <row r="16" spans="1:6" ht="27.75" customHeight="1" x14ac:dyDescent="0.2">
      <c r="A16" s="323" t="s">
        <v>501</v>
      </c>
      <c r="B16" s="27"/>
      <c r="C16" s="311">
        <v>0</v>
      </c>
      <c r="D16" s="329" t="s">
        <v>797</v>
      </c>
      <c r="E16" s="328" t="s">
        <v>797</v>
      </c>
    </row>
    <row r="17" spans="1:6" ht="27.75" customHeight="1" x14ac:dyDescent="0.2">
      <c r="A17" s="323" t="s">
        <v>502</v>
      </c>
      <c r="B17" s="27"/>
      <c r="C17" s="311">
        <v>0</v>
      </c>
      <c r="D17" s="329" t="s">
        <v>797</v>
      </c>
      <c r="E17" s="328" t="s">
        <v>797</v>
      </c>
    </row>
    <row r="18" spans="1:6" ht="27.75" customHeight="1" x14ac:dyDescent="0.2">
      <c r="A18" s="323" t="s">
        <v>503</v>
      </c>
      <c r="B18" s="27"/>
      <c r="C18" s="311">
        <v>0</v>
      </c>
      <c r="D18" s="329" t="s">
        <v>797</v>
      </c>
      <c r="E18" s="328" t="s">
        <v>797</v>
      </c>
    </row>
    <row r="19" spans="1:6" ht="27.75" customHeight="1" x14ac:dyDescent="0.2">
      <c r="A19" s="323" t="s">
        <v>504</v>
      </c>
      <c r="B19" s="27"/>
      <c r="C19" s="311">
        <v>0</v>
      </c>
      <c r="D19" s="329" t="s">
        <v>797</v>
      </c>
      <c r="E19" s="328" t="s">
        <v>797</v>
      </c>
    </row>
    <row r="20" spans="1:6" ht="27.75" customHeight="1" x14ac:dyDescent="0.2">
      <c r="A20" s="323" t="s">
        <v>505</v>
      </c>
      <c r="B20" s="27"/>
      <c r="C20" s="311">
        <v>0</v>
      </c>
      <c r="D20" s="329" t="s">
        <v>797</v>
      </c>
      <c r="E20" s="328" t="s">
        <v>797</v>
      </c>
    </row>
    <row r="21" spans="1:6" ht="27.75" customHeight="1" x14ac:dyDescent="0.2">
      <c r="A21" s="323" t="s">
        <v>506</v>
      </c>
      <c r="B21" s="27"/>
      <c r="C21" s="311">
        <v>0</v>
      </c>
      <c r="D21" s="329" t="s">
        <v>797</v>
      </c>
      <c r="E21" s="328" t="s">
        <v>797</v>
      </c>
    </row>
    <row r="22" spans="1:6" ht="27.75" customHeight="1" x14ac:dyDescent="0.2">
      <c r="A22" s="323" t="s">
        <v>507</v>
      </c>
      <c r="B22" s="27"/>
      <c r="C22" s="311">
        <v>0</v>
      </c>
      <c r="D22" s="329" t="s">
        <v>797</v>
      </c>
      <c r="E22" s="328" t="s">
        <v>797</v>
      </c>
    </row>
    <row r="23" spans="1:6" ht="27.75" customHeight="1" x14ac:dyDescent="0.2">
      <c r="A23" s="322" t="s">
        <v>508</v>
      </c>
      <c r="B23" s="27"/>
      <c r="C23" s="311">
        <v>0</v>
      </c>
      <c r="D23" s="329" t="s">
        <v>797</v>
      </c>
      <c r="E23" s="328" t="s">
        <v>797</v>
      </c>
    </row>
    <row r="24" spans="1:6" ht="27.75" customHeight="1" x14ac:dyDescent="0.2">
      <c r="A24" s="322" t="s">
        <v>509</v>
      </c>
      <c r="B24" s="27"/>
      <c r="C24" s="311">
        <v>0</v>
      </c>
      <c r="D24" s="329" t="s">
        <v>797</v>
      </c>
      <c r="E24" s="328" t="s">
        <v>797</v>
      </c>
    </row>
    <row r="25" spans="1:6" ht="27.75" customHeight="1" x14ac:dyDescent="0.2">
      <c r="A25" s="322" t="s">
        <v>510</v>
      </c>
      <c r="B25" s="27"/>
      <c r="C25" s="311">
        <v>0</v>
      </c>
      <c r="D25" s="329" t="s">
        <v>797</v>
      </c>
      <c r="E25" s="328" t="s">
        <v>797</v>
      </c>
    </row>
    <row r="26" spans="1:6" ht="27.75" customHeight="1" x14ac:dyDescent="0.2">
      <c r="A26" s="322" t="s">
        <v>725</v>
      </c>
      <c r="B26" s="27" t="s">
        <v>1904</v>
      </c>
      <c r="C26" s="311" t="s">
        <v>802</v>
      </c>
      <c r="D26" s="328" t="s">
        <v>797</v>
      </c>
      <c r="E26" s="328" t="s">
        <v>797</v>
      </c>
      <c r="F26" s="347" t="str">
        <f>A26&amp;" with Residual"</f>
        <v>LDNO LV: Domestic Aggregated or CT with Residual</v>
      </c>
    </row>
    <row r="27" spans="1:6" ht="27.75" customHeight="1" x14ac:dyDescent="0.2">
      <c r="A27" s="322" t="s">
        <v>687</v>
      </c>
      <c r="B27" s="27" t="s">
        <v>1905</v>
      </c>
      <c r="C27" s="311" t="s">
        <v>803</v>
      </c>
      <c r="D27" s="329" t="s">
        <v>797</v>
      </c>
      <c r="E27" s="328" t="s">
        <v>797</v>
      </c>
    </row>
    <row r="28" spans="1:6" ht="27.75" customHeight="1" x14ac:dyDescent="0.2">
      <c r="A28" s="322" t="s">
        <v>694</v>
      </c>
      <c r="B28" s="27" t="s">
        <v>1906</v>
      </c>
      <c r="C28" s="311" t="s">
        <v>803</v>
      </c>
      <c r="D28" s="329" t="s">
        <v>797</v>
      </c>
      <c r="E28" s="328" t="s">
        <v>797</v>
      </c>
    </row>
    <row r="29" spans="1:6" ht="27.75" customHeight="1" x14ac:dyDescent="0.2">
      <c r="A29" s="322" t="s">
        <v>701</v>
      </c>
      <c r="B29" s="27" t="s">
        <v>1907</v>
      </c>
      <c r="C29" s="311" t="s">
        <v>803</v>
      </c>
      <c r="D29" s="329" t="s">
        <v>797</v>
      </c>
      <c r="E29" s="328" t="s">
        <v>797</v>
      </c>
    </row>
    <row r="30" spans="1:6" ht="27.75" customHeight="1" x14ac:dyDescent="0.2">
      <c r="A30" s="322" t="s">
        <v>708</v>
      </c>
      <c r="B30" s="27" t="s">
        <v>1908</v>
      </c>
      <c r="C30" s="311" t="s">
        <v>803</v>
      </c>
      <c r="D30" s="329" t="s">
        <v>797</v>
      </c>
      <c r="E30" s="328" t="s">
        <v>797</v>
      </c>
    </row>
    <row r="31" spans="1:6" ht="27.75" customHeight="1" x14ac:dyDescent="0.2">
      <c r="A31" s="322" t="s">
        <v>715</v>
      </c>
      <c r="B31" s="27" t="s">
        <v>1909</v>
      </c>
      <c r="C31" s="311" t="s">
        <v>803</v>
      </c>
      <c r="D31" s="329" t="s">
        <v>797</v>
      </c>
      <c r="E31" s="328" t="s">
        <v>797</v>
      </c>
    </row>
    <row r="32" spans="1:6" ht="27.75" customHeight="1" x14ac:dyDescent="0.2">
      <c r="A32" s="322" t="s">
        <v>544</v>
      </c>
      <c r="B32" s="27" t="s">
        <v>797</v>
      </c>
      <c r="C32" s="311">
        <v>0</v>
      </c>
      <c r="D32" s="329" t="s">
        <v>797</v>
      </c>
      <c r="E32" s="328" t="s">
        <v>797</v>
      </c>
    </row>
    <row r="33" spans="1:6" ht="27.75" customHeight="1" x14ac:dyDescent="0.2">
      <c r="A33" s="322" t="s">
        <v>545</v>
      </c>
      <c r="B33" s="27" t="s">
        <v>1910</v>
      </c>
      <c r="C33" s="311">
        <v>0</v>
      </c>
      <c r="D33" s="329" t="s">
        <v>797</v>
      </c>
      <c r="E33" s="328" t="s">
        <v>797</v>
      </c>
    </row>
    <row r="34" spans="1:6" ht="27.75" customHeight="1" x14ac:dyDescent="0.2">
      <c r="A34" s="322" t="s">
        <v>546</v>
      </c>
      <c r="B34" s="27" t="s">
        <v>1911</v>
      </c>
      <c r="C34" s="311">
        <v>0</v>
      </c>
      <c r="D34" s="329" t="s">
        <v>797</v>
      </c>
      <c r="E34" s="328" t="s">
        <v>797</v>
      </c>
    </row>
    <row r="35" spans="1:6" ht="27.75" customHeight="1" x14ac:dyDescent="0.2">
      <c r="A35" s="322" t="s">
        <v>547</v>
      </c>
      <c r="B35" s="27" t="s">
        <v>1912</v>
      </c>
      <c r="C35" s="311">
        <v>0</v>
      </c>
      <c r="D35" s="329" t="s">
        <v>797</v>
      </c>
      <c r="E35" s="328" t="s">
        <v>797</v>
      </c>
    </row>
    <row r="36" spans="1:6" ht="27.75" customHeight="1" x14ac:dyDescent="0.2">
      <c r="A36" s="322" t="s">
        <v>548</v>
      </c>
      <c r="B36" s="27" t="s">
        <v>1913</v>
      </c>
      <c r="C36" s="311">
        <v>0</v>
      </c>
      <c r="D36" s="329" t="s">
        <v>797</v>
      </c>
      <c r="E36" s="328" t="s">
        <v>797</v>
      </c>
    </row>
    <row r="37" spans="1:6" ht="27.75" customHeight="1" x14ac:dyDescent="0.2">
      <c r="A37" s="323" t="s">
        <v>726</v>
      </c>
      <c r="B37" s="27" t="e">
        <v>#N/A</v>
      </c>
      <c r="C37" s="311" t="s">
        <v>802</v>
      </c>
      <c r="D37" s="328" t="s">
        <v>797</v>
      </c>
      <c r="E37" s="328" t="s">
        <v>797</v>
      </c>
      <c r="F37" s="347" t="str">
        <f>A37&amp;" with Residual"</f>
        <v>LDNO HV: Domestic Aggregated or CT with Residual</v>
      </c>
    </row>
    <row r="38" spans="1:6" ht="27.75" customHeight="1" x14ac:dyDescent="0.2">
      <c r="A38" s="322" t="s">
        <v>688</v>
      </c>
      <c r="B38" s="27" t="s">
        <v>1914</v>
      </c>
      <c r="C38" s="311" t="s">
        <v>803</v>
      </c>
      <c r="D38" s="329" t="s">
        <v>797</v>
      </c>
      <c r="E38" s="328" t="s">
        <v>797</v>
      </c>
    </row>
    <row r="39" spans="1:6" ht="27.75" customHeight="1" x14ac:dyDescent="0.2">
      <c r="A39" s="322" t="s">
        <v>695</v>
      </c>
      <c r="B39" s="27" t="s">
        <v>1915</v>
      </c>
      <c r="C39" s="311" t="s">
        <v>803</v>
      </c>
      <c r="D39" s="329" t="s">
        <v>797</v>
      </c>
      <c r="E39" s="328" t="s">
        <v>797</v>
      </c>
    </row>
    <row r="40" spans="1:6" ht="27.75" customHeight="1" x14ac:dyDescent="0.2">
      <c r="A40" s="322" t="s">
        <v>702</v>
      </c>
      <c r="B40" s="27" t="s">
        <v>1916</v>
      </c>
      <c r="C40" s="311" t="s">
        <v>803</v>
      </c>
      <c r="D40" s="329" t="s">
        <v>797</v>
      </c>
      <c r="E40" s="328" t="s">
        <v>797</v>
      </c>
    </row>
    <row r="41" spans="1:6" ht="27.75" customHeight="1" x14ac:dyDescent="0.2">
      <c r="A41" s="322" t="s">
        <v>709</v>
      </c>
      <c r="B41" s="27" t="s">
        <v>1917</v>
      </c>
      <c r="C41" s="311" t="s">
        <v>803</v>
      </c>
      <c r="D41" s="329" t="s">
        <v>797</v>
      </c>
      <c r="E41" s="328" t="s">
        <v>797</v>
      </c>
    </row>
    <row r="42" spans="1:6" ht="27.75" customHeight="1" x14ac:dyDescent="0.2">
      <c r="A42" s="322" t="s">
        <v>716</v>
      </c>
      <c r="B42" s="27" t="s">
        <v>1918</v>
      </c>
      <c r="C42" s="311" t="s">
        <v>803</v>
      </c>
      <c r="D42" s="329" t="s">
        <v>797</v>
      </c>
      <c r="E42" s="328" t="s">
        <v>797</v>
      </c>
    </row>
    <row r="43" spans="1:6" ht="27.75" customHeight="1" x14ac:dyDescent="0.2">
      <c r="A43" s="322" t="s">
        <v>550</v>
      </c>
      <c r="B43" s="27" t="s">
        <v>797</v>
      </c>
      <c r="C43" s="311">
        <v>0</v>
      </c>
      <c r="D43" s="329" t="s">
        <v>797</v>
      </c>
      <c r="E43" s="328" t="s">
        <v>797</v>
      </c>
    </row>
    <row r="44" spans="1:6" ht="27.75" customHeight="1" x14ac:dyDescent="0.2">
      <c r="A44" s="322" t="s">
        <v>551</v>
      </c>
      <c r="B44" s="27" t="s">
        <v>1919</v>
      </c>
      <c r="C44" s="311">
        <v>0</v>
      </c>
      <c r="D44" s="329" t="s">
        <v>797</v>
      </c>
      <c r="E44" s="328" t="s">
        <v>797</v>
      </c>
    </row>
    <row r="45" spans="1:6" ht="27.75" customHeight="1" x14ac:dyDescent="0.2">
      <c r="A45" s="322" t="s">
        <v>552</v>
      </c>
      <c r="B45" s="27" t="s">
        <v>1920</v>
      </c>
      <c r="C45" s="311">
        <v>0</v>
      </c>
      <c r="D45" s="329" t="s">
        <v>797</v>
      </c>
      <c r="E45" s="328" t="s">
        <v>797</v>
      </c>
    </row>
    <row r="46" spans="1:6" ht="27.75" customHeight="1" x14ac:dyDescent="0.2">
      <c r="A46" s="322" t="s">
        <v>553</v>
      </c>
      <c r="B46" s="27" t="s">
        <v>1921</v>
      </c>
      <c r="C46" s="311">
        <v>0</v>
      </c>
      <c r="D46" s="329" t="s">
        <v>797</v>
      </c>
      <c r="E46" s="328" t="s">
        <v>797</v>
      </c>
    </row>
    <row r="47" spans="1:6" ht="27.75" customHeight="1" x14ac:dyDescent="0.2">
      <c r="A47" s="322" t="s">
        <v>554</v>
      </c>
      <c r="B47" s="27" t="s">
        <v>1922</v>
      </c>
      <c r="C47" s="311">
        <v>0</v>
      </c>
      <c r="D47" s="329" t="s">
        <v>797</v>
      </c>
      <c r="E47" s="328" t="s">
        <v>797</v>
      </c>
    </row>
    <row r="48" spans="1:6" ht="27.75" customHeight="1" x14ac:dyDescent="0.2">
      <c r="A48" s="322" t="s">
        <v>555</v>
      </c>
      <c r="B48" s="27" t="s">
        <v>797</v>
      </c>
      <c r="C48" s="311">
        <v>0</v>
      </c>
      <c r="D48" s="329" t="s">
        <v>797</v>
      </c>
      <c r="E48" s="328" t="s">
        <v>797</v>
      </c>
    </row>
    <row r="49" spans="1:6" ht="27.75" customHeight="1" x14ac:dyDescent="0.2">
      <c r="A49" s="322" t="s">
        <v>556</v>
      </c>
      <c r="B49" s="27" t="s">
        <v>1923</v>
      </c>
      <c r="C49" s="311">
        <v>0</v>
      </c>
      <c r="D49" s="329" t="s">
        <v>797</v>
      </c>
      <c r="E49" s="328" t="s">
        <v>797</v>
      </c>
    </row>
    <row r="50" spans="1:6" ht="27.75" customHeight="1" x14ac:dyDescent="0.2">
      <c r="A50" s="322" t="s">
        <v>557</v>
      </c>
      <c r="B50" s="27" t="s">
        <v>1924</v>
      </c>
      <c r="C50" s="311">
        <v>0</v>
      </c>
      <c r="D50" s="329" t="s">
        <v>797</v>
      </c>
      <c r="E50" s="328" t="s">
        <v>797</v>
      </c>
    </row>
    <row r="51" spans="1:6" ht="27.75" customHeight="1" x14ac:dyDescent="0.2">
      <c r="A51" s="322" t="s">
        <v>558</v>
      </c>
      <c r="B51" s="27" t="s">
        <v>1925</v>
      </c>
      <c r="C51" s="311">
        <v>0</v>
      </c>
      <c r="D51" s="329" t="s">
        <v>797</v>
      </c>
      <c r="E51" s="328" t="s">
        <v>797</v>
      </c>
    </row>
    <row r="52" spans="1:6" ht="27.75" customHeight="1" x14ac:dyDescent="0.2">
      <c r="A52" s="322" t="s">
        <v>559</v>
      </c>
      <c r="B52" s="27" t="s">
        <v>1926</v>
      </c>
      <c r="C52" s="311">
        <v>0</v>
      </c>
      <c r="D52" s="329" t="s">
        <v>797</v>
      </c>
      <c r="E52" s="328" t="s">
        <v>797</v>
      </c>
    </row>
    <row r="53" spans="1:6" ht="27.75" customHeight="1" x14ac:dyDescent="0.2">
      <c r="A53" s="322" t="s">
        <v>560</v>
      </c>
      <c r="B53" s="27" t="s">
        <v>797</v>
      </c>
      <c r="C53" s="311">
        <v>0</v>
      </c>
      <c r="D53" s="329" t="s">
        <v>797</v>
      </c>
      <c r="E53" s="328" t="s">
        <v>797</v>
      </c>
    </row>
    <row r="54" spans="1:6" ht="27.75" customHeight="1" x14ac:dyDescent="0.2">
      <c r="A54" s="322" t="s">
        <v>561</v>
      </c>
      <c r="B54" s="27" t="s">
        <v>1927</v>
      </c>
      <c r="C54" s="311">
        <v>0</v>
      </c>
      <c r="D54" s="329" t="s">
        <v>797</v>
      </c>
      <c r="E54" s="328" t="s">
        <v>797</v>
      </c>
    </row>
    <row r="55" spans="1:6" ht="27.75" customHeight="1" x14ac:dyDescent="0.2">
      <c r="A55" s="322" t="s">
        <v>562</v>
      </c>
      <c r="B55" s="27" t="s">
        <v>1928</v>
      </c>
      <c r="C55" s="311">
        <v>0</v>
      </c>
      <c r="D55" s="329" t="s">
        <v>797</v>
      </c>
      <c r="E55" s="328" t="s">
        <v>797</v>
      </c>
    </row>
    <row r="56" spans="1:6" ht="27.75" customHeight="1" x14ac:dyDescent="0.2">
      <c r="A56" s="322" t="s">
        <v>563</v>
      </c>
      <c r="B56" s="27" t="s">
        <v>1929</v>
      </c>
      <c r="C56" s="311">
        <v>0</v>
      </c>
      <c r="D56" s="329" t="s">
        <v>797</v>
      </c>
      <c r="E56" s="328" t="s">
        <v>797</v>
      </c>
    </row>
    <row r="57" spans="1:6" ht="27.75" customHeight="1" x14ac:dyDescent="0.2">
      <c r="A57" s="322" t="s">
        <v>564</v>
      </c>
      <c r="B57" s="27" t="s">
        <v>1930</v>
      </c>
      <c r="C57" s="311">
        <v>0</v>
      </c>
      <c r="D57" s="329" t="s">
        <v>797</v>
      </c>
      <c r="E57" s="328" t="s">
        <v>797</v>
      </c>
    </row>
    <row r="58" spans="1:6" ht="27.75" customHeight="1" x14ac:dyDescent="0.2">
      <c r="A58" s="322" t="s">
        <v>727</v>
      </c>
      <c r="B58" s="27" t="e">
        <v>#N/A</v>
      </c>
      <c r="C58" s="311" t="s">
        <v>802</v>
      </c>
      <c r="D58" s="328" t="s">
        <v>797</v>
      </c>
      <c r="E58" s="328" t="s">
        <v>797</v>
      </c>
      <c r="F58" s="347" t="str">
        <f>A58&amp;" with Residual"</f>
        <v>LDNO HVplus: Domestic Aggregated or CT with Residual</v>
      </c>
    </row>
    <row r="59" spans="1:6" ht="27.75" customHeight="1" x14ac:dyDescent="0.2">
      <c r="A59" s="322" t="s">
        <v>689</v>
      </c>
      <c r="B59" s="27" t="s">
        <v>1931</v>
      </c>
      <c r="C59" s="311" t="s">
        <v>803</v>
      </c>
      <c r="D59" s="329" t="s">
        <v>797</v>
      </c>
      <c r="E59" s="328" t="s">
        <v>797</v>
      </c>
    </row>
    <row r="60" spans="1:6" ht="27.75" customHeight="1" x14ac:dyDescent="0.2">
      <c r="A60" s="322" t="s">
        <v>696</v>
      </c>
      <c r="B60" s="27" t="s">
        <v>1932</v>
      </c>
      <c r="C60" s="311" t="s">
        <v>803</v>
      </c>
      <c r="D60" s="329" t="s">
        <v>797</v>
      </c>
      <c r="E60" s="328" t="s">
        <v>797</v>
      </c>
    </row>
    <row r="61" spans="1:6" ht="27.75" customHeight="1" x14ac:dyDescent="0.2">
      <c r="A61" s="322" t="s">
        <v>703</v>
      </c>
      <c r="B61" s="27" t="s">
        <v>1933</v>
      </c>
      <c r="C61" s="311" t="s">
        <v>803</v>
      </c>
      <c r="D61" s="329" t="s">
        <v>797</v>
      </c>
      <c r="E61" s="328" t="s">
        <v>797</v>
      </c>
    </row>
    <row r="62" spans="1:6" ht="27.75" customHeight="1" x14ac:dyDescent="0.2">
      <c r="A62" s="322" t="s">
        <v>710</v>
      </c>
      <c r="B62" s="27" t="s">
        <v>1934</v>
      </c>
      <c r="C62" s="311" t="s">
        <v>803</v>
      </c>
      <c r="D62" s="329" t="s">
        <v>797</v>
      </c>
      <c r="E62" s="328" t="s">
        <v>797</v>
      </c>
    </row>
    <row r="63" spans="1:6" ht="27.75" customHeight="1" x14ac:dyDescent="0.2">
      <c r="A63" s="322" t="s">
        <v>717</v>
      </c>
      <c r="B63" s="27" t="s">
        <v>1935</v>
      </c>
      <c r="C63" s="311" t="s">
        <v>803</v>
      </c>
      <c r="D63" s="329" t="s">
        <v>797</v>
      </c>
      <c r="E63" s="328" t="s">
        <v>797</v>
      </c>
    </row>
    <row r="64" spans="1:6" ht="27.75" customHeight="1" x14ac:dyDescent="0.2">
      <c r="A64" s="322" t="s">
        <v>566</v>
      </c>
      <c r="B64" s="27" t="s">
        <v>797</v>
      </c>
      <c r="C64" s="311">
        <v>0</v>
      </c>
      <c r="D64" s="329" t="s">
        <v>797</v>
      </c>
      <c r="E64" s="328" t="s">
        <v>797</v>
      </c>
    </row>
    <row r="65" spans="1:6" ht="27.75" customHeight="1" x14ac:dyDescent="0.2">
      <c r="A65" s="322" t="s">
        <v>567</v>
      </c>
      <c r="B65" s="27" t="s">
        <v>1936</v>
      </c>
      <c r="C65" s="311">
        <v>0</v>
      </c>
      <c r="D65" s="329" t="s">
        <v>797</v>
      </c>
      <c r="E65" s="328" t="s">
        <v>797</v>
      </c>
    </row>
    <row r="66" spans="1:6" ht="27.75" customHeight="1" x14ac:dyDescent="0.2">
      <c r="A66" s="322" t="s">
        <v>568</v>
      </c>
      <c r="B66" s="27" t="s">
        <v>1937</v>
      </c>
      <c r="C66" s="311">
        <v>0</v>
      </c>
      <c r="D66" s="329" t="s">
        <v>797</v>
      </c>
      <c r="E66" s="328" t="s">
        <v>797</v>
      </c>
    </row>
    <row r="67" spans="1:6" ht="27.75" customHeight="1" x14ac:dyDescent="0.2">
      <c r="A67" s="322" t="s">
        <v>569</v>
      </c>
      <c r="B67" s="27" t="s">
        <v>1938</v>
      </c>
      <c r="C67" s="311">
        <v>0</v>
      </c>
      <c r="D67" s="329" t="s">
        <v>797</v>
      </c>
      <c r="E67" s="328" t="s">
        <v>797</v>
      </c>
    </row>
    <row r="68" spans="1:6" ht="27.75" customHeight="1" x14ac:dyDescent="0.2">
      <c r="A68" s="322" t="s">
        <v>570</v>
      </c>
      <c r="B68" s="27" t="s">
        <v>1939</v>
      </c>
      <c r="C68" s="311">
        <v>0</v>
      </c>
      <c r="D68" s="329" t="s">
        <v>797</v>
      </c>
      <c r="E68" s="328" t="s">
        <v>797</v>
      </c>
    </row>
    <row r="69" spans="1:6" ht="27.75" customHeight="1" x14ac:dyDescent="0.2">
      <c r="A69" s="322" t="s">
        <v>571</v>
      </c>
      <c r="B69" s="27" t="s">
        <v>797</v>
      </c>
      <c r="C69" s="311">
        <v>0</v>
      </c>
      <c r="D69" s="329" t="s">
        <v>797</v>
      </c>
      <c r="E69" s="328" t="s">
        <v>797</v>
      </c>
    </row>
    <row r="70" spans="1:6" ht="27.75" customHeight="1" x14ac:dyDescent="0.2">
      <c r="A70" s="322" t="s">
        <v>572</v>
      </c>
      <c r="B70" s="27" t="s">
        <v>1940</v>
      </c>
      <c r="C70" s="311">
        <v>0</v>
      </c>
      <c r="D70" s="329" t="s">
        <v>797</v>
      </c>
      <c r="E70" s="328" t="s">
        <v>797</v>
      </c>
    </row>
    <row r="71" spans="1:6" ht="27.75" customHeight="1" x14ac:dyDescent="0.2">
      <c r="A71" s="322" t="s">
        <v>573</v>
      </c>
      <c r="B71" s="27" t="s">
        <v>1941</v>
      </c>
      <c r="C71" s="311">
        <v>0</v>
      </c>
      <c r="D71" s="329" t="s">
        <v>797</v>
      </c>
      <c r="E71" s="328" t="s">
        <v>797</v>
      </c>
    </row>
    <row r="72" spans="1:6" ht="27.75" customHeight="1" x14ac:dyDescent="0.2">
      <c r="A72" s="322" t="s">
        <v>574</v>
      </c>
      <c r="B72" s="27" t="s">
        <v>1942</v>
      </c>
      <c r="C72" s="311">
        <v>0</v>
      </c>
      <c r="D72" s="329" t="s">
        <v>797</v>
      </c>
      <c r="E72" s="328" t="s">
        <v>797</v>
      </c>
    </row>
    <row r="73" spans="1:6" ht="27.75" customHeight="1" x14ac:dyDescent="0.2">
      <c r="A73" s="322" t="s">
        <v>575</v>
      </c>
      <c r="B73" s="27" t="s">
        <v>1943</v>
      </c>
      <c r="C73" s="311">
        <v>0</v>
      </c>
      <c r="D73" s="329" t="s">
        <v>797</v>
      </c>
      <c r="E73" s="328" t="s">
        <v>797</v>
      </c>
    </row>
    <row r="74" spans="1:6" ht="27.75" customHeight="1" x14ac:dyDescent="0.2">
      <c r="A74" s="322" t="s">
        <v>576</v>
      </c>
      <c r="B74" s="27" t="s">
        <v>797</v>
      </c>
      <c r="C74" s="311">
        <v>0</v>
      </c>
      <c r="D74" s="329" t="s">
        <v>797</v>
      </c>
      <c r="E74" s="328" t="s">
        <v>797</v>
      </c>
    </row>
    <row r="75" spans="1:6" ht="27.75" customHeight="1" x14ac:dyDescent="0.2">
      <c r="A75" s="322" t="s">
        <v>577</v>
      </c>
      <c r="B75" s="27" t="s">
        <v>1944</v>
      </c>
      <c r="C75" s="311">
        <v>0</v>
      </c>
      <c r="D75" s="329" t="s">
        <v>797</v>
      </c>
      <c r="E75" s="328" t="s">
        <v>797</v>
      </c>
    </row>
    <row r="76" spans="1:6" ht="27.75" customHeight="1" x14ac:dyDescent="0.2">
      <c r="A76" s="322" t="s">
        <v>578</v>
      </c>
      <c r="B76" s="27" t="s">
        <v>1945</v>
      </c>
      <c r="C76" s="311">
        <v>0</v>
      </c>
      <c r="D76" s="329" t="s">
        <v>797</v>
      </c>
      <c r="E76" s="328" t="s">
        <v>797</v>
      </c>
    </row>
    <row r="77" spans="1:6" ht="27.75" customHeight="1" x14ac:dyDescent="0.2">
      <c r="A77" s="322" t="s">
        <v>579</v>
      </c>
      <c r="B77" s="27" t="s">
        <v>1946</v>
      </c>
      <c r="C77" s="311">
        <v>0</v>
      </c>
      <c r="D77" s="329" t="s">
        <v>797</v>
      </c>
      <c r="E77" s="328" t="s">
        <v>797</v>
      </c>
    </row>
    <row r="78" spans="1:6" ht="27.75" customHeight="1" x14ac:dyDescent="0.2">
      <c r="A78" s="322" t="s">
        <v>580</v>
      </c>
      <c r="B78" s="27" t="s">
        <v>1947</v>
      </c>
      <c r="C78" s="311">
        <v>0</v>
      </c>
      <c r="D78" s="329" t="s">
        <v>797</v>
      </c>
      <c r="E78" s="328" t="s">
        <v>797</v>
      </c>
    </row>
    <row r="79" spans="1:6" ht="27.75" customHeight="1" x14ac:dyDescent="0.2">
      <c r="A79" s="322" t="s">
        <v>728</v>
      </c>
      <c r="B79" s="27" t="e">
        <v>#N/A</v>
      </c>
      <c r="C79" s="311" t="s">
        <v>802</v>
      </c>
      <c r="D79" s="328" t="s">
        <v>797</v>
      </c>
      <c r="E79" s="328" t="s">
        <v>797</v>
      </c>
      <c r="F79" s="347" t="str">
        <f>A79&amp;" with Residual"</f>
        <v>LDNO EHV: Domestic Aggregated or CT with Residual</v>
      </c>
    </row>
    <row r="80" spans="1:6" ht="27.75" customHeight="1" x14ac:dyDescent="0.2">
      <c r="A80" s="322" t="s">
        <v>690</v>
      </c>
      <c r="B80" s="27" t="s">
        <v>1948</v>
      </c>
      <c r="C80" s="311" t="s">
        <v>803</v>
      </c>
      <c r="D80" s="329" t="s">
        <v>797</v>
      </c>
      <c r="E80" s="328" t="s">
        <v>797</v>
      </c>
    </row>
    <row r="81" spans="1:5" ht="27.75" customHeight="1" x14ac:dyDescent="0.2">
      <c r="A81" s="322" t="s">
        <v>697</v>
      </c>
      <c r="B81" s="27" t="s">
        <v>1949</v>
      </c>
      <c r="C81" s="311" t="s">
        <v>803</v>
      </c>
      <c r="D81" s="329" t="s">
        <v>797</v>
      </c>
      <c r="E81" s="328" t="s">
        <v>797</v>
      </c>
    </row>
    <row r="82" spans="1:5" ht="27.75" customHeight="1" x14ac:dyDescent="0.2">
      <c r="A82" s="322" t="s">
        <v>704</v>
      </c>
      <c r="B82" s="27" t="s">
        <v>1950</v>
      </c>
      <c r="C82" s="311" t="s">
        <v>803</v>
      </c>
      <c r="D82" s="329" t="s">
        <v>797</v>
      </c>
      <c r="E82" s="328" t="s">
        <v>797</v>
      </c>
    </row>
    <row r="83" spans="1:5" ht="27.75" customHeight="1" x14ac:dyDescent="0.2">
      <c r="A83" s="322" t="s">
        <v>711</v>
      </c>
      <c r="B83" s="27" t="s">
        <v>1951</v>
      </c>
      <c r="C83" s="311" t="s">
        <v>803</v>
      </c>
      <c r="D83" s="329" t="s">
        <v>797</v>
      </c>
      <c r="E83" s="328" t="s">
        <v>797</v>
      </c>
    </row>
    <row r="84" spans="1:5" ht="27.75" customHeight="1" x14ac:dyDescent="0.2">
      <c r="A84" s="322" t="s">
        <v>718</v>
      </c>
      <c r="B84" s="27" t="s">
        <v>1952</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1953</v>
      </c>
      <c r="C86" s="311">
        <v>0</v>
      </c>
      <c r="D86" s="329" t="s">
        <v>797</v>
      </c>
      <c r="E86" s="328" t="s">
        <v>797</v>
      </c>
    </row>
    <row r="87" spans="1:5" ht="27.75" customHeight="1" x14ac:dyDescent="0.2">
      <c r="A87" s="322" t="s">
        <v>584</v>
      </c>
      <c r="B87" s="27" t="s">
        <v>1954</v>
      </c>
      <c r="C87" s="311">
        <v>0</v>
      </c>
      <c r="D87" s="329" t="s">
        <v>797</v>
      </c>
      <c r="E87" s="328" t="s">
        <v>797</v>
      </c>
    </row>
    <row r="88" spans="1:5" ht="27.75" customHeight="1" x14ac:dyDescent="0.2">
      <c r="A88" s="322" t="s">
        <v>585</v>
      </c>
      <c r="B88" s="27" t="s">
        <v>1955</v>
      </c>
      <c r="C88" s="311">
        <v>0</v>
      </c>
      <c r="D88" s="329" t="s">
        <v>797</v>
      </c>
      <c r="E88" s="328" t="s">
        <v>797</v>
      </c>
    </row>
    <row r="89" spans="1:5" ht="27.75" customHeight="1" x14ac:dyDescent="0.2">
      <c r="A89" s="322" t="s">
        <v>586</v>
      </c>
      <c r="B89" s="27" t="s">
        <v>1956</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1957</v>
      </c>
      <c r="C91" s="311">
        <v>0</v>
      </c>
      <c r="D91" s="329" t="s">
        <v>797</v>
      </c>
      <c r="E91" s="328" t="s">
        <v>797</v>
      </c>
    </row>
    <row r="92" spans="1:5" ht="27.75" customHeight="1" x14ac:dyDescent="0.2">
      <c r="A92" s="322" t="s">
        <v>589</v>
      </c>
      <c r="B92" s="27" t="s">
        <v>1958</v>
      </c>
      <c r="C92" s="311">
        <v>0</v>
      </c>
      <c r="D92" s="329" t="s">
        <v>797</v>
      </c>
      <c r="E92" s="328" t="s">
        <v>797</v>
      </c>
    </row>
    <row r="93" spans="1:5" ht="27.75" customHeight="1" x14ac:dyDescent="0.2">
      <c r="A93" s="322" t="s">
        <v>590</v>
      </c>
      <c r="B93" s="27" t="s">
        <v>1959</v>
      </c>
      <c r="C93" s="311">
        <v>0</v>
      </c>
      <c r="D93" s="329" t="s">
        <v>797</v>
      </c>
      <c r="E93" s="328" t="s">
        <v>797</v>
      </c>
    </row>
    <row r="94" spans="1:5" ht="27.75" customHeight="1" x14ac:dyDescent="0.2">
      <c r="A94" s="322" t="s">
        <v>591</v>
      </c>
      <c r="B94" s="27" t="s">
        <v>1960</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1961</v>
      </c>
      <c r="C96" s="311">
        <v>0</v>
      </c>
      <c r="D96" s="329" t="s">
        <v>797</v>
      </c>
      <c r="E96" s="328" t="s">
        <v>797</v>
      </c>
    </row>
    <row r="97" spans="1:5" ht="27.75" customHeight="1" x14ac:dyDescent="0.2">
      <c r="A97" s="322" t="s">
        <v>594</v>
      </c>
      <c r="B97" s="27" t="s">
        <v>1962</v>
      </c>
      <c r="C97" s="311">
        <v>0</v>
      </c>
      <c r="D97" s="329" t="s">
        <v>797</v>
      </c>
      <c r="E97" s="328" t="s">
        <v>797</v>
      </c>
    </row>
    <row r="98" spans="1:5" ht="27.75" customHeight="1" x14ac:dyDescent="0.2">
      <c r="A98" s="322" t="s">
        <v>595</v>
      </c>
      <c r="B98" s="27" t="s">
        <v>1963</v>
      </c>
      <c r="C98" s="311">
        <v>0</v>
      </c>
      <c r="D98" s="329" t="s">
        <v>797</v>
      </c>
      <c r="E98" s="328" t="s">
        <v>797</v>
      </c>
    </row>
    <row r="99" spans="1:5" ht="27.75" customHeight="1" x14ac:dyDescent="0.2">
      <c r="A99" s="322" t="s">
        <v>596</v>
      </c>
      <c r="B99" s="27"/>
      <c r="C99" s="311">
        <v>0</v>
      </c>
      <c r="D99" s="329" t="s">
        <v>797</v>
      </c>
      <c r="E99" s="328" t="s">
        <v>797</v>
      </c>
    </row>
    <row r="100" spans="1:5" ht="27.75" customHeight="1" x14ac:dyDescent="0.2">
      <c r="A100" s="322" t="s">
        <v>729</v>
      </c>
      <c r="B100" s="27"/>
      <c r="C100" s="311" t="s">
        <v>802</v>
      </c>
      <c r="D100" s="328"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9" t="s">
        <v>797</v>
      </c>
      <c r="E120" s="328" t="s">
        <v>797</v>
      </c>
    </row>
    <row r="121" spans="1:5" ht="27.75" customHeight="1" x14ac:dyDescent="0.2">
      <c r="A121" s="322" t="s">
        <v>730</v>
      </c>
      <c r="B121" s="27"/>
      <c r="C121" s="311" t="s">
        <v>802</v>
      </c>
      <c r="D121" s="328"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9" t="s">
        <v>797</v>
      </c>
      <c r="E141" s="328" t="s">
        <v>797</v>
      </c>
    </row>
    <row r="142" spans="1:5" ht="27.75" customHeight="1" x14ac:dyDescent="0.2">
      <c r="A142" s="322" t="s">
        <v>731</v>
      </c>
      <c r="B142" s="27"/>
      <c r="C142" s="311" t="s">
        <v>802</v>
      </c>
      <c r="D142" s="328"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284586E-E361-4BF2-BCA2-B816A31EA836}"/>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385"/>
      <c r="C1" s="386"/>
      <c r="D1" s="386"/>
      <c r="E1" s="410" t="s">
        <v>367</v>
      </c>
      <c r="F1" s="410"/>
      <c r="G1" s="410"/>
      <c r="H1" s="410"/>
      <c r="I1" s="410"/>
      <c r="J1" s="410"/>
      <c r="K1" s="410"/>
      <c r="L1" s="241"/>
      <c r="M1" s="340"/>
      <c r="N1" s="242"/>
      <c r="O1" s="241"/>
    </row>
    <row r="2" spans="1:15" ht="41.25" customHeight="1" x14ac:dyDescent="0.2">
      <c r="A2" s="384" t="str">
        <f>Overview!B4&amp;" - Effective from "&amp;TEXT(Overview!$D$4,"d mmmm yyyy")&amp;" - Final LV and HV charges in WPD West Midlands Area (GSP Group _E)"</f>
        <v>Leep Electricity Networks Limited - Effective from 1 April 2027 - Final LV and HV charges in WPD West Midlands Area (GSP Group _E)</v>
      </c>
      <c r="B2" s="384"/>
      <c r="C2" s="384"/>
      <c r="D2" s="384"/>
      <c r="E2" s="384"/>
      <c r="F2" s="384"/>
      <c r="G2" s="384"/>
      <c r="H2" s="384"/>
      <c r="I2" s="384"/>
      <c r="J2" s="384"/>
      <c r="K2" s="384"/>
    </row>
    <row r="3" spans="1:15" s="40" customFormat="1" ht="15" customHeight="1" x14ac:dyDescent="0.2">
      <c r="A3" s="45"/>
      <c r="B3" s="45"/>
      <c r="C3" s="45"/>
      <c r="D3" s="45"/>
      <c r="E3" s="45"/>
      <c r="F3" s="45"/>
      <c r="G3" s="45"/>
      <c r="H3" s="45"/>
      <c r="I3" s="45"/>
      <c r="J3" s="45"/>
      <c r="K3" s="45"/>
      <c r="L3" s="98"/>
      <c r="M3" s="342"/>
    </row>
    <row r="4" spans="1:15" ht="18" customHeight="1" x14ac:dyDescent="0.2">
      <c r="A4" s="384" t="s">
        <v>290</v>
      </c>
      <c r="B4" s="384"/>
      <c r="C4" s="384"/>
      <c r="D4" s="384"/>
      <c r="E4" s="384"/>
      <c r="F4" s="45"/>
      <c r="G4" s="384" t="s">
        <v>289</v>
      </c>
      <c r="H4" s="384"/>
      <c r="I4" s="384"/>
      <c r="J4" s="384"/>
      <c r="K4" s="384"/>
    </row>
    <row r="5" spans="1:15" ht="25.5" x14ac:dyDescent="0.2">
      <c r="A5" s="39" t="s">
        <v>13</v>
      </c>
      <c r="B5" s="256" t="s">
        <v>281</v>
      </c>
      <c r="C5" s="379" t="s">
        <v>282</v>
      </c>
      <c r="D5" s="380"/>
      <c r="E5" s="41" t="s">
        <v>283</v>
      </c>
      <c r="F5" s="45"/>
      <c r="G5" s="381"/>
      <c r="H5" s="382"/>
      <c r="I5" s="43" t="s">
        <v>287</v>
      </c>
      <c r="J5" s="44" t="s">
        <v>288</v>
      </c>
      <c r="K5" s="41" t="s">
        <v>283</v>
      </c>
      <c r="L5" s="45"/>
      <c r="N5" s="3"/>
    </row>
    <row r="6" spans="1:15" ht="45" customHeight="1" x14ac:dyDescent="0.2">
      <c r="A6" s="267" t="s">
        <v>794</v>
      </c>
      <c r="B6" s="13" t="s">
        <v>370</v>
      </c>
      <c r="C6" s="375" t="s">
        <v>2024</v>
      </c>
      <c r="D6" s="375"/>
      <c r="E6" s="95" t="s">
        <v>2025</v>
      </c>
      <c r="F6" s="45" t="s">
        <v>797</v>
      </c>
      <c r="G6" s="413" t="s">
        <v>2026</v>
      </c>
      <c r="H6" s="413"/>
      <c r="I6" s="13" t="s">
        <v>372</v>
      </c>
      <c r="J6" s="248" t="s">
        <v>2024</v>
      </c>
      <c r="K6" s="248" t="s">
        <v>2025</v>
      </c>
      <c r="L6" s="45"/>
      <c r="N6" s="3"/>
    </row>
    <row r="7" spans="1:15" ht="39" customHeight="1" x14ac:dyDescent="0.2">
      <c r="A7" s="267" t="s">
        <v>798</v>
      </c>
      <c r="B7" s="250" t="s">
        <v>797</v>
      </c>
      <c r="C7" s="394" t="s">
        <v>797</v>
      </c>
      <c r="D7" s="395"/>
      <c r="E7" s="248" t="s">
        <v>2027</v>
      </c>
      <c r="F7" s="45" t="s">
        <v>797</v>
      </c>
      <c r="G7" s="413" t="s">
        <v>2028</v>
      </c>
      <c r="H7" s="413"/>
      <c r="I7" s="250" t="s">
        <v>797</v>
      </c>
      <c r="J7" s="248" t="s">
        <v>2029</v>
      </c>
      <c r="K7" s="248" t="s">
        <v>2025</v>
      </c>
      <c r="L7" s="45"/>
      <c r="N7" s="3"/>
    </row>
    <row r="8" spans="1:15" ht="29.25" customHeight="1" x14ac:dyDescent="0.2">
      <c r="A8" s="253" t="s">
        <v>14</v>
      </c>
      <c r="B8" s="375" t="s">
        <v>15</v>
      </c>
      <c r="C8" s="375"/>
      <c r="D8" s="375"/>
      <c r="E8" s="375"/>
      <c r="F8" s="45" t="s">
        <v>797</v>
      </c>
      <c r="G8" s="413" t="s">
        <v>2030</v>
      </c>
      <c r="H8" s="413"/>
      <c r="I8" s="250" t="s">
        <v>797</v>
      </c>
      <c r="J8" s="250" t="s">
        <v>797</v>
      </c>
      <c r="K8" s="248" t="s">
        <v>2027</v>
      </c>
      <c r="L8" s="45"/>
      <c r="N8" s="3"/>
    </row>
    <row r="9" spans="1:15" s="40" customFormat="1" ht="18" customHeight="1" x14ac:dyDescent="0.2">
      <c r="A9" s="254" t="s">
        <v>797</v>
      </c>
      <c r="B9" s="254" t="s">
        <v>797</v>
      </c>
      <c r="C9" s="414" t="s">
        <v>797</v>
      </c>
      <c r="D9" s="414"/>
      <c r="E9" s="254" t="s">
        <v>797</v>
      </c>
      <c r="F9" s="45" t="s">
        <v>797</v>
      </c>
      <c r="G9" s="413" t="s">
        <v>14</v>
      </c>
      <c r="H9" s="413"/>
      <c r="I9" s="391" t="s">
        <v>15</v>
      </c>
      <c r="J9" s="392"/>
      <c r="K9" s="393"/>
      <c r="L9" s="45"/>
      <c r="M9" s="342"/>
      <c r="N9" s="30"/>
    </row>
    <row r="10" spans="1:15" s="40" customFormat="1" ht="13.5" customHeight="1" x14ac:dyDescent="0.2">
      <c r="A10" s="118"/>
      <c r="B10" s="415"/>
      <c r="C10" s="415"/>
      <c r="D10" s="415"/>
      <c r="E10" s="415"/>
      <c r="F10" s="45"/>
      <c r="G10" s="416"/>
      <c r="H10" s="416"/>
      <c r="I10" s="255"/>
      <c r="J10" s="255"/>
      <c r="K10" s="255"/>
      <c r="L10" s="45"/>
      <c r="M10" s="342"/>
      <c r="N10" s="30"/>
    </row>
    <row r="11" spans="1:15" s="40" customFormat="1" ht="13.5" customHeight="1" x14ac:dyDescent="0.2">
      <c r="A11" s="294"/>
      <c r="B11" s="296"/>
      <c r="C11" s="296"/>
      <c r="D11" s="296"/>
      <c r="E11" s="296"/>
      <c r="F11" s="45"/>
      <c r="G11" s="310"/>
      <c r="H11" s="310"/>
      <c r="I11" s="310"/>
      <c r="J11" s="310"/>
      <c r="K11" s="310"/>
      <c r="L11" s="45"/>
      <c r="M11" s="342"/>
      <c r="N11" s="30"/>
    </row>
    <row r="12" spans="1:15" s="40" customFormat="1" ht="13.5" customHeight="1" x14ac:dyDescent="0.2">
      <c r="A12" s="45"/>
      <c r="B12" s="45"/>
      <c r="C12" s="45"/>
      <c r="D12" s="45"/>
      <c r="E12" s="45"/>
      <c r="F12" s="45"/>
      <c r="G12" s="411"/>
      <c r="H12" s="411"/>
      <c r="I12" s="412"/>
      <c r="J12" s="412"/>
      <c r="K12" s="412"/>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312"/>
    </row>
    <row r="14" spans="1:15" ht="32.85" customHeight="1" x14ac:dyDescent="0.2">
      <c r="A14" s="10" t="s">
        <v>674</v>
      </c>
      <c r="B14" s="332" t="s">
        <v>921</v>
      </c>
      <c r="C14" s="311" t="s">
        <v>802</v>
      </c>
      <c r="D14" s="90">
        <v>12.08</v>
      </c>
      <c r="E14" s="91">
        <v>1.5189999999999999</v>
      </c>
      <c r="F14" s="92">
        <v>0.188</v>
      </c>
      <c r="G14" s="28">
        <v>16.78</v>
      </c>
      <c r="H14" s="29" t="s">
        <v>797</v>
      </c>
      <c r="I14" s="29" t="s">
        <v>797</v>
      </c>
      <c r="J14" s="26" t="s">
        <v>797</v>
      </c>
      <c r="K14" s="27"/>
    </row>
    <row r="15" spans="1:15" ht="32.85" customHeight="1" x14ac:dyDescent="0.2">
      <c r="A15" s="10" t="s">
        <v>495</v>
      </c>
      <c r="B15" s="332" t="s">
        <v>797</v>
      </c>
      <c r="C15" s="311" t="s">
        <v>2031</v>
      </c>
      <c r="D15" s="90">
        <v>12.08</v>
      </c>
      <c r="E15" s="91">
        <v>1.5189999999999999</v>
      </c>
      <c r="F15" s="92">
        <v>0.188</v>
      </c>
      <c r="G15" s="29" t="s">
        <v>797</v>
      </c>
      <c r="H15" s="29" t="s">
        <v>797</v>
      </c>
      <c r="I15" s="29" t="s">
        <v>797</v>
      </c>
      <c r="J15" s="26" t="s">
        <v>797</v>
      </c>
      <c r="K15" s="27"/>
    </row>
    <row r="16" spans="1:15" ht="32.85" customHeight="1" x14ac:dyDescent="0.2">
      <c r="A16" s="10" t="s">
        <v>675</v>
      </c>
      <c r="B16" s="332" t="s">
        <v>922</v>
      </c>
      <c r="C16" s="311" t="s">
        <v>803</v>
      </c>
      <c r="D16" s="90">
        <v>10.914999999999999</v>
      </c>
      <c r="E16" s="91">
        <v>1.3720000000000001</v>
      </c>
      <c r="F16" s="92">
        <v>0.17</v>
      </c>
      <c r="G16" s="28">
        <v>15.46</v>
      </c>
      <c r="H16" s="29" t="s">
        <v>797</v>
      </c>
      <c r="I16" s="29" t="s">
        <v>797</v>
      </c>
      <c r="J16" s="26" t="s">
        <v>797</v>
      </c>
      <c r="K16" s="27"/>
    </row>
    <row r="17" spans="1:11" ht="32.85" customHeight="1" x14ac:dyDescent="0.2">
      <c r="A17" s="10" t="s">
        <v>676</v>
      </c>
      <c r="B17" s="332" t="s">
        <v>923</v>
      </c>
      <c r="C17" s="311" t="s">
        <v>803</v>
      </c>
      <c r="D17" s="90">
        <v>10.914999999999999</v>
      </c>
      <c r="E17" s="91">
        <v>1.3720000000000001</v>
      </c>
      <c r="F17" s="92">
        <v>0.17</v>
      </c>
      <c r="G17" s="28">
        <v>19.8</v>
      </c>
      <c r="H17" s="29" t="s">
        <v>797</v>
      </c>
      <c r="I17" s="29" t="s">
        <v>797</v>
      </c>
      <c r="J17" s="26" t="s">
        <v>797</v>
      </c>
      <c r="K17" s="27"/>
    </row>
    <row r="18" spans="1:11" ht="32.85" customHeight="1" x14ac:dyDescent="0.2">
      <c r="A18" s="10" t="s">
        <v>677</v>
      </c>
      <c r="B18" s="332" t="s">
        <v>924</v>
      </c>
      <c r="C18" s="311" t="s">
        <v>803</v>
      </c>
      <c r="D18" s="90">
        <v>10.914999999999999</v>
      </c>
      <c r="E18" s="91">
        <v>1.3720000000000001</v>
      </c>
      <c r="F18" s="92">
        <v>0.17</v>
      </c>
      <c r="G18" s="28">
        <v>32.24</v>
      </c>
      <c r="H18" s="29" t="s">
        <v>797</v>
      </c>
      <c r="I18" s="29" t="s">
        <v>797</v>
      </c>
      <c r="J18" s="26" t="s">
        <v>797</v>
      </c>
      <c r="K18" s="27"/>
    </row>
    <row r="19" spans="1:11" ht="32.85" customHeight="1" x14ac:dyDescent="0.2">
      <c r="A19" s="10" t="s">
        <v>678</v>
      </c>
      <c r="B19" s="332" t="s">
        <v>925</v>
      </c>
      <c r="C19" s="311" t="s">
        <v>803</v>
      </c>
      <c r="D19" s="90">
        <v>10.914999999999999</v>
      </c>
      <c r="E19" s="91">
        <v>1.3720000000000001</v>
      </c>
      <c r="F19" s="92">
        <v>0.17</v>
      </c>
      <c r="G19" s="28">
        <v>51.59</v>
      </c>
      <c r="H19" s="29" t="s">
        <v>797</v>
      </c>
      <c r="I19" s="29" t="s">
        <v>797</v>
      </c>
      <c r="J19" s="26" t="s">
        <v>797</v>
      </c>
      <c r="K19" s="27"/>
    </row>
    <row r="20" spans="1:11" ht="32.85" customHeight="1" x14ac:dyDescent="0.2">
      <c r="A20" s="10" t="s">
        <v>679</v>
      </c>
      <c r="B20" s="332" t="s">
        <v>926</v>
      </c>
      <c r="C20" s="311" t="s">
        <v>803</v>
      </c>
      <c r="D20" s="90">
        <v>10.914999999999999</v>
      </c>
      <c r="E20" s="91">
        <v>1.3720000000000001</v>
      </c>
      <c r="F20" s="92">
        <v>0.17</v>
      </c>
      <c r="G20" s="28">
        <v>108.96</v>
      </c>
      <c r="H20" s="29" t="s">
        <v>797</v>
      </c>
      <c r="I20" s="29" t="s">
        <v>797</v>
      </c>
      <c r="J20" s="26" t="s">
        <v>797</v>
      </c>
      <c r="K20" s="27"/>
    </row>
    <row r="21" spans="1:11" ht="32.85" customHeight="1" x14ac:dyDescent="0.2">
      <c r="A21" s="10" t="s">
        <v>476</v>
      </c>
      <c r="B21" s="332" t="s">
        <v>797</v>
      </c>
      <c r="C21" s="311" t="s">
        <v>2032</v>
      </c>
      <c r="D21" s="90">
        <v>10.914999999999999</v>
      </c>
      <c r="E21" s="91">
        <v>1.3720000000000001</v>
      </c>
      <c r="F21" s="92">
        <v>0.17</v>
      </c>
      <c r="G21" s="29" t="s">
        <v>797</v>
      </c>
      <c r="H21" s="29" t="s">
        <v>797</v>
      </c>
      <c r="I21" s="29" t="s">
        <v>797</v>
      </c>
      <c r="J21" s="26" t="s">
        <v>797</v>
      </c>
      <c r="K21" s="27"/>
    </row>
    <row r="22" spans="1:11" ht="32.85" customHeight="1" x14ac:dyDescent="0.2">
      <c r="A22" s="10" t="s">
        <v>496</v>
      </c>
      <c r="B22" s="332" t="s">
        <v>927</v>
      </c>
      <c r="C22" s="311">
        <v>0</v>
      </c>
      <c r="D22" s="90">
        <v>6.9710000000000001</v>
      </c>
      <c r="E22" s="91">
        <v>0.86599999999999999</v>
      </c>
      <c r="F22" s="92">
        <v>9.6000000000000002E-2</v>
      </c>
      <c r="G22" s="28">
        <v>15.46</v>
      </c>
      <c r="H22" s="28">
        <v>11.21</v>
      </c>
      <c r="I22" s="89">
        <v>11.21</v>
      </c>
      <c r="J22" s="25">
        <v>0.152</v>
      </c>
      <c r="K22" s="27"/>
    </row>
    <row r="23" spans="1:11" ht="32.85" customHeight="1" x14ac:dyDescent="0.2">
      <c r="A23" s="10" t="s">
        <v>497</v>
      </c>
      <c r="B23" s="332" t="s">
        <v>928</v>
      </c>
      <c r="C23" s="311">
        <v>0</v>
      </c>
      <c r="D23" s="90">
        <v>6.9710000000000001</v>
      </c>
      <c r="E23" s="91">
        <v>0.86599999999999999</v>
      </c>
      <c r="F23" s="92">
        <v>9.6000000000000002E-2</v>
      </c>
      <c r="G23" s="28">
        <v>172.59</v>
      </c>
      <c r="H23" s="28">
        <v>11.21</v>
      </c>
      <c r="I23" s="89">
        <v>11.21</v>
      </c>
      <c r="J23" s="25">
        <v>0.152</v>
      </c>
      <c r="K23" s="27"/>
    </row>
    <row r="24" spans="1:11" ht="32.85" customHeight="1" x14ac:dyDescent="0.2">
      <c r="A24" s="10" t="s">
        <v>498</v>
      </c>
      <c r="B24" s="332" t="s">
        <v>929</v>
      </c>
      <c r="C24" s="311">
        <v>0</v>
      </c>
      <c r="D24" s="90">
        <v>6.9710000000000001</v>
      </c>
      <c r="E24" s="91">
        <v>0.86599999999999999</v>
      </c>
      <c r="F24" s="92">
        <v>9.6000000000000002E-2</v>
      </c>
      <c r="G24" s="28">
        <v>294.58</v>
      </c>
      <c r="H24" s="28">
        <v>11.21</v>
      </c>
      <c r="I24" s="89">
        <v>11.21</v>
      </c>
      <c r="J24" s="25">
        <v>0.152</v>
      </c>
      <c r="K24" s="27"/>
    </row>
    <row r="25" spans="1:11" ht="32.85" customHeight="1" x14ac:dyDescent="0.2">
      <c r="A25" s="10" t="s">
        <v>499</v>
      </c>
      <c r="B25" s="332" t="s">
        <v>930</v>
      </c>
      <c r="C25" s="311">
        <v>0</v>
      </c>
      <c r="D25" s="90">
        <v>6.9710000000000001</v>
      </c>
      <c r="E25" s="91">
        <v>0.86599999999999999</v>
      </c>
      <c r="F25" s="92">
        <v>9.6000000000000002E-2</v>
      </c>
      <c r="G25" s="28">
        <v>454.06</v>
      </c>
      <c r="H25" s="28">
        <v>11.21</v>
      </c>
      <c r="I25" s="89">
        <v>11.21</v>
      </c>
      <c r="J25" s="25">
        <v>0.152</v>
      </c>
      <c r="K25" s="27"/>
    </row>
    <row r="26" spans="1:11" ht="32.85" customHeight="1" x14ac:dyDescent="0.2">
      <c r="A26" s="10" t="s">
        <v>500</v>
      </c>
      <c r="B26" s="332" t="s">
        <v>931</v>
      </c>
      <c r="C26" s="311">
        <v>0</v>
      </c>
      <c r="D26" s="90">
        <v>6.9710000000000001</v>
      </c>
      <c r="E26" s="91">
        <v>0.86599999999999999</v>
      </c>
      <c r="F26" s="92">
        <v>9.6000000000000002E-2</v>
      </c>
      <c r="G26" s="28">
        <v>809.6</v>
      </c>
      <c r="H26" s="28">
        <v>11.21</v>
      </c>
      <c r="I26" s="89">
        <v>11.21</v>
      </c>
      <c r="J26" s="25">
        <v>0.152</v>
      </c>
      <c r="K26" s="27"/>
    </row>
    <row r="27" spans="1:11" ht="32.85" customHeight="1" x14ac:dyDescent="0.2">
      <c r="A27" s="10" t="s">
        <v>501</v>
      </c>
      <c r="B27" s="332" t="s">
        <v>932</v>
      </c>
      <c r="C27" s="311">
        <v>0</v>
      </c>
      <c r="D27" s="90">
        <v>3.827</v>
      </c>
      <c r="E27" s="91">
        <v>0.45900000000000002</v>
      </c>
      <c r="F27" s="92">
        <v>3.2000000000000001E-2</v>
      </c>
      <c r="G27" s="28">
        <v>12.07</v>
      </c>
      <c r="H27" s="28">
        <v>9.6199999999999992</v>
      </c>
      <c r="I27" s="89">
        <v>9.6199999999999992</v>
      </c>
      <c r="J27" s="25">
        <v>8.2000000000000003E-2</v>
      </c>
      <c r="K27" s="27"/>
    </row>
    <row r="28" spans="1:11" ht="32.85" customHeight="1" x14ac:dyDescent="0.2">
      <c r="A28" s="10" t="s">
        <v>502</v>
      </c>
      <c r="B28" s="332" t="s">
        <v>933</v>
      </c>
      <c r="C28" s="311">
        <v>0</v>
      </c>
      <c r="D28" s="90">
        <v>3.827</v>
      </c>
      <c r="E28" s="91">
        <v>0.45900000000000002</v>
      </c>
      <c r="F28" s="92">
        <v>3.2000000000000001E-2</v>
      </c>
      <c r="G28" s="28">
        <v>169.2</v>
      </c>
      <c r="H28" s="28">
        <v>9.6199999999999992</v>
      </c>
      <c r="I28" s="89">
        <v>9.6199999999999992</v>
      </c>
      <c r="J28" s="25">
        <v>8.2000000000000003E-2</v>
      </c>
      <c r="K28" s="27"/>
    </row>
    <row r="29" spans="1:11" ht="32.85" customHeight="1" x14ac:dyDescent="0.2">
      <c r="A29" s="10" t="s">
        <v>503</v>
      </c>
      <c r="B29" s="332" t="s">
        <v>934</v>
      </c>
      <c r="C29" s="311">
        <v>0</v>
      </c>
      <c r="D29" s="90">
        <v>3.827</v>
      </c>
      <c r="E29" s="91">
        <v>0.45900000000000002</v>
      </c>
      <c r="F29" s="92">
        <v>3.2000000000000001E-2</v>
      </c>
      <c r="G29" s="28">
        <v>291.19</v>
      </c>
      <c r="H29" s="28">
        <v>9.6199999999999992</v>
      </c>
      <c r="I29" s="89">
        <v>9.6199999999999992</v>
      </c>
      <c r="J29" s="25">
        <v>8.2000000000000003E-2</v>
      </c>
      <c r="K29" s="27"/>
    </row>
    <row r="30" spans="1:11" ht="32.85" customHeight="1" x14ac:dyDescent="0.2">
      <c r="A30" s="10" t="s">
        <v>504</v>
      </c>
      <c r="B30" s="332" t="s">
        <v>935</v>
      </c>
      <c r="C30" s="311">
        <v>0</v>
      </c>
      <c r="D30" s="90">
        <v>3.827</v>
      </c>
      <c r="E30" s="91">
        <v>0.45900000000000002</v>
      </c>
      <c r="F30" s="92">
        <v>3.2000000000000001E-2</v>
      </c>
      <c r="G30" s="28">
        <v>450.67</v>
      </c>
      <c r="H30" s="28">
        <v>9.6199999999999992</v>
      </c>
      <c r="I30" s="89">
        <v>9.6199999999999992</v>
      </c>
      <c r="J30" s="25">
        <v>8.2000000000000003E-2</v>
      </c>
      <c r="K30" s="27"/>
    </row>
    <row r="31" spans="1:11" ht="32.85" customHeight="1" x14ac:dyDescent="0.2">
      <c r="A31" s="10" t="s">
        <v>505</v>
      </c>
      <c r="B31" s="332" t="s">
        <v>936</v>
      </c>
      <c r="C31" s="311">
        <v>0</v>
      </c>
      <c r="D31" s="90">
        <v>3.827</v>
      </c>
      <c r="E31" s="91">
        <v>0.45900000000000002</v>
      </c>
      <c r="F31" s="92">
        <v>3.2000000000000001E-2</v>
      </c>
      <c r="G31" s="28">
        <v>806.21</v>
      </c>
      <c r="H31" s="28">
        <v>9.6199999999999992</v>
      </c>
      <c r="I31" s="89">
        <v>9.6199999999999992</v>
      </c>
      <c r="J31" s="25">
        <v>8.2000000000000003E-2</v>
      </c>
      <c r="K31" s="27"/>
    </row>
    <row r="32" spans="1:11" ht="32.85" customHeight="1" x14ac:dyDescent="0.2">
      <c r="A32" s="10" t="s">
        <v>506</v>
      </c>
      <c r="B32" s="332" t="s">
        <v>937</v>
      </c>
      <c r="C32" s="311">
        <v>0</v>
      </c>
      <c r="D32" s="90">
        <v>1.8779999999999999</v>
      </c>
      <c r="E32" s="91">
        <v>0.21199999999999999</v>
      </c>
      <c r="F32" s="92">
        <v>1.0999999999999999E-2</v>
      </c>
      <c r="G32" s="28">
        <v>111.38</v>
      </c>
      <c r="H32" s="28">
        <v>9.69</v>
      </c>
      <c r="I32" s="89">
        <v>9.69</v>
      </c>
      <c r="J32" s="25">
        <v>3.5999999999999997E-2</v>
      </c>
      <c r="K32" s="27"/>
    </row>
    <row r="33" spans="1:11" ht="32.85" customHeight="1" x14ac:dyDescent="0.2">
      <c r="A33" s="10" t="s">
        <v>507</v>
      </c>
      <c r="B33" s="332" t="s">
        <v>938</v>
      </c>
      <c r="C33" s="311">
        <v>0</v>
      </c>
      <c r="D33" s="90">
        <v>1.8779999999999999</v>
      </c>
      <c r="E33" s="91">
        <v>0.21199999999999999</v>
      </c>
      <c r="F33" s="92">
        <v>1.0999999999999999E-2</v>
      </c>
      <c r="G33" s="28">
        <v>1068.3900000000001</v>
      </c>
      <c r="H33" s="28">
        <v>9.69</v>
      </c>
      <c r="I33" s="89">
        <v>9.69</v>
      </c>
      <c r="J33" s="25">
        <v>3.5999999999999997E-2</v>
      </c>
      <c r="K33" s="27"/>
    </row>
    <row r="34" spans="1:11" ht="32.85" customHeight="1" x14ac:dyDescent="0.2">
      <c r="A34" s="10" t="s">
        <v>508</v>
      </c>
      <c r="B34" s="332" t="s">
        <v>939</v>
      </c>
      <c r="C34" s="311">
        <v>0</v>
      </c>
      <c r="D34" s="90">
        <v>1.8779999999999999</v>
      </c>
      <c r="E34" s="91">
        <v>0.21199999999999999</v>
      </c>
      <c r="F34" s="92">
        <v>1.0999999999999999E-2</v>
      </c>
      <c r="G34" s="28">
        <v>2987.51</v>
      </c>
      <c r="H34" s="28">
        <v>9.69</v>
      </c>
      <c r="I34" s="89">
        <v>9.69</v>
      </c>
      <c r="J34" s="25">
        <v>3.5999999999999997E-2</v>
      </c>
      <c r="K34" s="27"/>
    </row>
    <row r="35" spans="1:11" ht="32.85" customHeight="1" x14ac:dyDescent="0.2">
      <c r="A35" s="10" t="s">
        <v>509</v>
      </c>
      <c r="B35" s="332" t="s">
        <v>940</v>
      </c>
      <c r="C35" s="311">
        <v>0</v>
      </c>
      <c r="D35" s="90">
        <v>1.8779999999999999</v>
      </c>
      <c r="E35" s="91">
        <v>0.21199999999999999</v>
      </c>
      <c r="F35" s="92">
        <v>1.0999999999999999E-2</v>
      </c>
      <c r="G35" s="28">
        <v>5842.58</v>
      </c>
      <c r="H35" s="28">
        <v>9.69</v>
      </c>
      <c r="I35" s="89">
        <v>9.69</v>
      </c>
      <c r="J35" s="25">
        <v>3.5999999999999997E-2</v>
      </c>
      <c r="K35" s="27"/>
    </row>
    <row r="36" spans="1:11" ht="32.85" customHeight="1" x14ac:dyDescent="0.2">
      <c r="A36" s="10" t="s">
        <v>510</v>
      </c>
      <c r="B36" s="332" t="s">
        <v>941</v>
      </c>
      <c r="C36" s="311">
        <v>0</v>
      </c>
      <c r="D36" s="90">
        <v>1.8779999999999999</v>
      </c>
      <c r="E36" s="91">
        <v>0.21199999999999999</v>
      </c>
      <c r="F36" s="92">
        <v>1.0999999999999999E-2</v>
      </c>
      <c r="G36" s="28">
        <v>13110.32</v>
      </c>
      <c r="H36" s="28">
        <v>9.69</v>
      </c>
      <c r="I36" s="89">
        <v>9.69</v>
      </c>
      <c r="J36" s="25">
        <v>3.5999999999999997E-2</v>
      </c>
      <c r="K36" s="27"/>
    </row>
    <row r="37" spans="1:11" ht="32.85" customHeight="1" x14ac:dyDescent="0.2">
      <c r="A37" s="10" t="s">
        <v>477</v>
      </c>
      <c r="B37" s="332" t="s">
        <v>942</v>
      </c>
      <c r="C37" s="311" t="s">
        <v>804</v>
      </c>
      <c r="D37" s="93">
        <v>43.451999999999998</v>
      </c>
      <c r="E37" s="94">
        <v>3.34</v>
      </c>
      <c r="F37" s="92">
        <v>1.994</v>
      </c>
      <c r="G37" s="29" t="s">
        <v>797</v>
      </c>
      <c r="H37" s="29" t="s">
        <v>797</v>
      </c>
      <c r="I37" s="29" t="s">
        <v>797</v>
      </c>
      <c r="J37" s="26" t="s">
        <v>797</v>
      </c>
      <c r="K37" s="27"/>
    </row>
    <row r="38" spans="1:11" ht="32.85" customHeight="1" x14ac:dyDescent="0.2">
      <c r="A38" s="10" t="s">
        <v>666</v>
      </c>
      <c r="B38" s="332" t="s">
        <v>943</v>
      </c>
      <c r="C38" s="311">
        <v>0</v>
      </c>
      <c r="D38" s="90">
        <v>-7.5049999999999999</v>
      </c>
      <c r="E38" s="91">
        <v>-0.94399999999999995</v>
      </c>
      <c r="F38" s="92">
        <v>-0.11700000000000001</v>
      </c>
      <c r="G38" s="28" t="s">
        <v>797</v>
      </c>
      <c r="H38" s="29" t="s">
        <v>797</v>
      </c>
      <c r="I38" s="29" t="s">
        <v>797</v>
      </c>
      <c r="J38" s="26" t="s">
        <v>797</v>
      </c>
      <c r="K38" s="27"/>
    </row>
    <row r="39" spans="1:11" ht="32.85" customHeight="1" x14ac:dyDescent="0.2">
      <c r="A39" s="10" t="s">
        <v>667</v>
      </c>
      <c r="B39" s="332" t="s">
        <v>944</v>
      </c>
      <c r="C39" s="311">
        <v>0</v>
      </c>
      <c r="D39" s="90">
        <v>-5.915</v>
      </c>
      <c r="E39" s="91">
        <v>-0.73799999999999999</v>
      </c>
      <c r="F39" s="92">
        <v>-8.5000000000000006E-2</v>
      </c>
      <c r="G39" s="28" t="s">
        <v>797</v>
      </c>
      <c r="H39" s="29" t="s">
        <v>797</v>
      </c>
      <c r="I39" s="29" t="s">
        <v>797</v>
      </c>
      <c r="J39" s="26" t="s">
        <v>797</v>
      </c>
      <c r="K39" s="27"/>
    </row>
    <row r="40" spans="1:11" ht="32.85" customHeight="1" x14ac:dyDescent="0.2">
      <c r="A40" s="10" t="s">
        <v>668</v>
      </c>
      <c r="B40" s="332" t="s">
        <v>945</v>
      </c>
      <c r="C40" s="311">
        <v>0</v>
      </c>
      <c r="D40" s="90">
        <v>-7.5049999999999999</v>
      </c>
      <c r="E40" s="91">
        <v>-0.94399999999999995</v>
      </c>
      <c r="F40" s="92">
        <v>-0.11700000000000001</v>
      </c>
      <c r="G40" s="28" t="s">
        <v>797</v>
      </c>
      <c r="H40" s="29" t="s">
        <v>797</v>
      </c>
      <c r="I40" s="29" t="s">
        <v>797</v>
      </c>
      <c r="J40" s="25">
        <v>0.20899999999999999</v>
      </c>
      <c r="K40" s="27"/>
    </row>
    <row r="41" spans="1:11" ht="32.85" customHeight="1" x14ac:dyDescent="0.2">
      <c r="A41" s="10" t="s">
        <v>669</v>
      </c>
      <c r="B41" s="332" t="s">
        <v>797</v>
      </c>
      <c r="C41" s="311">
        <v>0</v>
      </c>
      <c r="D41" s="90">
        <v>-7.5049999999999999</v>
      </c>
      <c r="E41" s="91">
        <v>-0.94399999999999995</v>
      </c>
      <c r="F41" s="92">
        <v>-0.11700000000000001</v>
      </c>
      <c r="G41" s="28" t="s">
        <v>797</v>
      </c>
      <c r="H41" s="29" t="s">
        <v>797</v>
      </c>
      <c r="I41" s="29" t="s">
        <v>797</v>
      </c>
      <c r="J41" s="26" t="s">
        <v>797</v>
      </c>
      <c r="K41" s="27"/>
    </row>
    <row r="42" spans="1:11" ht="32.85" customHeight="1" x14ac:dyDescent="0.2">
      <c r="A42" s="10" t="s">
        <v>670</v>
      </c>
      <c r="B42" s="332" t="s">
        <v>797</v>
      </c>
      <c r="C42" s="311">
        <v>0</v>
      </c>
      <c r="D42" s="90">
        <v>-5.915</v>
      </c>
      <c r="E42" s="91">
        <v>-0.73799999999999999</v>
      </c>
      <c r="F42" s="92">
        <v>-8.5000000000000006E-2</v>
      </c>
      <c r="G42" s="28" t="s">
        <v>797</v>
      </c>
      <c r="H42" s="29" t="s">
        <v>797</v>
      </c>
      <c r="I42" s="29" t="s">
        <v>797</v>
      </c>
      <c r="J42" s="25">
        <v>0.14000000000000001</v>
      </c>
      <c r="K42" s="27"/>
    </row>
    <row r="43" spans="1:11" ht="32.85" customHeight="1" x14ac:dyDescent="0.2">
      <c r="A43" s="10" t="s">
        <v>671</v>
      </c>
      <c r="B43" s="332" t="s">
        <v>797</v>
      </c>
      <c r="C43" s="311">
        <v>0</v>
      </c>
      <c r="D43" s="90">
        <v>-5.915</v>
      </c>
      <c r="E43" s="91">
        <v>-0.73799999999999999</v>
      </c>
      <c r="F43" s="92">
        <v>-8.5000000000000006E-2</v>
      </c>
      <c r="G43" s="28" t="s">
        <v>797</v>
      </c>
      <c r="H43" s="29" t="s">
        <v>797</v>
      </c>
      <c r="I43" s="29" t="s">
        <v>797</v>
      </c>
      <c r="J43" s="26" t="s">
        <v>797</v>
      </c>
      <c r="K43" s="27"/>
    </row>
    <row r="44" spans="1:11" ht="32.85" customHeight="1" x14ac:dyDescent="0.2">
      <c r="A44" s="10" t="s">
        <v>672</v>
      </c>
      <c r="B44" s="332" t="s">
        <v>946</v>
      </c>
      <c r="C44" s="311">
        <v>0</v>
      </c>
      <c r="D44" s="90">
        <v>-2.8889999999999998</v>
      </c>
      <c r="E44" s="91">
        <v>-0.34599999999999997</v>
      </c>
      <c r="F44" s="92">
        <v>-2.4E-2</v>
      </c>
      <c r="G44" s="28">
        <v>69.709999999999994</v>
      </c>
      <c r="H44" s="29" t="s">
        <v>797</v>
      </c>
      <c r="I44" s="29" t="s">
        <v>797</v>
      </c>
      <c r="J44" s="25">
        <v>0.11</v>
      </c>
      <c r="K44" s="27"/>
    </row>
    <row r="45" spans="1:11" ht="32.85" customHeight="1" x14ac:dyDescent="0.2">
      <c r="A45" s="10" t="s">
        <v>673</v>
      </c>
      <c r="B45" s="332" t="s">
        <v>797</v>
      </c>
      <c r="C45" s="311">
        <v>0</v>
      </c>
      <c r="D45" s="90">
        <v>-2.8889999999999998</v>
      </c>
      <c r="E45" s="91">
        <v>-0.34599999999999997</v>
      </c>
      <c r="F45" s="92">
        <v>-2.4E-2</v>
      </c>
      <c r="G45" s="28">
        <v>69.709999999999994</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charges_E'; based on connection level, credits may therefore be lower than stated above.</v>
      </c>
    </row>
    <row r="47" spans="1:11" ht="27.75" customHeight="1" x14ac:dyDescent="0.2">
      <c r="A47" s="330" t="s">
        <v>421</v>
      </c>
    </row>
  </sheetData>
  <mergeCells count="20">
    <mergeCell ref="G12:H12"/>
    <mergeCell ref="I12:K12"/>
    <mergeCell ref="C6:D6"/>
    <mergeCell ref="G6:H6"/>
    <mergeCell ref="C7:D7"/>
    <mergeCell ref="G7:H7"/>
    <mergeCell ref="B8:E8"/>
    <mergeCell ref="G8:H8"/>
    <mergeCell ref="C9:D9"/>
    <mergeCell ref="G9:H9"/>
    <mergeCell ref="I9:K9"/>
    <mergeCell ref="B10:E10"/>
    <mergeCell ref="G10:H10"/>
    <mergeCell ref="C5:D5"/>
    <mergeCell ref="G5:H5"/>
    <mergeCell ref="B1:D1"/>
    <mergeCell ref="E1:K1"/>
    <mergeCell ref="A2:K2"/>
    <mergeCell ref="A4:E4"/>
    <mergeCell ref="G4:K4"/>
  </mergeCells>
  <hyperlinks>
    <hyperlink ref="A1" location="Overview!A1" display="Back to Overview" xr:uid="{D776B977-EF1D-419A-960B-0802408F00BB}"/>
    <hyperlink ref="A47" location="'Annex 4 LDNO charges_E'!A1" display="Annex 4 LDNO charges_E" xr:uid="{4271BBB1-7C85-4501-8B2A-60340C8F5C76}"/>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3F705-F283-45B5-9A9A-F39A4827D948}">
  <dimension ref="A1:M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4"/>
      <c r="C1" s="524"/>
      <c r="D1" s="327"/>
      <c r="E1" s="327"/>
    </row>
    <row r="2" spans="1:13" ht="35.1" customHeight="1" x14ac:dyDescent="0.2">
      <c r="A2" s="525" t="str">
        <f>Overview!B4&amp; " - Effective from "&amp;TEXT(Overview!D4,"d mmmm yyyy")&amp;" - "&amp;Overview!E4&amp;" Supplier of Last Resort and Eligible Bad Debt Pass-Through Costs"&amp;" in SSE SHEPD Area (GSP Group_P)"</f>
        <v>Leep Electricity Networks Limited - Effective from 1 April 2027 - Final Supplier of Last Resort and Eligible Bad Debt Pass-Through Costs in SSE SHEPD Area (GSP Group_P)</v>
      </c>
      <c r="B2" s="526"/>
      <c r="C2" s="526"/>
      <c r="D2" s="526"/>
      <c r="E2" s="527"/>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399"/>
      <c r="H4" s="400"/>
      <c r="I4" s="400"/>
      <c r="J4" s="400"/>
      <c r="K4" s="400"/>
      <c r="L4" s="400"/>
      <c r="M4" s="401"/>
    </row>
    <row r="5" spans="1:13" ht="32.25" customHeight="1" x14ac:dyDescent="0.2">
      <c r="A5" s="10" t="s">
        <v>674</v>
      </c>
      <c r="B5" s="27"/>
      <c r="C5" s="311" t="s">
        <v>802</v>
      </c>
      <c r="D5" s="328">
        <v>0</v>
      </c>
      <c r="E5" s="345" t="s">
        <v>797</v>
      </c>
      <c r="G5" s="400"/>
      <c r="H5" s="400"/>
      <c r="I5" s="400"/>
      <c r="J5" s="400"/>
      <c r="K5" s="400"/>
      <c r="L5" s="400"/>
      <c r="M5" s="401"/>
    </row>
    <row r="6" spans="1:13" ht="27" customHeight="1" x14ac:dyDescent="0.2">
      <c r="A6" s="10" t="s">
        <v>675</v>
      </c>
      <c r="B6" s="27"/>
      <c r="C6" s="311" t="s">
        <v>803</v>
      </c>
      <c r="D6" s="329" t="s">
        <v>797</v>
      </c>
      <c r="E6" s="345" t="s">
        <v>797</v>
      </c>
    </row>
    <row r="7" spans="1:13" ht="27" customHeight="1" x14ac:dyDescent="0.2">
      <c r="A7" s="10" t="s">
        <v>676</v>
      </c>
      <c r="B7" s="27"/>
      <c r="C7" s="311" t="s">
        <v>803</v>
      </c>
      <c r="D7" s="329" t="s">
        <v>797</v>
      </c>
      <c r="E7" s="345" t="s">
        <v>797</v>
      </c>
    </row>
    <row r="8" spans="1:13" ht="27" customHeight="1" x14ac:dyDescent="0.2">
      <c r="A8" s="10" t="s">
        <v>677</v>
      </c>
      <c r="B8" s="27"/>
      <c r="C8" s="311" t="s">
        <v>803</v>
      </c>
      <c r="D8" s="329" t="s">
        <v>797</v>
      </c>
      <c r="E8" s="345" t="s">
        <v>797</v>
      </c>
    </row>
    <row r="9" spans="1:13" ht="27" customHeight="1" x14ac:dyDescent="0.2">
      <c r="A9" s="10" t="s">
        <v>678</v>
      </c>
      <c r="B9" s="27"/>
      <c r="C9" s="311" t="s">
        <v>803</v>
      </c>
      <c r="D9" s="329" t="s">
        <v>797</v>
      </c>
      <c r="E9" s="345" t="s">
        <v>797</v>
      </c>
    </row>
    <row r="10" spans="1:13" ht="27" customHeight="1" x14ac:dyDescent="0.2">
      <c r="A10" s="10" t="s">
        <v>679</v>
      </c>
      <c r="B10" s="27"/>
      <c r="C10" s="311" t="s">
        <v>803</v>
      </c>
      <c r="D10" s="329" t="s">
        <v>797</v>
      </c>
      <c r="E10" s="345" t="s">
        <v>797</v>
      </c>
    </row>
    <row r="11" spans="1:13" ht="27" customHeight="1" x14ac:dyDescent="0.2">
      <c r="A11" s="322" t="s">
        <v>496</v>
      </c>
      <c r="B11" s="27"/>
      <c r="C11" s="311">
        <v>0</v>
      </c>
      <c r="D11" s="329" t="s">
        <v>797</v>
      </c>
      <c r="E11" s="345" t="s">
        <v>797</v>
      </c>
    </row>
    <row r="12" spans="1:13" ht="27" customHeight="1" x14ac:dyDescent="0.2">
      <c r="A12" s="322" t="s">
        <v>497</v>
      </c>
      <c r="B12" s="27"/>
      <c r="C12" s="311">
        <v>0</v>
      </c>
      <c r="D12" s="329" t="s">
        <v>797</v>
      </c>
      <c r="E12" s="345" t="s">
        <v>797</v>
      </c>
    </row>
    <row r="13" spans="1:13" ht="27" customHeight="1" x14ac:dyDescent="0.2">
      <c r="A13" s="322" t="s">
        <v>498</v>
      </c>
      <c r="B13" s="27"/>
      <c r="C13" s="311">
        <v>0</v>
      </c>
      <c r="D13" s="329" t="s">
        <v>797</v>
      </c>
      <c r="E13" s="345" t="s">
        <v>797</v>
      </c>
    </row>
    <row r="14" spans="1:13" ht="27.75" customHeight="1" x14ac:dyDescent="0.2">
      <c r="A14" s="322" t="s">
        <v>499</v>
      </c>
      <c r="B14" s="27"/>
      <c r="C14" s="311">
        <v>0</v>
      </c>
      <c r="D14" s="329" t="s">
        <v>797</v>
      </c>
      <c r="E14" s="345" t="s">
        <v>797</v>
      </c>
    </row>
    <row r="15" spans="1:13" ht="27.75" customHeight="1" x14ac:dyDescent="0.2">
      <c r="A15" s="323" t="s">
        <v>500</v>
      </c>
      <c r="B15" s="27"/>
      <c r="C15" s="311">
        <v>0</v>
      </c>
      <c r="D15" s="329" t="s">
        <v>797</v>
      </c>
      <c r="E15" s="345" t="s">
        <v>797</v>
      </c>
    </row>
    <row r="16" spans="1:13" ht="27.75" customHeight="1" x14ac:dyDescent="0.2">
      <c r="A16" s="323" t="s">
        <v>501</v>
      </c>
      <c r="B16" s="27"/>
      <c r="C16" s="311">
        <v>0</v>
      </c>
      <c r="D16" s="329" t="s">
        <v>797</v>
      </c>
      <c r="E16" s="345" t="s">
        <v>797</v>
      </c>
    </row>
    <row r="17" spans="1:6" ht="27.75" customHeight="1" x14ac:dyDescent="0.2">
      <c r="A17" s="323" t="s">
        <v>502</v>
      </c>
      <c r="B17" s="27"/>
      <c r="C17" s="311">
        <v>0</v>
      </c>
      <c r="D17" s="329" t="s">
        <v>797</v>
      </c>
      <c r="E17" s="345" t="s">
        <v>797</v>
      </c>
    </row>
    <row r="18" spans="1:6" ht="27.75" customHeight="1" x14ac:dyDescent="0.2">
      <c r="A18" s="323" t="s">
        <v>503</v>
      </c>
      <c r="B18" s="27"/>
      <c r="C18" s="311">
        <v>0</v>
      </c>
      <c r="D18" s="329" t="s">
        <v>797</v>
      </c>
      <c r="E18" s="345" t="s">
        <v>797</v>
      </c>
    </row>
    <row r="19" spans="1:6" ht="27.75" customHeight="1" x14ac:dyDescent="0.2">
      <c r="A19" s="323" t="s">
        <v>504</v>
      </c>
      <c r="B19" s="27"/>
      <c r="C19" s="311">
        <v>0</v>
      </c>
      <c r="D19" s="329" t="s">
        <v>797</v>
      </c>
      <c r="E19" s="345" t="s">
        <v>797</v>
      </c>
    </row>
    <row r="20" spans="1:6" ht="27.75" customHeight="1" x14ac:dyDescent="0.2">
      <c r="A20" s="323" t="s">
        <v>505</v>
      </c>
      <c r="B20" s="27"/>
      <c r="C20" s="311">
        <v>0</v>
      </c>
      <c r="D20" s="329" t="s">
        <v>797</v>
      </c>
      <c r="E20" s="345" t="s">
        <v>797</v>
      </c>
    </row>
    <row r="21" spans="1:6" ht="27.75" customHeight="1" x14ac:dyDescent="0.2">
      <c r="A21" s="323" t="s">
        <v>506</v>
      </c>
      <c r="B21" s="27"/>
      <c r="C21" s="311">
        <v>0</v>
      </c>
      <c r="D21" s="329" t="s">
        <v>797</v>
      </c>
      <c r="E21" s="345" t="s">
        <v>797</v>
      </c>
    </row>
    <row r="22" spans="1:6" ht="27.75" customHeight="1" x14ac:dyDescent="0.2">
      <c r="A22" s="323" t="s">
        <v>507</v>
      </c>
      <c r="B22" s="27"/>
      <c r="C22" s="311">
        <v>0</v>
      </c>
      <c r="D22" s="329" t="s">
        <v>797</v>
      </c>
      <c r="E22" s="345" t="s">
        <v>797</v>
      </c>
    </row>
    <row r="23" spans="1:6" ht="27.75" customHeight="1" x14ac:dyDescent="0.2">
      <c r="A23" s="322" t="s">
        <v>508</v>
      </c>
      <c r="B23" s="27"/>
      <c r="C23" s="311">
        <v>0</v>
      </c>
      <c r="D23" s="329" t="s">
        <v>797</v>
      </c>
      <c r="E23" s="345" t="s">
        <v>797</v>
      </c>
    </row>
    <row r="24" spans="1:6" ht="27.75" customHeight="1" x14ac:dyDescent="0.2">
      <c r="A24" s="322" t="s">
        <v>509</v>
      </c>
      <c r="B24" s="27"/>
      <c r="C24" s="311">
        <v>0</v>
      </c>
      <c r="D24" s="329" t="s">
        <v>797</v>
      </c>
      <c r="E24" s="345" t="s">
        <v>797</v>
      </c>
    </row>
    <row r="25" spans="1:6" ht="27.75" customHeight="1" x14ac:dyDescent="0.2">
      <c r="A25" s="322" t="s">
        <v>510</v>
      </c>
      <c r="B25" s="27"/>
      <c r="C25" s="311">
        <v>0</v>
      </c>
      <c r="D25" s="329" t="s">
        <v>797</v>
      </c>
      <c r="E25" s="345" t="s">
        <v>797</v>
      </c>
    </row>
    <row r="26" spans="1:6" ht="27.75" customHeight="1" x14ac:dyDescent="0.2">
      <c r="A26" s="322" t="s">
        <v>680</v>
      </c>
      <c r="B26" s="27" t="s">
        <v>1964</v>
      </c>
      <c r="C26" s="311" t="s">
        <v>802</v>
      </c>
      <c r="D26" s="328">
        <v>0</v>
      </c>
      <c r="E26" s="345" t="s">
        <v>797</v>
      </c>
      <c r="F26" s="347" t="str">
        <f>A26&amp;" with Residual"</f>
        <v>LDNO LV: Domestic Aggregated or CT with Residual with Residual</v>
      </c>
    </row>
    <row r="27" spans="1:6" ht="27.75" customHeight="1" x14ac:dyDescent="0.2">
      <c r="A27" s="322" t="s">
        <v>687</v>
      </c>
      <c r="B27" s="27" t="s">
        <v>1965</v>
      </c>
      <c r="C27" s="311" t="s">
        <v>803</v>
      </c>
      <c r="D27" s="329" t="s">
        <v>797</v>
      </c>
      <c r="E27" s="345" t="s">
        <v>797</v>
      </c>
    </row>
    <row r="28" spans="1:6" ht="27.75" customHeight="1" x14ac:dyDescent="0.2">
      <c r="A28" s="322" t="s">
        <v>694</v>
      </c>
      <c r="B28" s="27" t="s">
        <v>1966</v>
      </c>
      <c r="C28" s="311" t="s">
        <v>803</v>
      </c>
      <c r="D28" s="329" t="s">
        <v>797</v>
      </c>
      <c r="E28" s="345" t="s">
        <v>797</v>
      </c>
    </row>
    <row r="29" spans="1:6" ht="27.75" customHeight="1" x14ac:dyDescent="0.2">
      <c r="A29" s="322" t="s">
        <v>701</v>
      </c>
      <c r="B29" s="27" t="s">
        <v>1967</v>
      </c>
      <c r="C29" s="311" t="s">
        <v>803</v>
      </c>
      <c r="D29" s="329" t="s">
        <v>797</v>
      </c>
      <c r="E29" s="345" t="s">
        <v>797</v>
      </c>
    </row>
    <row r="30" spans="1:6" ht="27.75" customHeight="1" x14ac:dyDescent="0.2">
      <c r="A30" s="322" t="s">
        <v>708</v>
      </c>
      <c r="B30" s="27" t="s">
        <v>1968</v>
      </c>
      <c r="C30" s="311" t="s">
        <v>803</v>
      </c>
      <c r="D30" s="329" t="s">
        <v>797</v>
      </c>
      <c r="E30" s="345" t="s">
        <v>797</v>
      </c>
    </row>
    <row r="31" spans="1:6" ht="27.75" customHeight="1" x14ac:dyDescent="0.2">
      <c r="A31" s="322" t="s">
        <v>715</v>
      </c>
      <c r="B31" s="27" t="s">
        <v>1969</v>
      </c>
      <c r="C31" s="311" t="s">
        <v>803</v>
      </c>
      <c r="D31" s="329" t="s">
        <v>797</v>
      </c>
      <c r="E31" s="345" t="s">
        <v>797</v>
      </c>
    </row>
    <row r="32" spans="1:6" ht="27.75" customHeight="1" x14ac:dyDescent="0.2">
      <c r="A32" s="322" t="s">
        <v>544</v>
      </c>
      <c r="B32" s="27" t="s">
        <v>797</v>
      </c>
      <c r="C32" s="311">
        <v>0</v>
      </c>
      <c r="D32" s="329" t="s">
        <v>797</v>
      </c>
      <c r="E32" s="345" t="s">
        <v>797</v>
      </c>
    </row>
    <row r="33" spans="1:6" ht="27.75" customHeight="1" x14ac:dyDescent="0.2">
      <c r="A33" s="322" t="s">
        <v>545</v>
      </c>
      <c r="B33" s="27" t="s">
        <v>1970</v>
      </c>
      <c r="C33" s="311">
        <v>0</v>
      </c>
      <c r="D33" s="329" t="s">
        <v>797</v>
      </c>
      <c r="E33" s="345" t="s">
        <v>797</v>
      </c>
    </row>
    <row r="34" spans="1:6" ht="27.75" customHeight="1" x14ac:dyDescent="0.2">
      <c r="A34" s="322" t="s">
        <v>546</v>
      </c>
      <c r="B34" s="27" t="s">
        <v>1971</v>
      </c>
      <c r="C34" s="311">
        <v>0</v>
      </c>
      <c r="D34" s="329" t="s">
        <v>797</v>
      </c>
      <c r="E34" s="345" t="s">
        <v>797</v>
      </c>
    </row>
    <row r="35" spans="1:6" ht="27.75" customHeight="1" x14ac:dyDescent="0.2">
      <c r="A35" s="322" t="s">
        <v>547</v>
      </c>
      <c r="B35" s="27" t="s">
        <v>1972</v>
      </c>
      <c r="C35" s="311">
        <v>0</v>
      </c>
      <c r="D35" s="329" t="s">
        <v>797</v>
      </c>
      <c r="E35" s="345" t="s">
        <v>797</v>
      </c>
    </row>
    <row r="36" spans="1:6" ht="27.75" customHeight="1" x14ac:dyDescent="0.2">
      <c r="A36" s="322" t="s">
        <v>548</v>
      </c>
      <c r="B36" s="27" t="s">
        <v>1973</v>
      </c>
      <c r="C36" s="311">
        <v>0</v>
      </c>
      <c r="D36" s="329" t="s">
        <v>797</v>
      </c>
      <c r="E36" s="345" t="s">
        <v>797</v>
      </c>
    </row>
    <row r="37" spans="1:6" ht="27.75" customHeight="1" x14ac:dyDescent="0.2">
      <c r="A37" s="323" t="s">
        <v>681</v>
      </c>
      <c r="B37" s="27" t="e">
        <v>#N/A</v>
      </c>
      <c r="C37" s="311" t="s">
        <v>802</v>
      </c>
      <c r="D37" s="328">
        <v>0</v>
      </c>
      <c r="E37" s="345" t="s">
        <v>797</v>
      </c>
      <c r="F37" s="347" t="str">
        <f>A37&amp;" with Residual"</f>
        <v>LDNO HV: Domestic Aggregated or CT with Residual with Residual</v>
      </c>
    </row>
    <row r="38" spans="1:6" ht="27.75" customHeight="1" x14ac:dyDescent="0.2">
      <c r="A38" s="322" t="s">
        <v>688</v>
      </c>
      <c r="B38" s="27" t="s">
        <v>1974</v>
      </c>
      <c r="C38" s="311" t="s">
        <v>803</v>
      </c>
      <c r="D38" s="329" t="s">
        <v>797</v>
      </c>
      <c r="E38" s="345" t="s">
        <v>797</v>
      </c>
    </row>
    <row r="39" spans="1:6" ht="27.75" customHeight="1" x14ac:dyDescent="0.2">
      <c r="A39" s="322" t="s">
        <v>695</v>
      </c>
      <c r="B39" s="27" t="s">
        <v>1975</v>
      </c>
      <c r="C39" s="311" t="s">
        <v>803</v>
      </c>
      <c r="D39" s="329" t="s">
        <v>797</v>
      </c>
      <c r="E39" s="345" t="s">
        <v>797</v>
      </c>
    </row>
    <row r="40" spans="1:6" ht="27.75" customHeight="1" x14ac:dyDescent="0.2">
      <c r="A40" s="322" t="s">
        <v>702</v>
      </c>
      <c r="B40" s="27" t="s">
        <v>1976</v>
      </c>
      <c r="C40" s="311" t="s">
        <v>803</v>
      </c>
      <c r="D40" s="329" t="s">
        <v>797</v>
      </c>
      <c r="E40" s="345" t="s">
        <v>797</v>
      </c>
    </row>
    <row r="41" spans="1:6" ht="27.75" customHeight="1" x14ac:dyDescent="0.2">
      <c r="A41" s="322" t="s">
        <v>709</v>
      </c>
      <c r="B41" s="27" t="s">
        <v>1977</v>
      </c>
      <c r="C41" s="311" t="s">
        <v>803</v>
      </c>
      <c r="D41" s="329" t="s">
        <v>797</v>
      </c>
      <c r="E41" s="345" t="s">
        <v>797</v>
      </c>
    </row>
    <row r="42" spans="1:6" ht="27.75" customHeight="1" x14ac:dyDescent="0.2">
      <c r="A42" s="322" t="s">
        <v>716</v>
      </c>
      <c r="B42" s="27" t="s">
        <v>1978</v>
      </c>
      <c r="C42" s="311" t="s">
        <v>803</v>
      </c>
      <c r="D42" s="329" t="s">
        <v>797</v>
      </c>
      <c r="E42" s="345" t="s">
        <v>797</v>
      </c>
    </row>
    <row r="43" spans="1:6" ht="27.75" customHeight="1" x14ac:dyDescent="0.2">
      <c r="A43" s="322" t="s">
        <v>550</v>
      </c>
      <c r="B43" s="27" t="s">
        <v>797</v>
      </c>
      <c r="C43" s="311">
        <v>0</v>
      </c>
      <c r="D43" s="329" t="s">
        <v>797</v>
      </c>
      <c r="E43" s="345" t="s">
        <v>797</v>
      </c>
    </row>
    <row r="44" spans="1:6" ht="27.75" customHeight="1" x14ac:dyDescent="0.2">
      <c r="A44" s="322" t="s">
        <v>551</v>
      </c>
      <c r="B44" s="27" t="s">
        <v>1979</v>
      </c>
      <c r="C44" s="311">
        <v>0</v>
      </c>
      <c r="D44" s="329" t="s">
        <v>797</v>
      </c>
      <c r="E44" s="345" t="s">
        <v>797</v>
      </c>
    </row>
    <row r="45" spans="1:6" ht="27.75" customHeight="1" x14ac:dyDescent="0.2">
      <c r="A45" s="322" t="s">
        <v>552</v>
      </c>
      <c r="B45" s="27" t="s">
        <v>1980</v>
      </c>
      <c r="C45" s="311">
        <v>0</v>
      </c>
      <c r="D45" s="329" t="s">
        <v>797</v>
      </c>
      <c r="E45" s="345" t="s">
        <v>797</v>
      </c>
    </row>
    <row r="46" spans="1:6" ht="27.75" customHeight="1" x14ac:dyDescent="0.2">
      <c r="A46" s="322" t="s">
        <v>553</v>
      </c>
      <c r="B46" s="27" t="s">
        <v>1981</v>
      </c>
      <c r="C46" s="311">
        <v>0</v>
      </c>
      <c r="D46" s="329" t="s">
        <v>797</v>
      </c>
      <c r="E46" s="345" t="s">
        <v>797</v>
      </c>
    </row>
    <row r="47" spans="1:6" ht="27.75" customHeight="1" x14ac:dyDescent="0.2">
      <c r="A47" s="322" t="s">
        <v>554</v>
      </c>
      <c r="B47" s="27" t="s">
        <v>1982</v>
      </c>
      <c r="C47" s="311">
        <v>0</v>
      </c>
      <c r="D47" s="329" t="s">
        <v>797</v>
      </c>
      <c r="E47" s="345" t="s">
        <v>797</v>
      </c>
    </row>
    <row r="48" spans="1:6" ht="27.75" customHeight="1" x14ac:dyDescent="0.2">
      <c r="A48" s="322" t="s">
        <v>555</v>
      </c>
      <c r="B48" s="27" t="s">
        <v>797</v>
      </c>
      <c r="C48" s="311">
        <v>0</v>
      </c>
      <c r="D48" s="329" t="s">
        <v>797</v>
      </c>
      <c r="E48" s="345" t="s">
        <v>797</v>
      </c>
    </row>
    <row r="49" spans="1:6" ht="27.75" customHeight="1" x14ac:dyDescent="0.2">
      <c r="A49" s="322" t="s">
        <v>556</v>
      </c>
      <c r="B49" s="27" t="s">
        <v>1983</v>
      </c>
      <c r="C49" s="311">
        <v>0</v>
      </c>
      <c r="D49" s="329" t="s">
        <v>797</v>
      </c>
      <c r="E49" s="345" t="s">
        <v>797</v>
      </c>
    </row>
    <row r="50" spans="1:6" ht="27.75" customHeight="1" x14ac:dyDescent="0.2">
      <c r="A50" s="322" t="s">
        <v>557</v>
      </c>
      <c r="B50" s="27" t="s">
        <v>1984</v>
      </c>
      <c r="C50" s="311">
        <v>0</v>
      </c>
      <c r="D50" s="329" t="s">
        <v>797</v>
      </c>
      <c r="E50" s="345" t="s">
        <v>797</v>
      </c>
    </row>
    <row r="51" spans="1:6" ht="27.75" customHeight="1" x14ac:dyDescent="0.2">
      <c r="A51" s="322" t="s">
        <v>558</v>
      </c>
      <c r="B51" s="27" t="s">
        <v>1985</v>
      </c>
      <c r="C51" s="311">
        <v>0</v>
      </c>
      <c r="D51" s="329" t="s">
        <v>797</v>
      </c>
      <c r="E51" s="345" t="s">
        <v>797</v>
      </c>
    </row>
    <row r="52" spans="1:6" ht="27.75" customHeight="1" x14ac:dyDescent="0.2">
      <c r="A52" s="322" t="s">
        <v>559</v>
      </c>
      <c r="B52" s="27" t="s">
        <v>1986</v>
      </c>
      <c r="C52" s="311">
        <v>0</v>
      </c>
      <c r="D52" s="329" t="s">
        <v>797</v>
      </c>
      <c r="E52" s="345" t="s">
        <v>797</v>
      </c>
    </row>
    <row r="53" spans="1:6" ht="27.75" customHeight="1" x14ac:dyDescent="0.2">
      <c r="A53" s="322" t="s">
        <v>560</v>
      </c>
      <c r="B53" s="27" t="s">
        <v>797</v>
      </c>
      <c r="C53" s="311">
        <v>0</v>
      </c>
      <c r="D53" s="329" t="s">
        <v>797</v>
      </c>
      <c r="E53" s="345" t="s">
        <v>797</v>
      </c>
    </row>
    <row r="54" spans="1:6" ht="27.75" customHeight="1" x14ac:dyDescent="0.2">
      <c r="A54" s="322" t="s">
        <v>561</v>
      </c>
      <c r="B54" s="27" t="s">
        <v>1987</v>
      </c>
      <c r="C54" s="311">
        <v>0</v>
      </c>
      <c r="D54" s="329" t="s">
        <v>797</v>
      </c>
      <c r="E54" s="345" t="s">
        <v>797</v>
      </c>
    </row>
    <row r="55" spans="1:6" ht="27.75" customHeight="1" x14ac:dyDescent="0.2">
      <c r="A55" s="322" t="s">
        <v>562</v>
      </c>
      <c r="B55" s="27" t="s">
        <v>1988</v>
      </c>
      <c r="C55" s="311">
        <v>0</v>
      </c>
      <c r="D55" s="329" t="s">
        <v>797</v>
      </c>
      <c r="E55" s="345" t="s">
        <v>797</v>
      </c>
    </row>
    <row r="56" spans="1:6" ht="27.75" customHeight="1" x14ac:dyDescent="0.2">
      <c r="A56" s="322" t="s">
        <v>563</v>
      </c>
      <c r="B56" s="27" t="s">
        <v>1989</v>
      </c>
      <c r="C56" s="311">
        <v>0</v>
      </c>
      <c r="D56" s="329" t="s">
        <v>797</v>
      </c>
      <c r="E56" s="345" t="s">
        <v>797</v>
      </c>
    </row>
    <row r="57" spans="1:6" ht="27.75" customHeight="1" x14ac:dyDescent="0.2">
      <c r="A57" s="322" t="s">
        <v>564</v>
      </c>
      <c r="B57" s="27" t="s">
        <v>1990</v>
      </c>
      <c r="C57" s="311">
        <v>0</v>
      </c>
      <c r="D57" s="329" t="s">
        <v>797</v>
      </c>
      <c r="E57" s="345" t="s">
        <v>797</v>
      </c>
    </row>
    <row r="58" spans="1:6" ht="27.75" customHeight="1" x14ac:dyDescent="0.2">
      <c r="A58" s="322" t="s">
        <v>682</v>
      </c>
      <c r="B58" s="27" t="e">
        <v>#N/A</v>
      </c>
      <c r="C58" s="311" t="s">
        <v>802</v>
      </c>
      <c r="D58" s="328">
        <v>0</v>
      </c>
      <c r="E58" s="345" t="s">
        <v>797</v>
      </c>
      <c r="F58" s="347" t="str">
        <f>A58&amp;" with Residual"</f>
        <v>LDNO HVplus: Domestic Aggregated or CT with Residual with Residual</v>
      </c>
    </row>
    <row r="59" spans="1:6" ht="27.75" customHeight="1" x14ac:dyDescent="0.2">
      <c r="A59" s="322" t="s">
        <v>689</v>
      </c>
      <c r="B59" s="27" t="s">
        <v>1991</v>
      </c>
      <c r="C59" s="311" t="s">
        <v>803</v>
      </c>
      <c r="D59" s="329" t="s">
        <v>797</v>
      </c>
      <c r="E59" s="345" t="s">
        <v>797</v>
      </c>
    </row>
    <row r="60" spans="1:6" ht="27.75" customHeight="1" x14ac:dyDescent="0.2">
      <c r="A60" s="322" t="s">
        <v>696</v>
      </c>
      <c r="B60" s="27" t="s">
        <v>1992</v>
      </c>
      <c r="C60" s="311" t="s">
        <v>803</v>
      </c>
      <c r="D60" s="329" t="s">
        <v>797</v>
      </c>
      <c r="E60" s="345" t="s">
        <v>797</v>
      </c>
    </row>
    <row r="61" spans="1:6" ht="27.75" customHeight="1" x14ac:dyDescent="0.2">
      <c r="A61" s="322" t="s">
        <v>703</v>
      </c>
      <c r="B61" s="27" t="s">
        <v>1993</v>
      </c>
      <c r="C61" s="311" t="s">
        <v>803</v>
      </c>
      <c r="D61" s="329" t="s">
        <v>797</v>
      </c>
      <c r="E61" s="345" t="s">
        <v>797</v>
      </c>
    </row>
    <row r="62" spans="1:6" ht="27.75" customHeight="1" x14ac:dyDescent="0.2">
      <c r="A62" s="322" t="s">
        <v>710</v>
      </c>
      <c r="B62" s="27" t="s">
        <v>1994</v>
      </c>
      <c r="C62" s="311" t="s">
        <v>803</v>
      </c>
      <c r="D62" s="329" t="s">
        <v>797</v>
      </c>
      <c r="E62" s="345" t="s">
        <v>797</v>
      </c>
    </row>
    <row r="63" spans="1:6" ht="27.75" customHeight="1" x14ac:dyDescent="0.2">
      <c r="A63" s="322" t="s">
        <v>717</v>
      </c>
      <c r="B63" s="27" t="s">
        <v>1995</v>
      </c>
      <c r="C63" s="311" t="s">
        <v>803</v>
      </c>
      <c r="D63" s="329" t="s">
        <v>797</v>
      </c>
      <c r="E63" s="345" t="s">
        <v>797</v>
      </c>
    </row>
    <row r="64" spans="1:6" ht="27.75" customHeight="1" x14ac:dyDescent="0.2">
      <c r="A64" s="322" t="s">
        <v>566</v>
      </c>
      <c r="B64" s="27" t="s">
        <v>797</v>
      </c>
      <c r="C64" s="311">
        <v>0</v>
      </c>
      <c r="D64" s="329" t="s">
        <v>797</v>
      </c>
      <c r="E64" s="345" t="s">
        <v>797</v>
      </c>
    </row>
    <row r="65" spans="1:6" ht="27.75" customHeight="1" x14ac:dyDescent="0.2">
      <c r="A65" s="322" t="s">
        <v>567</v>
      </c>
      <c r="B65" s="27" t="s">
        <v>1996</v>
      </c>
      <c r="C65" s="311">
        <v>0</v>
      </c>
      <c r="D65" s="329" t="s">
        <v>797</v>
      </c>
      <c r="E65" s="345" t="s">
        <v>797</v>
      </c>
    </row>
    <row r="66" spans="1:6" ht="27.75" customHeight="1" x14ac:dyDescent="0.2">
      <c r="A66" s="322" t="s">
        <v>568</v>
      </c>
      <c r="B66" s="27" t="s">
        <v>1997</v>
      </c>
      <c r="C66" s="311">
        <v>0</v>
      </c>
      <c r="D66" s="329" t="s">
        <v>797</v>
      </c>
      <c r="E66" s="345" t="s">
        <v>797</v>
      </c>
    </row>
    <row r="67" spans="1:6" ht="27.75" customHeight="1" x14ac:dyDescent="0.2">
      <c r="A67" s="322" t="s">
        <v>569</v>
      </c>
      <c r="B67" s="27" t="s">
        <v>1998</v>
      </c>
      <c r="C67" s="311">
        <v>0</v>
      </c>
      <c r="D67" s="329" t="s">
        <v>797</v>
      </c>
      <c r="E67" s="345" t="s">
        <v>797</v>
      </c>
    </row>
    <row r="68" spans="1:6" ht="27.75" customHeight="1" x14ac:dyDescent="0.2">
      <c r="A68" s="322" t="s">
        <v>570</v>
      </c>
      <c r="B68" s="27" t="s">
        <v>1999</v>
      </c>
      <c r="C68" s="311">
        <v>0</v>
      </c>
      <c r="D68" s="329" t="s">
        <v>797</v>
      </c>
      <c r="E68" s="345" t="s">
        <v>797</v>
      </c>
    </row>
    <row r="69" spans="1:6" ht="27.75" customHeight="1" x14ac:dyDescent="0.2">
      <c r="A69" s="322" t="s">
        <v>571</v>
      </c>
      <c r="B69" s="27" t="s">
        <v>797</v>
      </c>
      <c r="C69" s="311">
        <v>0</v>
      </c>
      <c r="D69" s="329" t="s">
        <v>797</v>
      </c>
      <c r="E69" s="345" t="s">
        <v>797</v>
      </c>
    </row>
    <row r="70" spans="1:6" ht="27.75" customHeight="1" x14ac:dyDescent="0.2">
      <c r="A70" s="322" t="s">
        <v>572</v>
      </c>
      <c r="B70" s="27" t="s">
        <v>2000</v>
      </c>
      <c r="C70" s="311">
        <v>0</v>
      </c>
      <c r="D70" s="329" t="s">
        <v>797</v>
      </c>
      <c r="E70" s="345" t="s">
        <v>797</v>
      </c>
    </row>
    <row r="71" spans="1:6" ht="27.75" customHeight="1" x14ac:dyDescent="0.2">
      <c r="A71" s="322" t="s">
        <v>573</v>
      </c>
      <c r="B71" s="27" t="s">
        <v>2001</v>
      </c>
      <c r="C71" s="311">
        <v>0</v>
      </c>
      <c r="D71" s="329" t="s">
        <v>797</v>
      </c>
      <c r="E71" s="345" t="s">
        <v>797</v>
      </c>
    </row>
    <row r="72" spans="1:6" ht="27.75" customHeight="1" x14ac:dyDescent="0.2">
      <c r="A72" s="322" t="s">
        <v>574</v>
      </c>
      <c r="B72" s="27" t="s">
        <v>2002</v>
      </c>
      <c r="C72" s="311">
        <v>0</v>
      </c>
      <c r="D72" s="329" t="s">
        <v>797</v>
      </c>
      <c r="E72" s="345" t="s">
        <v>797</v>
      </c>
    </row>
    <row r="73" spans="1:6" ht="27.75" customHeight="1" x14ac:dyDescent="0.2">
      <c r="A73" s="322" t="s">
        <v>575</v>
      </c>
      <c r="B73" s="27" t="s">
        <v>2003</v>
      </c>
      <c r="C73" s="311">
        <v>0</v>
      </c>
      <c r="D73" s="329" t="s">
        <v>797</v>
      </c>
      <c r="E73" s="345" t="s">
        <v>797</v>
      </c>
    </row>
    <row r="74" spans="1:6" ht="27.75" customHeight="1" x14ac:dyDescent="0.2">
      <c r="A74" s="322" t="s">
        <v>576</v>
      </c>
      <c r="B74" s="27" t="s">
        <v>797</v>
      </c>
      <c r="C74" s="311">
        <v>0</v>
      </c>
      <c r="D74" s="329" t="s">
        <v>797</v>
      </c>
      <c r="E74" s="345" t="s">
        <v>797</v>
      </c>
    </row>
    <row r="75" spans="1:6" ht="27.75" customHeight="1" x14ac:dyDescent="0.2">
      <c r="A75" s="322" t="s">
        <v>577</v>
      </c>
      <c r="B75" s="27" t="s">
        <v>2004</v>
      </c>
      <c r="C75" s="311">
        <v>0</v>
      </c>
      <c r="D75" s="329" t="s">
        <v>797</v>
      </c>
      <c r="E75" s="345" t="s">
        <v>797</v>
      </c>
    </row>
    <row r="76" spans="1:6" ht="27.75" customHeight="1" x14ac:dyDescent="0.2">
      <c r="A76" s="322" t="s">
        <v>578</v>
      </c>
      <c r="B76" s="27" t="s">
        <v>2005</v>
      </c>
      <c r="C76" s="311">
        <v>0</v>
      </c>
      <c r="D76" s="329" t="s">
        <v>797</v>
      </c>
      <c r="E76" s="345" t="s">
        <v>797</v>
      </c>
    </row>
    <row r="77" spans="1:6" ht="27.75" customHeight="1" x14ac:dyDescent="0.2">
      <c r="A77" s="322" t="s">
        <v>579</v>
      </c>
      <c r="B77" s="27" t="s">
        <v>2006</v>
      </c>
      <c r="C77" s="311">
        <v>0</v>
      </c>
      <c r="D77" s="329" t="s">
        <v>797</v>
      </c>
      <c r="E77" s="345" t="s">
        <v>797</v>
      </c>
    </row>
    <row r="78" spans="1:6" ht="27.75" customHeight="1" x14ac:dyDescent="0.2">
      <c r="A78" s="322" t="s">
        <v>580</v>
      </c>
      <c r="B78" s="27" t="s">
        <v>2007</v>
      </c>
      <c r="C78" s="311">
        <v>0</v>
      </c>
      <c r="D78" s="329" t="s">
        <v>797</v>
      </c>
      <c r="E78" s="345" t="s">
        <v>797</v>
      </c>
    </row>
    <row r="79" spans="1:6" ht="27.75" customHeight="1" x14ac:dyDescent="0.2">
      <c r="A79" s="322" t="s">
        <v>683</v>
      </c>
      <c r="B79" s="27" t="e">
        <v>#N/A</v>
      </c>
      <c r="C79" s="311" t="s">
        <v>802</v>
      </c>
      <c r="D79" s="328">
        <v>0</v>
      </c>
      <c r="E79" s="345" t="s">
        <v>797</v>
      </c>
      <c r="F79" s="347" t="str">
        <f>A79&amp;" with Residual"</f>
        <v>LDNO EHV: Domestic Aggregated or CT with Residual with Residual</v>
      </c>
    </row>
    <row r="80" spans="1:6" ht="27.75" customHeight="1" x14ac:dyDescent="0.2">
      <c r="A80" s="322" t="s">
        <v>690</v>
      </c>
      <c r="B80" s="27" t="s">
        <v>2008</v>
      </c>
      <c r="C80" s="311" t="s">
        <v>803</v>
      </c>
      <c r="D80" s="329" t="s">
        <v>797</v>
      </c>
      <c r="E80" s="345" t="s">
        <v>797</v>
      </c>
    </row>
    <row r="81" spans="1:5" ht="27.75" customHeight="1" x14ac:dyDescent="0.2">
      <c r="A81" s="322" t="s">
        <v>697</v>
      </c>
      <c r="B81" s="27" t="s">
        <v>2009</v>
      </c>
      <c r="C81" s="311" t="s">
        <v>803</v>
      </c>
      <c r="D81" s="329" t="s">
        <v>797</v>
      </c>
      <c r="E81" s="345" t="s">
        <v>797</v>
      </c>
    </row>
    <row r="82" spans="1:5" ht="27.75" customHeight="1" x14ac:dyDescent="0.2">
      <c r="A82" s="322" t="s">
        <v>704</v>
      </c>
      <c r="B82" s="27" t="s">
        <v>2010</v>
      </c>
      <c r="C82" s="311" t="s">
        <v>803</v>
      </c>
      <c r="D82" s="329" t="s">
        <v>797</v>
      </c>
      <c r="E82" s="345" t="s">
        <v>797</v>
      </c>
    </row>
    <row r="83" spans="1:5" ht="27.75" customHeight="1" x14ac:dyDescent="0.2">
      <c r="A83" s="322" t="s">
        <v>711</v>
      </c>
      <c r="B83" s="27" t="s">
        <v>2011</v>
      </c>
      <c r="C83" s="311" t="s">
        <v>803</v>
      </c>
      <c r="D83" s="329" t="s">
        <v>797</v>
      </c>
      <c r="E83" s="345" t="s">
        <v>797</v>
      </c>
    </row>
    <row r="84" spans="1:5" ht="27.75" customHeight="1" x14ac:dyDescent="0.2">
      <c r="A84" s="322" t="s">
        <v>718</v>
      </c>
      <c r="B84" s="27" t="s">
        <v>2012</v>
      </c>
      <c r="C84" s="311" t="s">
        <v>803</v>
      </c>
      <c r="D84" s="329" t="s">
        <v>797</v>
      </c>
      <c r="E84" s="345" t="s">
        <v>797</v>
      </c>
    </row>
    <row r="85" spans="1:5" ht="27.75" customHeight="1" x14ac:dyDescent="0.2">
      <c r="A85" s="322" t="s">
        <v>582</v>
      </c>
      <c r="B85" s="27" t="s">
        <v>797</v>
      </c>
      <c r="C85" s="311">
        <v>0</v>
      </c>
      <c r="D85" s="329" t="s">
        <v>797</v>
      </c>
      <c r="E85" s="345" t="s">
        <v>797</v>
      </c>
    </row>
    <row r="86" spans="1:5" ht="27.75" customHeight="1" x14ac:dyDescent="0.2">
      <c r="A86" s="322" t="s">
        <v>583</v>
      </c>
      <c r="B86" s="27" t="s">
        <v>2013</v>
      </c>
      <c r="C86" s="311">
        <v>0</v>
      </c>
      <c r="D86" s="329" t="s">
        <v>797</v>
      </c>
      <c r="E86" s="345" t="s">
        <v>797</v>
      </c>
    </row>
    <row r="87" spans="1:5" ht="27.75" customHeight="1" x14ac:dyDescent="0.2">
      <c r="A87" s="322" t="s">
        <v>584</v>
      </c>
      <c r="B87" s="27" t="s">
        <v>2014</v>
      </c>
      <c r="C87" s="311">
        <v>0</v>
      </c>
      <c r="D87" s="329" t="s">
        <v>797</v>
      </c>
      <c r="E87" s="345" t="s">
        <v>797</v>
      </c>
    </row>
    <row r="88" spans="1:5" ht="27.75" customHeight="1" x14ac:dyDescent="0.2">
      <c r="A88" s="322" t="s">
        <v>585</v>
      </c>
      <c r="B88" s="27" t="s">
        <v>2015</v>
      </c>
      <c r="C88" s="311">
        <v>0</v>
      </c>
      <c r="D88" s="329" t="s">
        <v>797</v>
      </c>
      <c r="E88" s="345" t="s">
        <v>797</v>
      </c>
    </row>
    <row r="89" spans="1:5" ht="27.75" customHeight="1" x14ac:dyDescent="0.2">
      <c r="A89" s="322" t="s">
        <v>586</v>
      </c>
      <c r="B89" s="27" t="s">
        <v>2016</v>
      </c>
      <c r="C89" s="311">
        <v>0</v>
      </c>
      <c r="D89" s="329" t="s">
        <v>797</v>
      </c>
      <c r="E89" s="345" t="s">
        <v>797</v>
      </c>
    </row>
    <row r="90" spans="1:5" ht="27.75" customHeight="1" x14ac:dyDescent="0.2">
      <c r="A90" s="322" t="s">
        <v>587</v>
      </c>
      <c r="B90" s="27" t="s">
        <v>797</v>
      </c>
      <c r="C90" s="311">
        <v>0</v>
      </c>
      <c r="D90" s="329" t="s">
        <v>797</v>
      </c>
      <c r="E90" s="345" t="s">
        <v>797</v>
      </c>
    </row>
    <row r="91" spans="1:5" ht="27.75" customHeight="1" x14ac:dyDescent="0.2">
      <c r="A91" s="322" t="s">
        <v>588</v>
      </c>
      <c r="B91" s="27" t="s">
        <v>2017</v>
      </c>
      <c r="C91" s="311">
        <v>0</v>
      </c>
      <c r="D91" s="329" t="s">
        <v>797</v>
      </c>
      <c r="E91" s="345" t="s">
        <v>797</v>
      </c>
    </row>
    <row r="92" spans="1:5" ht="27.75" customHeight="1" x14ac:dyDescent="0.2">
      <c r="A92" s="322" t="s">
        <v>589</v>
      </c>
      <c r="B92" s="27" t="s">
        <v>2018</v>
      </c>
      <c r="C92" s="311">
        <v>0</v>
      </c>
      <c r="D92" s="329" t="s">
        <v>797</v>
      </c>
      <c r="E92" s="345" t="s">
        <v>797</v>
      </c>
    </row>
    <row r="93" spans="1:5" ht="27.75" customHeight="1" x14ac:dyDescent="0.2">
      <c r="A93" s="322" t="s">
        <v>590</v>
      </c>
      <c r="B93" s="27" t="s">
        <v>2019</v>
      </c>
      <c r="C93" s="311">
        <v>0</v>
      </c>
      <c r="D93" s="329" t="s">
        <v>797</v>
      </c>
      <c r="E93" s="345" t="s">
        <v>797</v>
      </c>
    </row>
    <row r="94" spans="1:5" ht="27.75" customHeight="1" x14ac:dyDescent="0.2">
      <c r="A94" s="322" t="s">
        <v>591</v>
      </c>
      <c r="B94" s="27" t="s">
        <v>2020</v>
      </c>
      <c r="C94" s="311">
        <v>0</v>
      </c>
      <c r="D94" s="329" t="s">
        <v>797</v>
      </c>
      <c r="E94" s="345" t="s">
        <v>797</v>
      </c>
    </row>
    <row r="95" spans="1:5" ht="27.75" customHeight="1" x14ac:dyDescent="0.2">
      <c r="A95" s="322" t="s">
        <v>592</v>
      </c>
      <c r="B95" s="27" t="s">
        <v>797</v>
      </c>
      <c r="C95" s="311">
        <v>0</v>
      </c>
      <c r="D95" s="329" t="s">
        <v>797</v>
      </c>
      <c r="E95" s="345" t="s">
        <v>797</v>
      </c>
    </row>
    <row r="96" spans="1:5" ht="27.75" customHeight="1" x14ac:dyDescent="0.2">
      <c r="A96" s="322" t="s">
        <v>593</v>
      </c>
      <c r="B96" s="27" t="s">
        <v>2021</v>
      </c>
      <c r="C96" s="311">
        <v>0</v>
      </c>
      <c r="D96" s="329" t="s">
        <v>797</v>
      </c>
      <c r="E96" s="345" t="s">
        <v>797</v>
      </c>
    </row>
    <row r="97" spans="1:5" ht="27.75" customHeight="1" x14ac:dyDescent="0.2">
      <c r="A97" s="322" t="s">
        <v>594</v>
      </c>
      <c r="B97" s="27" t="s">
        <v>2022</v>
      </c>
      <c r="C97" s="311">
        <v>0</v>
      </c>
      <c r="D97" s="329" t="s">
        <v>797</v>
      </c>
      <c r="E97" s="345" t="s">
        <v>797</v>
      </c>
    </row>
    <row r="98" spans="1:5" ht="27.75" customHeight="1" x14ac:dyDescent="0.2">
      <c r="A98" s="322" t="s">
        <v>595</v>
      </c>
      <c r="B98" s="27" t="s">
        <v>2023</v>
      </c>
      <c r="C98" s="311">
        <v>0</v>
      </c>
      <c r="D98" s="329" t="s">
        <v>797</v>
      </c>
      <c r="E98" s="345" t="s">
        <v>797</v>
      </c>
    </row>
    <row r="99" spans="1:5" ht="27.75" customHeight="1" x14ac:dyDescent="0.2">
      <c r="A99" s="322" t="s">
        <v>596</v>
      </c>
      <c r="B99" s="27"/>
      <c r="C99" s="311">
        <v>0</v>
      </c>
      <c r="D99" s="329" t="s">
        <v>797</v>
      </c>
      <c r="E99" s="345" t="s">
        <v>797</v>
      </c>
    </row>
    <row r="100" spans="1:5" ht="27.75" customHeight="1" x14ac:dyDescent="0.2">
      <c r="A100" s="322" t="s">
        <v>684</v>
      </c>
      <c r="B100" s="27"/>
      <c r="C100" s="311" t="s">
        <v>802</v>
      </c>
      <c r="D100" s="328">
        <v>0</v>
      </c>
      <c r="E100" s="345" t="s">
        <v>797</v>
      </c>
    </row>
    <row r="101" spans="1:5" ht="27.75" customHeight="1" x14ac:dyDescent="0.2">
      <c r="A101" s="322" t="s">
        <v>691</v>
      </c>
      <c r="B101" s="27"/>
      <c r="C101" s="311" t="s">
        <v>803</v>
      </c>
      <c r="D101" s="329" t="s">
        <v>797</v>
      </c>
      <c r="E101" s="345" t="s">
        <v>797</v>
      </c>
    </row>
    <row r="102" spans="1:5" ht="27.75" customHeight="1" x14ac:dyDescent="0.2">
      <c r="A102" s="322" t="s">
        <v>698</v>
      </c>
      <c r="B102" s="27"/>
      <c r="C102" s="311" t="s">
        <v>803</v>
      </c>
      <c r="D102" s="329" t="s">
        <v>797</v>
      </c>
      <c r="E102" s="345" t="s">
        <v>797</v>
      </c>
    </row>
    <row r="103" spans="1:5" ht="27.75" customHeight="1" x14ac:dyDescent="0.2">
      <c r="A103" s="322" t="s">
        <v>705</v>
      </c>
      <c r="B103" s="27"/>
      <c r="C103" s="311" t="s">
        <v>803</v>
      </c>
      <c r="D103" s="329" t="s">
        <v>797</v>
      </c>
      <c r="E103" s="345" t="s">
        <v>797</v>
      </c>
    </row>
    <row r="104" spans="1:5" ht="27.75" customHeight="1" x14ac:dyDescent="0.2">
      <c r="A104" s="322" t="s">
        <v>712</v>
      </c>
      <c r="B104" s="27"/>
      <c r="C104" s="311" t="s">
        <v>803</v>
      </c>
      <c r="D104" s="329" t="s">
        <v>797</v>
      </c>
      <c r="E104" s="345" t="s">
        <v>797</v>
      </c>
    </row>
    <row r="105" spans="1:5" ht="27.75" customHeight="1" x14ac:dyDescent="0.2">
      <c r="A105" s="322" t="s">
        <v>719</v>
      </c>
      <c r="B105" s="27"/>
      <c r="C105" s="311" t="s">
        <v>803</v>
      </c>
      <c r="D105" s="329" t="s">
        <v>797</v>
      </c>
      <c r="E105" s="345" t="s">
        <v>797</v>
      </c>
    </row>
    <row r="106" spans="1:5" ht="27.75" customHeight="1" x14ac:dyDescent="0.2">
      <c r="A106" s="322" t="s">
        <v>598</v>
      </c>
      <c r="B106" s="27"/>
      <c r="C106" s="311">
        <v>0</v>
      </c>
      <c r="D106" s="329" t="s">
        <v>797</v>
      </c>
      <c r="E106" s="345" t="s">
        <v>797</v>
      </c>
    </row>
    <row r="107" spans="1:5" ht="27.75" customHeight="1" x14ac:dyDescent="0.2">
      <c r="A107" s="322" t="s">
        <v>599</v>
      </c>
      <c r="B107" s="27"/>
      <c r="C107" s="311">
        <v>0</v>
      </c>
      <c r="D107" s="329" t="s">
        <v>797</v>
      </c>
      <c r="E107" s="345" t="s">
        <v>797</v>
      </c>
    </row>
    <row r="108" spans="1:5" ht="27.75" customHeight="1" x14ac:dyDescent="0.2">
      <c r="A108" s="322" t="s">
        <v>600</v>
      </c>
      <c r="B108" s="27"/>
      <c r="C108" s="311">
        <v>0</v>
      </c>
      <c r="D108" s="329" t="s">
        <v>797</v>
      </c>
      <c r="E108" s="345" t="s">
        <v>797</v>
      </c>
    </row>
    <row r="109" spans="1:5" ht="27.75" customHeight="1" x14ac:dyDescent="0.2">
      <c r="A109" s="322" t="s">
        <v>601</v>
      </c>
      <c r="B109" s="27"/>
      <c r="C109" s="311">
        <v>0</v>
      </c>
      <c r="D109" s="329" t="s">
        <v>797</v>
      </c>
      <c r="E109" s="345" t="s">
        <v>797</v>
      </c>
    </row>
    <row r="110" spans="1:5" ht="27.75" customHeight="1" x14ac:dyDescent="0.2">
      <c r="A110" s="322" t="s">
        <v>602</v>
      </c>
      <c r="B110" s="27"/>
      <c r="C110" s="311">
        <v>0</v>
      </c>
      <c r="D110" s="329" t="s">
        <v>797</v>
      </c>
      <c r="E110" s="345" t="s">
        <v>797</v>
      </c>
    </row>
    <row r="111" spans="1:5" ht="27.75" customHeight="1" x14ac:dyDescent="0.2">
      <c r="A111" s="322" t="s">
        <v>603</v>
      </c>
      <c r="B111" s="27"/>
      <c r="C111" s="311">
        <v>0</v>
      </c>
      <c r="D111" s="329" t="s">
        <v>797</v>
      </c>
      <c r="E111" s="345" t="s">
        <v>797</v>
      </c>
    </row>
    <row r="112" spans="1:5" ht="27.75" customHeight="1" x14ac:dyDescent="0.2">
      <c r="A112" s="322" t="s">
        <v>604</v>
      </c>
      <c r="B112" s="27"/>
      <c r="C112" s="311">
        <v>0</v>
      </c>
      <c r="D112" s="329" t="s">
        <v>797</v>
      </c>
      <c r="E112" s="345" t="s">
        <v>797</v>
      </c>
    </row>
    <row r="113" spans="1:5" ht="27.75" customHeight="1" x14ac:dyDescent="0.2">
      <c r="A113" s="322" t="s">
        <v>605</v>
      </c>
      <c r="B113" s="27"/>
      <c r="C113" s="311">
        <v>0</v>
      </c>
      <c r="D113" s="329" t="s">
        <v>797</v>
      </c>
      <c r="E113" s="345" t="s">
        <v>797</v>
      </c>
    </row>
    <row r="114" spans="1:5" ht="27.75" customHeight="1" x14ac:dyDescent="0.2">
      <c r="A114" s="322" t="s">
        <v>606</v>
      </c>
      <c r="B114" s="27"/>
      <c r="C114" s="311">
        <v>0</v>
      </c>
      <c r="D114" s="329" t="s">
        <v>797</v>
      </c>
      <c r="E114" s="345" t="s">
        <v>797</v>
      </c>
    </row>
    <row r="115" spans="1:5" ht="27.75" customHeight="1" x14ac:dyDescent="0.2">
      <c r="A115" s="322" t="s">
        <v>607</v>
      </c>
      <c r="B115" s="27"/>
      <c r="C115" s="311">
        <v>0</v>
      </c>
      <c r="D115" s="329" t="s">
        <v>797</v>
      </c>
      <c r="E115" s="345" t="s">
        <v>797</v>
      </c>
    </row>
    <row r="116" spans="1:5" ht="27.75" customHeight="1" x14ac:dyDescent="0.2">
      <c r="A116" s="322" t="s">
        <v>608</v>
      </c>
      <c r="B116" s="27"/>
      <c r="C116" s="311">
        <v>0</v>
      </c>
      <c r="D116" s="329" t="s">
        <v>797</v>
      </c>
      <c r="E116" s="345" t="s">
        <v>797</v>
      </c>
    </row>
    <row r="117" spans="1:5" ht="27.75" customHeight="1" x14ac:dyDescent="0.2">
      <c r="A117" s="322" t="s">
        <v>609</v>
      </c>
      <c r="B117" s="27"/>
      <c r="C117" s="311">
        <v>0</v>
      </c>
      <c r="D117" s="329" t="s">
        <v>797</v>
      </c>
      <c r="E117" s="345" t="s">
        <v>797</v>
      </c>
    </row>
    <row r="118" spans="1:5" ht="27.75" customHeight="1" x14ac:dyDescent="0.2">
      <c r="A118" s="322" t="s">
        <v>610</v>
      </c>
      <c r="B118" s="27"/>
      <c r="C118" s="311">
        <v>0</v>
      </c>
      <c r="D118" s="329" t="s">
        <v>797</v>
      </c>
      <c r="E118" s="345" t="s">
        <v>797</v>
      </c>
    </row>
    <row r="119" spans="1:5" ht="27.75" customHeight="1" x14ac:dyDescent="0.2">
      <c r="A119" s="322" t="s">
        <v>611</v>
      </c>
      <c r="B119" s="27"/>
      <c r="C119" s="311">
        <v>0</v>
      </c>
      <c r="D119" s="329" t="s">
        <v>797</v>
      </c>
      <c r="E119" s="345" t="s">
        <v>797</v>
      </c>
    </row>
    <row r="120" spans="1:5" ht="27.75" customHeight="1" x14ac:dyDescent="0.2">
      <c r="A120" s="322" t="s">
        <v>612</v>
      </c>
      <c r="B120" s="27"/>
      <c r="C120" s="311">
        <v>0</v>
      </c>
      <c r="D120" s="329" t="s">
        <v>797</v>
      </c>
      <c r="E120" s="345" t="s">
        <v>797</v>
      </c>
    </row>
    <row r="121" spans="1:5" ht="27.75" customHeight="1" x14ac:dyDescent="0.2">
      <c r="A121" s="322" t="s">
        <v>685</v>
      </c>
      <c r="B121" s="27"/>
      <c r="C121" s="311" t="s">
        <v>802</v>
      </c>
      <c r="D121" s="328">
        <v>0</v>
      </c>
      <c r="E121" s="345" t="s">
        <v>797</v>
      </c>
    </row>
    <row r="122" spans="1:5" ht="27.75" customHeight="1" x14ac:dyDescent="0.2">
      <c r="A122" s="322" t="s">
        <v>692</v>
      </c>
      <c r="B122" s="27"/>
      <c r="C122" s="311" t="s">
        <v>803</v>
      </c>
      <c r="D122" s="329" t="s">
        <v>797</v>
      </c>
      <c r="E122" s="345" t="s">
        <v>797</v>
      </c>
    </row>
    <row r="123" spans="1:5" ht="27.75" customHeight="1" x14ac:dyDescent="0.2">
      <c r="A123" s="322" t="s">
        <v>699</v>
      </c>
      <c r="B123" s="27"/>
      <c r="C123" s="311" t="s">
        <v>803</v>
      </c>
      <c r="D123" s="329" t="s">
        <v>797</v>
      </c>
      <c r="E123" s="345" t="s">
        <v>797</v>
      </c>
    </row>
    <row r="124" spans="1:5" ht="27.75" customHeight="1" x14ac:dyDescent="0.2">
      <c r="A124" s="322" t="s">
        <v>706</v>
      </c>
      <c r="B124" s="27"/>
      <c r="C124" s="311" t="s">
        <v>803</v>
      </c>
      <c r="D124" s="329" t="s">
        <v>797</v>
      </c>
      <c r="E124" s="345" t="s">
        <v>797</v>
      </c>
    </row>
    <row r="125" spans="1:5" ht="27.75" customHeight="1" x14ac:dyDescent="0.2">
      <c r="A125" s="322" t="s">
        <v>713</v>
      </c>
      <c r="B125" s="27"/>
      <c r="C125" s="311" t="s">
        <v>803</v>
      </c>
      <c r="D125" s="329" t="s">
        <v>797</v>
      </c>
      <c r="E125" s="345" t="s">
        <v>797</v>
      </c>
    </row>
    <row r="126" spans="1:5" ht="27.75" customHeight="1" x14ac:dyDescent="0.2">
      <c r="A126" s="322" t="s">
        <v>720</v>
      </c>
      <c r="B126" s="27"/>
      <c r="C126" s="311" t="s">
        <v>803</v>
      </c>
      <c r="D126" s="329" t="s">
        <v>797</v>
      </c>
      <c r="E126" s="345" t="s">
        <v>797</v>
      </c>
    </row>
    <row r="127" spans="1:5" ht="27.75" customHeight="1" x14ac:dyDescent="0.2">
      <c r="A127" s="322" t="s">
        <v>614</v>
      </c>
      <c r="B127" s="27"/>
      <c r="C127" s="311">
        <v>0</v>
      </c>
      <c r="D127" s="329" t="s">
        <v>797</v>
      </c>
      <c r="E127" s="345" t="s">
        <v>797</v>
      </c>
    </row>
    <row r="128" spans="1:5" ht="27.75" customHeight="1" x14ac:dyDescent="0.2">
      <c r="A128" s="322" t="s">
        <v>615</v>
      </c>
      <c r="B128" s="27"/>
      <c r="C128" s="311">
        <v>0</v>
      </c>
      <c r="D128" s="329" t="s">
        <v>797</v>
      </c>
      <c r="E128" s="345" t="s">
        <v>797</v>
      </c>
    </row>
    <row r="129" spans="1:5" ht="27.75" customHeight="1" x14ac:dyDescent="0.2">
      <c r="A129" s="322" t="s">
        <v>616</v>
      </c>
      <c r="B129" s="27"/>
      <c r="C129" s="311">
        <v>0</v>
      </c>
      <c r="D129" s="329" t="s">
        <v>797</v>
      </c>
      <c r="E129" s="345" t="s">
        <v>797</v>
      </c>
    </row>
    <row r="130" spans="1:5" ht="27.75" customHeight="1" x14ac:dyDescent="0.2">
      <c r="A130" s="322" t="s">
        <v>617</v>
      </c>
      <c r="B130" s="27"/>
      <c r="C130" s="311">
        <v>0</v>
      </c>
      <c r="D130" s="329" t="s">
        <v>797</v>
      </c>
      <c r="E130" s="345" t="s">
        <v>797</v>
      </c>
    </row>
    <row r="131" spans="1:5" ht="27.75" customHeight="1" x14ac:dyDescent="0.2">
      <c r="A131" s="322" t="s">
        <v>618</v>
      </c>
      <c r="B131" s="27"/>
      <c r="C131" s="311">
        <v>0</v>
      </c>
      <c r="D131" s="329" t="s">
        <v>797</v>
      </c>
      <c r="E131" s="345" t="s">
        <v>797</v>
      </c>
    </row>
    <row r="132" spans="1:5" ht="27.75" customHeight="1" x14ac:dyDescent="0.2">
      <c r="A132" s="322" t="s">
        <v>619</v>
      </c>
      <c r="B132" s="27"/>
      <c r="C132" s="311">
        <v>0</v>
      </c>
      <c r="D132" s="329" t="s">
        <v>797</v>
      </c>
      <c r="E132" s="345" t="s">
        <v>797</v>
      </c>
    </row>
    <row r="133" spans="1:5" ht="27.75" customHeight="1" x14ac:dyDescent="0.2">
      <c r="A133" s="322" t="s">
        <v>620</v>
      </c>
      <c r="B133" s="27"/>
      <c r="C133" s="311">
        <v>0</v>
      </c>
      <c r="D133" s="329" t="s">
        <v>797</v>
      </c>
      <c r="E133" s="345" t="s">
        <v>797</v>
      </c>
    </row>
    <row r="134" spans="1:5" ht="27.75" customHeight="1" x14ac:dyDescent="0.2">
      <c r="A134" s="322" t="s">
        <v>621</v>
      </c>
      <c r="B134" s="27"/>
      <c r="C134" s="311">
        <v>0</v>
      </c>
      <c r="D134" s="329" t="s">
        <v>797</v>
      </c>
      <c r="E134" s="345" t="s">
        <v>797</v>
      </c>
    </row>
    <row r="135" spans="1:5" ht="27.75" customHeight="1" x14ac:dyDescent="0.2">
      <c r="A135" s="322" t="s">
        <v>622</v>
      </c>
      <c r="B135" s="27"/>
      <c r="C135" s="311">
        <v>0</v>
      </c>
      <c r="D135" s="329" t="s">
        <v>797</v>
      </c>
      <c r="E135" s="345" t="s">
        <v>797</v>
      </c>
    </row>
    <row r="136" spans="1:5" ht="27.75" customHeight="1" x14ac:dyDescent="0.2">
      <c r="A136" s="322" t="s">
        <v>623</v>
      </c>
      <c r="B136" s="27"/>
      <c r="C136" s="311">
        <v>0</v>
      </c>
      <c r="D136" s="329" t="s">
        <v>797</v>
      </c>
      <c r="E136" s="345" t="s">
        <v>797</v>
      </c>
    </row>
    <row r="137" spans="1:5" ht="27.75" customHeight="1" x14ac:dyDescent="0.2">
      <c r="A137" s="322" t="s">
        <v>624</v>
      </c>
      <c r="B137" s="27"/>
      <c r="C137" s="311">
        <v>0</v>
      </c>
      <c r="D137" s="329" t="s">
        <v>797</v>
      </c>
      <c r="E137" s="345" t="s">
        <v>797</v>
      </c>
    </row>
    <row r="138" spans="1:5" ht="27.75" customHeight="1" x14ac:dyDescent="0.2">
      <c r="A138" s="322" t="s">
        <v>625</v>
      </c>
      <c r="B138" s="27"/>
      <c r="C138" s="311">
        <v>0</v>
      </c>
      <c r="D138" s="329" t="s">
        <v>797</v>
      </c>
      <c r="E138" s="345" t="s">
        <v>797</v>
      </c>
    </row>
    <row r="139" spans="1:5" ht="27.75" customHeight="1" x14ac:dyDescent="0.2">
      <c r="A139" s="322" t="s">
        <v>626</v>
      </c>
      <c r="B139" s="27"/>
      <c r="C139" s="311">
        <v>0</v>
      </c>
      <c r="D139" s="329" t="s">
        <v>797</v>
      </c>
      <c r="E139" s="345" t="s">
        <v>797</v>
      </c>
    </row>
    <row r="140" spans="1:5" ht="27.75" customHeight="1" x14ac:dyDescent="0.2">
      <c r="A140" s="322" t="s">
        <v>627</v>
      </c>
      <c r="B140" s="27"/>
      <c r="C140" s="311">
        <v>0</v>
      </c>
      <c r="D140" s="329" t="s">
        <v>797</v>
      </c>
      <c r="E140" s="345" t="s">
        <v>797</v>
      </c>
    </row>
    <row r="141" spans="1:5" ht="27.75" customHeight="1" x14ac:dyDescent="0.2">
      <c r="A141" s="322" t="s">
        <v>628</v>
      </c>
      <c r="B141" s="27"/>
      <c r="C141" s="311">
        <v>0</v>
      </c>
      <c r="D141" s="329" t="s">
        <v>797</v>
      </c>
      <c r="E141" s="345" t="s">
        <v>797</v>
      </c>
    </row>
    <row r="142" spans="1:5" ht="27.75" customHeight="1" x14ac:dyDescent="0.2">
      <c r="A142" s="322" t="s">
        <v>686</v>
      </c>
      <c r="B142" s="27"/>
      <c r="C142" s="311" t="s">
        <v>802</v>
      </c>
      <c r="D142" s="328">
        <v>0</v>
      </c>
      <c r="E142" s="345" t="s">
        <v>797</v>
      </c>
    </row>
    <row r="143" spans="1:5" ht="27.75" customHeight="1" x14ac:dyDescent="0.2">
      <c r="A143" s="322" t="s">
        <v>693</v>
      </c>
      <c r="B143" s="27"/>
      <c r="C143" s="311" t="s">
        <v>803</v>
      </c>
      <c r="D143" s="329" t="s">
        <v>797</v>
      </c>
      <c r="E143" s="345" t="s">
        <v>797</v>
      </c>
    </row>
    <row r="144" spans="1:5" ht="27.75" customHeight="1" x14ac:dyDescent="0.2">
      <c r="A144" s="322" t="s">
        <v>700</v>
      </c>
      <c r="B144" s="27"/>
      <c r="C144" s="311" t="s">
        <v>803</v>
      </c>
      <c r="D144" s="329" t="s">
        <v>797</v>
      </c>
      <c r="E144" s="345" t="s">
        <v>797</v>
      </c>
    </row>
    <row r="145" spans="1:5" ht="27.75" customHeight="1" x14ac:dyDescent="0.2">
      <c r="A145" s="322" t="s">
        <v>707</v>
      </c>
      <c r="B145" s="27"/>
      <c r="C145" s="311" t="s">
        <v>803</v>
      </c>
      <c r="D145" s="329" t="s">
        <v>797</v>
      </c>
      <c r="E145" s="345" t="s">
        <v>797</v>
      </c>
    </row>
    <row r="146" spans="1:5" ht="27.75" customHeight="1" x14ac:dyDescent="0.2">
      <c r="A146" s="322" t="s">
        <v>714</v>
      </c>
      <c r="B146" s="27"/>
      <c r="C146" s="311" t="s">
        <v>803</v>
      </c>
      <c r="D146" s="329" t="s">
        <v>797</v>
      </c>
      <c r="E146" s="345" t="s">
        <v>797</v>
      </c>
    </row>
    <row r="147" spans="1:5" ht="27.75" customHeight="1" x14ac:dyDescent="0.2">
      <c r="A147" s="322" t="s">
        <v>721</v>
      </c>
      <c r="B147" s="27"/>
      <c r="C147" s="311" t="s">
        <v>803</v>
      </c>
      <c r="D147" s="329" t="s">
        <v>797</v>
      </c>
      <c r="E147" s="345" t="s">
        <v>797</v>
      </c>
    </row>
    <row r="148" spans="1:5" ht="27.75" customHeight="1" x14ac:dyDescent="0.2">
      <c r="A148" s="322" t="s">
        <v>630</v>
      </c>
      <c r="B148" s="27"/>
      <c r="C148" s="311">
        <v>0</v>
      </c>
      <c r="D148" s="329" t="s">
        <v>797</v>
      </c>
      <c r="E148" s="345" t="s">
        <v>797</v>
      </c>
    </row>
    <row r="149" spans="1:5" ht="27.75" customHeight="1" x14ac:dyDescent="0.2">
      <c r="A149" s="322" t="s">
        <v>631</v>
      </c>
      <c r="B149" s="27"/>
      <c r="C149" s="311">
        <v>0</v>
      </c>
      <c r="D149" s="329" t="s">
        <v>797</v>
      </c>
      <c r="E149" s="345" t="s">
        <v>797</v>
      </c>
    </row>
    <row r="150" spans="1:5" ht="27.75" customHeight="1" x14ac:dyDescent="0.2">
      <c r="A150" s="322" t="s">
        <v>632</v>
      </c>
      <c r="B150" s="27"/>
      <c r="C150" s="311">
        <v>0</v>
      </c>
      <c r="D150" s="329" t="s">
        <v>797</v>
      </c>
      <c r="E150" s="345" t="s">
        <v>797</v>
      </c>
    </row>
    <row r="151" spans="1:5" ht="27.75" customHeight="1" x14ac:dyDescent="0.2">
      <c r="A151" s="322" t="s">
        <v>633</v>
      </c>
      <c r="B151" s="27"/>
      <c r="C151" s="311">
        <v>0</v>
      </c>
      <c r="D151" s="329" t="s">
        <v>797</v>
      </c>
      <c r="E151" s="345" t="s">
        <v>797</v>
      </c>
    </row>
    <row r="152" spans="1:5" ht="27.75" customHeight="1" x14ac:dyDescent="0.2">
      <c r="A152" s="322" t="s">
        <v>634</v>
      </c>
      <c r="B152" s="27"/>
      <c r="C152" s="311">
        <v>0</v>
      </c>
      <c r="D152" s="329" t="s">
        <v>797</v>
      </c>
      <c r="E152" s="345" t="s">
        <v>797</v>
      </c>
    </row>
    <row r="153" spans="1:5" ht="27.75" customHeight="1" x14ac:dyDescent="0.2">
      <c r="A153" s="322" t="s">
        <v>635</v>
      </c>
      <c r="B153" s="27"/>
      <c r="C153" s="311">
        <v>0</v>
      </c>
      <c r="D153" s="329" t="s">
        <v>797</v>
      </c>
      <c r="E153" s="345" t="s">
        <v>797</v>
      </c>
    </row>
    <row r="154" spans="1:5" ht="27.75" customHeight="1" x14ac:dyDescent="0.2">
      <c r="A154" s="322" t="s">
        <v>636</v>
      </c>
      <c r="B154" s="27"/>
      <c r="C154" s="311">
        <v>0</v>
      </c>
      <c r="D154" s="329" t="s">
        <v>797</v>
      </c>
      <c r="E154" s="345" t="s">
        <v>797</v>
      </c>
    </row>
    <row r="155" spans="1:5" ht="27.75" customHeight="1" x14ac:dyDescent="0.2">
      <c r="A155" s="322" t="s">
        <v>637</v>
      </c>
      <c r="B155" s="27"/>
      <c r="C155" s="311">
        <v>0</v>
      </c>
      <c r="D155" s="329" t="s">
        <v>797</v>
      </c>
      <c r="E155" s="345" t="s">
        <v>797</v>
      </c>
    </row>
    <row r="156" spans="1:5" ht="27.75" customHeight="1" x14ac:dyDescent="0.2">
      <c r="A156" s="322" t="s">
        <v>638</v>
      </c>
      <c r="B156" s="27"/>
      <c r="C156" s="311">
        <v>0</v>
      </c>
      <c r="D156" s="329" t="s">
        <v>797</v>
      </c>
      <c r="E156" s="345" t="s">
        <v>797</v>
      </c>
    </row>
    <row r="157" spans="1:5" ht="27.75" customHeight="1" x14ac:dyDescent="0.2">
      <c r="A157" s="322" t="s">
        <v>639</v>
      </c>
      <c r="B157" s="27"/>
      <c r="C157" s="311">
        <v>0</v>
      </c>
      <c r="D157" s="329" t="s">
        <v>797</v>
      </c>
      <c r="E157" s="345" t="s">
        <v>797</v>
      </c>
    </row>
    <row r="158" spans="1:5" ht="27.75" customHeight="1" x14ac:dyDescent="0.2">
      <c r="A158" s="322" t="s">
        <v>640</v>
      </c>
      <c r="B158" s="27"/>
      <c r="C158" s="311">
        <v>0</v>
      </c>
      <c r="D158" s="329" t="s">
        <v>797</v>
      </c>
      <c r="E158" s="345" t="s">
        <v>797</v>
      </c>
    </row>
    <row r="159" spans="1:5" ht="27.75" customHeight="1" x14ac:dyDescent="0.2">
      <c r="A159" s="322" t="s">
        <v>641</v>
      </c>
      <c r="B159" s="27"/>
      <c r="C159" s="311">
        <v>0</v>
      </c>
      <c r="D159" s="329" t="s">
        <v>797</v>
      </c>
      <c r="E159" s="345" t="s">
        <v>797</v>
      </c>
    </row>
    <row r="160" spans="1:5" ht="27.75" customHeight="1" x14ac:dyDescent="0.2">
      <c r="A160" s="322" t="s">
        <v>642</v>
      </c>
      <c r="B160" s="27"/>
      <c r="C160" s="311">
        <v>0</v>
      </c>
      <c r="D160" s="329" t="s">
        <v>797</v>
      </c>
      <c r="E160" s="345" t="s">
        <v>797</v>
      </c>
    </row>
    <row r="161" spans="1:5" ht="27.75" customHeight="1" x14ac:dyDescent="0.2">
      <c r="A161" s="322" t="s">
        <v>643</v>
      </c>
      <c r="B161" s="27"/>
      <c r="C161" s="311">
        <v>0</v>
      </c>
      <c r="D161" s="329" t="s">
        <v>797</v>
      </c>
      <c r="E161" s="345" t="s">
        <v>797</v>
      </c>
    </row>
    <row r="162" spans="1:5" ht="27.75" customHeight="1" x14ac:dyDescent="0.2">
      <c r="A162" s="322" t="s">
        <v>644</v>
      </c>
      <c r="B162" s="27" t="s">
        <v>797</v>
      </c>
      <c r="C162" s="311">
        <v>0</v>
      </c>
      <c r="D162" s="329" t="s">
        <v>797</v>
      </c>
      <c r="E162" s="345" t="s">
        <v>797</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7433C898-9EAB-4919-B25E-346518398156}"/>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43"/>
  <sheetViews>
    <sheetView zoomScale="80" zoomScaleNormal="80" workbookViewId="0">
      <selection activeCell="A22" sqref="A22"/>
    </sheetView>
  </sheetViews>
  <sheetFormatPr defaultColWidth="9.140625" defaultRowHeight="27.75" customHeight="1" x14ac:dyDescent="0.2"/>
  <cols>
    <col min="1" max="1" width="29.85546875" style="1" customWidth="1"/>
    <col min="2" max="2" width="48.5703125" style="1" customWidth="1"/>
    <col min="3" max="3" width="23.7109375" style="2" customWidth="1"/>
    <col min="4" max="4" width="43.5703125" style="2" customWidth="1"/>
    <col min="5" max="5" width="15.5703125" style="1" customWidth="1"/>
    <col min="6" max="16384" width="9.140625" style="1"/>
  </cols>
  <sheetData>
    <row r="1" spans="1:7" ht="27.75" customHeight="1" x14ac:dyDescent="0.2">
      <c r="A1" s="31" t="s">
        <v>19</v>
      </c>
      <c r="B1" s="2"/>
      <c r="C1" s="1"/>
      <c r="E1" s="7"/>
      <c r="F1" s="3"/>
      <c r="G1" s="3"/>
    </row>
    <row r="2" spans="1:7" s="8" customFormat="1" ht="58.5" customHeight="1" x14ac:dyDescent="0.2">
      <c r="A2" s="396" t="str">
        <f>Overview!B4&amp;" - Effective from "&amp;TEXT(Overview!$D$4,"d mmmm yyyy")&amp;" - Final Nodal charges in UKPN EPN Area (GSP Group_A)"</f>
        <v>Leep Electricity Networks Limited - Effective from 1 April 2027 - Final Nodal charges in UKPN EPN Area (GSP Group_A)</v>
      </c>
      <c r="B2" s="397"/>
      <c r="C2" s="397"/>
      <c r="D2" s="398"/>
    </row>
    <row r="3" spans="1:7" ht="58.5" customHeight="1" x14ac:dyDescent="0.2">
      <c r="A3" s="12" t="s">
        <v>278</v>
      </c>
      <c r="B3" s="12" t="s">
        <v>1</v>
      </c>
      <c r="C3" s="12" t="s">
        <v>262</v>
      </c>
      <c r="D3" s="12" t="s">
        <v>263</v>
      </c>
    </row>
    <row r="4" spans="1:7" ht="24.75" customHeight="1" x14ac:dyDescent="0.2"/>
    <row r="5" spans="1:7" ht="58.5" customHeight="1" x14ac:dyDescent="0.2">
      <c r="A5" s="396" t="str">
        <f>Overview!B4&amp;" - Effective from "&amp;TEXT(Overview!$D$4,"d mmmm yyyy")&amp;" - Final Nodal/Zonal charges in WPD EM Area (GSP Group_B)"</f>
        <v>Leep Electricity Networks Limited - Effective from 1 April 2027 - Final Nodal/Zonal charges in WPD EM Area (GSP Group_B)</v>
      </c>
      <c r="B5" s="397"/>
      <c r="C5" s="397"/>
      <c r="D5" s="398"/>
    </row>
    <row r="6" spans="1:7" ht="58.5" customHeight="1" x14ac:dyDescent="0.2">
      <c r="A6" s="12" t="s">
        <v>278</v>
      </c>
      <c r="B6" s="12" t="s">
        <v>1</v>
      </c>
      <c r="C6" s="12" t="s">
        <v>262</v>
      </c>
      <c r="D6" s="12" t="s">
        <v>263</v>
      </c>
    </row>
    <row r="7" spans="1:7" ht="24.75" customHeight="1" x14ac:dyDescent="0.2"/>
    <row r="8" spans="1:7" ht="58.5" customHeight="1" x14ac:dyDescent="0.2">
      <c r="A8" s="396" t="str">
        <f>Overview!B4&amp;" - Effective from "&amp;TEXT(Overview!$D$4,"d mmmm yyyy")&amp;" - Final Nodal charges in UKPN LPN Area (GSP Group_C)"</f>
        <v>Leep Electricity Networks Limited - Effective from 1 April 2027 - Final Nodal charges in UKPN LPN Area (GSP Group_C)</v>
      </c>
      <c r="B8" s="397"/>
      <c r="C8" s="397"/>
      <c r="D8" s="398"/>
    </row>
    <row r="9" spans="1:7" ht="58.5" customHeight="1" x14ac:dyDescent="0.2">
      <c r="A9" s="12" t="s">
        <v>278</v>
      </c>
      <c r="B9" s="12" t="s">
        <v>1</v>
      </c>
      <c r="C9" s="12" t="s">
        <v>262</v>
      </c>
      <c r="D9" s="12" t="s">
        <v>263</v>
      </c>
    </row>
    <row r="10" spans="1:7" ht="24.75" customHeight="1" x14ac:dyDescent="0.2"/>
    <row r="11" spans="1:7" ht="58.5" customHeight="1" x14ac:dyDescent="0.2">
      <c r="A11" s="396" t="str">
        <f>Overview!B4&amp;" - Effective from "&amp;TEXT(Overview!$D$4,"d mmmm yyyy")&amp;" - Final Nodal/Zonal charges in SP Manweb Area                                                                                                         (GSP Group_D)"</f>
        <v>Leep Electricity Networks Limited - Effective from 1 April 2027 - Final Nodal/Zonal charges in SP Manweb Area                                                                                                         (GSP Group_D)</v>
      </c>
      <c r="B11" s="397"/>
      <c r="C11" s="397"/>
      <c r="D11" s="398"/>
    </row>
    <row r="12" spans="1:7" ht="58.5" customHeight="1" x14ac:dyDescent="0.2">
      <c r="A12" s="12" t="s">
        <v>278</v>
      </c>
      <c r="B12" s="12" t="s">
        <v>1</v>
      </c>
      <c r="C12" s="12" t="s">
        <v>262</v>
      </c>
      <c r="D12" s="12" t="s">
        <v>263</v>
      </c>
    </row>
    <row r="13" spans="1:7" ht="24.75" customHeight="1" x14ac:dyDescent="0.2"/>
    <row r="14" spans="1:7" ht="58.5" customHeight="1" x14ac:dyDescent="0.2">
      <c r="A14" s="396" t="str">
        <f>Overview!B4&amp;" - Effective from "&amp;TEXT(Overview!$D$4,"d mmmm yyyy")&amp;" - Final Nodal/Zonal charges in WPD West Midlands Area                                                                                                                       (GSP Group_E)"</f>
        <v>Leep Electricity Networks Limited - Effective from 1 April 2027 - Final Nodal/Zonal charges in WPD West Midlands Area                                                                                                                       (GSP Group_E)</v>
      </c>
      <c r="B14" s="397"/>
      <c r="C14" s="397"/>
      <c r="D14" s="398"/>
    </row>
    <row r="15" spans="1:7" ht="58.5" customHeight="1" x14ac:dyDescent="0.2">
      <c r="A15" s="12" t="s">
        <v>278</v>
      </c>
      <c r="B15" s="12" t="s">
        <v>1</v>
      </c>
      <c r="C15" s="12" t="s">
        <v>262</v>
      </c>
      <c r="D15" s="12" t="s">
        <v>263</v>
      </c>
    </row>
    <row r="16" spans="1:7" ht="24.75" customHeight="1" x14ac:dyDescent="0.2"/>
    <row r="17" spans="1:4" ht="58.5" customHeight="1" x14ac:dyDescent="0.2">
      <c r="A17" s="396" t="str">
        <f>Overview!B4&amp;" - Effective from "&amp;TEXT(Overview!$D$4,"d mmmm yyyy")&amp;" - Final Nodal/Zonal charges in NPG Northeast Area (GSP Group_F)"</f>
        <v>Leep Electricity Networks Limited - Effective from 1 April 2027 - Final Nodal/Zonal charges in NPG Northeast Area (GSP Group_F)</v>
      </c>
      <c r="B17" s="397"/>
      <c r="C17" s="397"/>
      <c r="D17" s="398"/>
    </row>
    <row r="18" spans="1:4" ht="58.5" customHeight="1" x14ac:dyDescent="0.2">
      <c r="A18" s="12" t="s">
        <v>278</v>
      </c>
      <c r="B18" s="12" t="s">
        <v>1</v>
      </c>
      <c r="C18" s="12" t="s">
        <v>262</v>
      </c>
      <c r="D18" s="12" t="s">
        <v>263</v>
      </c>
    </row>
    <row r="19" spans="1:4" ht="58.5" customHeight="1" x14ac:dyDescent="0.2"/>
    <row r="20" spans="1:4" ht="58.5" customHeight="1" x14ac:dyDescent="0.2">
      <c r="A20" s="396" t="str">
        <f>Overview!B4&amp;" - Effective from "&amp;TEXT(Overview!$D$4,"d mmmm yyyy")&amp;" - Final Nodal/Zonal charges in Electricity North West Area (GSP Group_G)"</f>
        <v>Leep Electricity Networks Limited - Effective from 1 April 2027 - Final Nodal/Zonal charges in Electricity North West Area (GSP Group_G)</v>
      </c>
      <c r="B20" s="397"/>
      <c r="C20" s="397"/>
      <c r="D20" s="398"/>
    </row>
    <row r="21" spans="1:4" ht="58.5" customHeight="1" x14ac:dyDescent="0.2">
      <c r="A21" s="12" t="s">
        <v>278</v>
      </c>
      <c r="B21" s="12" t="s">
        <v>1</v>
      </c>
      <c r="C21" s="12" t="s">
        <v>262</v>
      </c>
      <c r="D21" s="12" t="s">
        <v>263</v>
      </c>
    </row>
    <row r="23" spans="1:4" ht="58.5" customHeight="1" x14ac:dyDescent="0.2">
      <c r="A23" s="396" t="str">
        <f>Overview!B4&amp;" - Effective from "&amp;TEXT(Overview!$D$4,"d mmmm yyyy")&amp;" - Final Nodal charges in SSE SEPN Area (GSP Group_H)"</f>
        <v>Leep Electricity Networks Limited - Effective from 1 April 2027 - Final Nodal charges in SSE SEPN Area (GSP Group_H)</v>
      </c>
      <c r="B23" s="397"/>
      <c r="C23" s="397"/>
      <c r="D23" s="398"/>
    </row>
    <row r="24" spans="1:4" ht="58.5" customHeight="1" x14ac:dyDescent="0.2">
      <c r="A24" s="12" t="s">
        <v>278</v>
      </c>
      <c r="B24" s="12" t="s">
        <v>1</v>
      </c>
      <c r="C24" s="12" t="s">
        <v>262</v>
      </c>
      <c r="D24" s="12" t="s">
        <v>263</v>
      </c>
    </row>
    <row r="25" spans="1:4" ht="24.75" customHeight="1" x14ac:dyDescent="0.2"/>
    <row r="26" spans="1:4" ht="58.5" customHeight="1" x14ac:dyDescent="0.2">
      <c r="A26" s="396" t="str">
        <f>Overview!B4&amp;" - Effective from "&amp;TEXT(Overview!$D$4,"d mmmm yyyy")&amp;" - Final Nodal charges in UKPN SPN Area (GSP Group_J)"</f>
        <v>Leep Electricity Networks Limited - Effective from 1 April 2027 - Final Nodal charges in UKPN SPN Area (GSP Group_J)</v>
      </c>
      <c r="B26" s="397"/>
      <c r="C26" s="397"/>
      <c r="D26" s="398"/>
    </row>
    <row r="27" spans="1:4" ht="58.5" customHeight="1" x14ac:dyDescent="0.2">
      <c r="A27" s="12" t="s">
        <v>278</v>
      </c>
      <c r="B27" s="12" t="s">
        <v>1</v>
      </c>
      <c r="C27" s="12" t="s">
        <v>262</v>
      </c>
      <c r="D27" s="12" t="s">
        <v>263</v>
      </c>
    </row>
    <row r="28" spans="1:4" ht="24.75" customHeight="1" x14ac:dyDescent="0.2"/>
    <row r="29" spans="1:4" ht="58.5" customHeight="1" x14ac:dyDescent="0.2">
      <c r="A29" s="396" t="str">
        <f>Overview!B4&amp;" - Effective from "&amp;TEXT(Overview!$D$4,"d mmmm yyyy")&amp;" - Final Nodal/Zonal charges in WPD South Wales Area (GSP Group_K)"</f>
        <v>Leep Electricity Networks Limited - Effective from 1 April 2027 - Final Nodal/Zonal charges in WPD South Wales Area (GSP Group_K)</v>
      </c>
      <c r="B29" s="397"/>
      <c r="C29" s="397"/>
      <c r="D29" s="398"/>
    </row>
    <row r="30" spans="1:4" ht="58.5" customHeight="1" x14ac:dyDescent="0.2">
      <c r="A30" s="12" t="s">
        <v>278</v>
      </c>
      <c r="B30" s="12" t="s">
        <v>1</v>
      </c>
      <c r="C30" s="12" t="s">
        <v>262</v>
      </c>
      <c r="D30" s="12" t="s">
        <v>263</v>
      </c>
    </row>
    <row r="31" spans="1:4" ht="24.75" customHeight="1" x14ac:dyDescent="0.2"/>
    <row r="32" spans="1:4" ht="58.5" customHeight="1" x14ac:dyDescent="0.2">
      <c r="A32" s="396" t="str">
        <f>Overview!B4&amp;" - Effective from "&amp;TEXT(Overview!$D$4,"d mmmm yyyy")&amp;" - Final Nodal/Zonal charges in WPD South West Area (GSP Group_L)"</f>
        <v>Leep Electricity Networks Limited - Effective from 1 April 2027 - Final Nodal/Zonal charges in WPD South West Area (GSP Group_L)</v>
      </c>
      <c r="B32" s="397"/>
      <c r="C32" s="397"/>
      <c r="D32" s="398"/>
    </row>
    <row r="33" spans="1:4" ht="58.5" customHeight="1" x14ac:dyDescent="0.2">
      <c r="A33" s="12" t="s">
        <v>278</v>
      </c>
      <c r="B33" s="12" t="s">
        <v>1</v>
      </c>
      <c r="C33" s="12" t="s">
        <v>262</v>
      </c>
      <c r="D33" s="12" t="s">
        <v>263</v>
      </c>
    </row>
    <row r="34" spans="1:4" ht="24.75" customHeight="1" x14ac:dyDescent="0.2"/>
    <row r="35" spans="1:4" ht="58.5" customHeight="1" x14ac:dyDescent="0.2">
      <c r="A35" s="396" t="str">
        <f>Overview!B4&amp;" - Effective from "&amp;TEXT(Overview!$D$4,"d mmmm yyyy")&amp;" - Final Nodal/Zonal charges in NPG Yorkshire Area (GSP Group_M)"</f>
        <v>Leep Electricity Networks Limited - Effective from 1 April 2027 - Final Nodal/Zonal charges in NPG Yorkshire Area (GSP Group_M)</v>
      </c>
      <c r="B35" s="397"/>
      <c r="C35" s="397"/>
      <c r="D35" s="398"/>
    </row>
    <row r="36" spans="1:4" ht="58.5" customHeight="1" x14ac:dyDescent="0.2">
      <c r="A36" s="12" t="s">
        <v>278</v>
      </c>
      <c r="B36" s="12" t="s">
        <v>1</v>
      </c>
      <c r="C36" s="12" t="s">
        <v>262</v>
      </c>
      <c r="D36" s="12" t="s">
        <v>263</v>
      </c>
    </row>
    <row r="37" spans="1:4" ht="24.75" customHeight="1" x14ac:dyDescent="0.2"/>
    <row r="38" spans="1:4" ht="58.5" customHeight="1" x14ac:dyDescent="0.2">
      <c r="A38" s="396" t="str">
        <f>Overview!B31&amp;" - Effective from "&amp;Overview!D31&amp;" - Final Nodal/Zonal charges in SP Distribution  Area                                                                                                         (GSP Group_N)"</f>
        <v>Tariffs in NPG Northeast Area (GSP Group_F) - Effective from  - Final Nodal/Zonal charges in SP Distribution  Area                                                                                                         (GSP Group_N)</v>
      </c>
      <c r="B38" s="397"/>
      <c r="C38" s="397"/>
      <c r="D38" s="398"/>
    </row>
    <row r="39" spans="1:4" ht="58.5" customHeight="1" x14ac:dyDescent="0.2">
      <c r="A39" s="12" t="s">
        <v>278</v>
      </c>
      <c r="B39" s="12" t="s">
        <v>1</v>
      </c>
      <c r="C39" s="12" t="s">
        <v>262</v>
      </c>
      <c r="D39" s="12" t="s">
        <v>263</v>
      </c>
    </row>
    <row r="41" spans="1:4" ht="58.5" customHeight="1" x14ac:dyDescent="0.2">
      <c r="A41" s="396" t="str">
        <f>Overview!B22&amp;" - Effective from "&amp;Overview!D22&amp;" - Final Nodal charges in SSE SHEPD Area (GSP Group_P)"</f>
        <v>Charges in SSE SHEPD Area (GSP Group_P) - Effective from  - Final Nodal charges in SSE SHEPD Area (GSP Group_P)</v>
      </c>
      <c r="B41" s="397"/>
      <c r="C41" s="397"/>
      <c r="D41" s="398"/>
    </row>
    <row r="42" spans="1:4" ht="58.5" customHeight="1" x14ac:dyDescent="0.2">
      <c r="A42" s="12" t="s">
        <v>278</v>
      </c>
      <c r="B42" s="12" t="s">
        <v>1</v>
      </c>
      <c r="C42" s="12" t="s">
        <v>262</v>
      </c>
      <c r="D42" s="12" t="s">
        <v>263</v>
      </c>
    </row>
    <row r="43" spans="1:4" ht="24.75" customHeight="1" x14ac:dyDescent="0.2"/>
  </sheetData>
  <sheetProtection selectLockedCells="1" selectUnlockedCells="1"/>
  <mergeCells count="14">
    <mergeCell ref="A38:D38"/>
    <mergeCell ref="A41:D41"/>
    <mergeCell ref="A2:D2"/>
    <mergeCell ref="A5:D5"/>
    <mergeCell ref="A8:D8"/>
    <mergeCell ref="A11:D11"/>
    <mergeCell ref="A14:D14"/>
    <mergeCell ref="A35:D35"/>
    <mergeCell ref="A17:D17"/>
    <mergeCell ref="A20:D20"/>
    <mergeCell ref="A26:D26"/>
    <mergeCell ref="A29:D29"/>
    <mergeCell ref="A32:D32"/>
    <mergeCell ref="A23:D23"/>
  </mergeCells>
  <hyperlinks>
    <hyperlink ref="A1" location="Overview!A1" display="Back to Overview" xr:uid="{00000000-0004-0000-2600-000000000000}"/>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pageSetUpPr fitToPage="1"/>
  </sheetPr>
  <dimension ref="A1:I1205"/>
  <sheetViews>
    <sheetView zoomScale="80" zoomScaleNormal="80" workbookViewId="0">
      <selection activeCell="A22" sqref="A22"/>
    </sheetView>
  </sheetViews>
  <sheetFormatPr defaultColWidth="11.5703125" defaultRowHeight="12.75" x14ac:dyDescent="0.2"/>
  <cols>
    <col min="1" max="1" width="13.85546875" style="22" customWidth="1"/>
    <col min="2" max="2" width="41.5703125" style="22" bestFit="1" customWidth="1"/>
    <col min="3" max="3" width="26.28515625" style="22" customWidth="1"/>
    <col min="4" max="5" width="4.7109375" style="22" customWidth="1"/>
    <col min="6" max="7" width="29.140625" style="22" bestFit="1" customWidth="1"/>
    <col min="8" max="8" width="11.5703125" style="22"/>
    <col min="9" max="9" width="60.28515625" style="22" customWidth="1"/>
    <col min="10" max="16384" width="11.5703125" style="22"/>
  </cols>
  <sheetData>
    <row r="1" spans="1:2" ht="26.25" customHeight="1" x14ac:dyDescent="0.2">
      <c r="A1" s="530" t="s">
        <v>19</v>
      </c>
      <c r="B1" s="530"/>
    </row>
    <row r="2" spans="1:2" ht="12.75" customHeight="1" x14ac:dyDescent="0.2">
      <c r="A2" s="87"/>
      <c r="B2" s="87"/>
    </row>
    <row r="3" spans="1:2" ht="12.75" customHeight="1" x14ac:dyDescent="0.2">
      <c r="A3" s="87"/>
      <c r="B3" s="87"/>
    </row>
    <row r="4" spans="1:2" ht="12.75" customHeight="1" x14ac:dyDescent="0.2">
      <c r="A4" s="87"/>
      <c r="B4" s="87"/>
    </row>
    <row r="5" spans="1:2" ht="12.75" customHeight="1" x14ac:dyDescent="0.2">
      <c r="A5" s="87"/>
      <c r="B5" s="87"/>
    </row>
    <row r="6" spans="1:2" ht="12.75" customHeight="1" x14ac:dyDescent="0.2">
      <c r="A6" s="87"/>
      <c r="B6" s="87"/>
    </row>
    <row r="7" spans="1:2" ht="12.75" customHeight="1" x14ac:dyDescent="0.2">
      <c r="A7" s="87"/>
      <c r="B7" s="87"/>
    </row>
    <row r="8" spans="1:2" ht="12.75" customHeight="1" x14ac:dyDescent="0.2">
      <c r="A8" s="87"/>
      <c r="B8" s="87"/>
    </row>
    <row r="9" spans="1:2" ht="12.75" customHeight="1" x14ac:dyDescent="0.2">
      <c r="A9" s="87"/>
      <c r="B9" s="87"/>
    </row>
    <row r="10" spans="1:2" ht="12.75" customHeight="1" x14ac:dyDescent="0.2">
      <c r="A10" s="87"/>
      <c r="B10" s="87"/>
    </row>
    <row r="11" spans="1:2" ht="12.75" customHeight="1" x14ac:dyDescent="0.2">
      <c r="A11" s="87"/>
      <c r="B11" s="87"/>
    </row>
    <row r="12" spans="1:2" ht="12.75" customHeight="1" x14ac:dyDescent="0.2">
      <c r="A12" s="87"/>
      <c r="B12" s="87"/>
    </row>
    <row r="13" spans="1:2" ht="12.75" customHeight="1" x14ac:dyDescent="0.2">
      <c r="A13" s="87"/>
      <c r="B13" s="87"/>
    </row>
    <row r="14" spans="1:2" ht="12.75" customHeight="1" x14ac:dyDescent="0.2">
      <c r="A14" s="87"/>
      <c r="B14" s="87"/>
    </row>
    <row r="15" spans="1:2" ht="12.75" customHeight="1" x14ac:dyDescent="0.2">
      <c r="A15" s="87"/>
      <c r="B15" s="87"/>
    </row>
    <row r="16" spans="1:2" ht="12.75" customHeight="1" x14ac:dyDescent="0.2">
      <c r="A16" s="87"/>
      <c r="B16" s="87"/>
    </row>
    <row r="17" spans="1:9" ht="12.75" customHeight="1" x14ac:dyDescent="0.2">
      <c r="A17" s="87"/>
      <c r="B17" s="87"/>
    </row>
    <row r="18" spans="1:9" ht="12.75" customHeight="1" x14ac:dyDescent="0.2">
      <c r="A18" s="87"/>
      <c r="B18" s="87"/>
    </row>
    <row r="19" spans="1:9" ht="12.75" customHeight="1" x14ac:dyDescent="0.2">
      <c r="A19" s="87"/>
      <c r="B19" s="87"/>
    </row>
    <row r="20" spans="1:9" ht="12.75" customHeight="1" x14ac:dyDescent="0.2">
      <c r="A20" s="87"/>
      <c r="B20" s="87"/>
    </row>
    <row r="21" spans="1:9" ht="12.75" customHeight="1" x14ac:dyDescent="0.2">
      <c r="A21" s="87"/>
      <c r="B21" s="87"/>
    </row>
    <row r="22" spans="1:9" ht="12.75" customHeight="1" x14ac:dyDescent="0.2">
      <c r="A22" s="87"/>
      <c r="B22" s="87"/>
    </row>
    <row r="23" spans="1:9" ht="12.75" customHeight="1" x14ac:dyDescent="0.2">
      <c r="A23" s="87"/>
      <c r="B23" s="87"/>
    </row>
    <row r="24" spans="1:9" ht="12.75" customHeight="1" x14ac:dyDescent="0.2">
      <c r="A24" s="87"/>
      <c r="B24" s="87"/>
    </row>
    <row r="25" spans="1:9" ht="12.75" customHeight="1" x14ac:dyDescent="0.2">
      <c r="A25" s="87"/>
      <c r="B25" s="87"/>
    </row>
    <row r="26" spans="1:9" ht="12.75" customHeight="1" x14ac:dyDescent="0.2">
      <c r="A26" s="87"/>
      <c r="B26" s="87"/>
    </row>
    <row r="27" spans="1:9" ht="12.75" customHeight="1" x14ac:dyDescent="0.2">
      <c r="A27" s="87"/>
      <c r="B27" s="87"/>
    </row>
    <row r="28" spans="1:9" s="21" customFormat="1" ht="51" x14ac:dyDescent="0.2">
      <c r="A28" s="32" t="s">
        <v>32</v>
      </c>
      <c r="B28" s="32" t="s">
        <v>33</v>
      </c>
      <c r="C28" s="32" t="s">
        <v>34</v>
      </c>
      <c r="D28" s="23"/>
      <c r="E28" s="23"/>
      <c r="F28" s="32" t="s">
        <v>253</v>
      </c>
      <c r="G28" s="32" t="s">
        <v>254</v>
      </c>
      <c r="H28" s="32" t="s">
        <v>255</v>
      </c>
      <c r="I28" s="32"/>
    </row>
    <row r="29" spans="1:9" x14ac:dyDescent="0.2">
      <c r="A29" s="54">
        <v>3</v>
      </c>
      <c r="B29" s="55" t="s">
        <v>35</v>
      </c>
      <c r="C29" s="56" t="s">
        <v>786</v>
      </c>
      <c r="F29" s="22" t="s">
        <v>787</v>
      </c>
      <c r="G29" s="22">
        <v>43626</v>
      </c>
      <c r="H29" s="51" t="s">
        <v>788</v>
      </c>
      <c r="I29" s="52"/>
    </row>
    <row r="30" spans="1:9" x14ac:dyDescent="0.2">
      <c r="A30" s="54">
        <v>4</v>
      </c>
      <c r="B30" s="55" t="s">
        <v>35</v>
      </c>
      <c r="C30" s="56" t="s">
        <v>786</v>
      </c>
      <c r="F30" s="52" t="s">
        <v>789</v>
      </c>
      <c r="G30" s="52">
        <v>43626</v>
      </c>
      <c r="H30" s="51" t="s">
        <v>788</v>
      </c>
      <c r="I30" s="52"/>
    </row>
    <row r="31" spans="1:9" x14ac:dyDescent="0.2">
      <c r="A31" s="54">
        <v>5</v>
      </c>
      <c r="B31" s="55" t="s">
        <v>37</v>
      </c>
      <c r="C31" s="56" t="s">
        <v>786</v>
      </c>
      <c r="F31" s="22" t="s">
        <v>790</v>
      </c>
      <c r="G31" s="22">
        <v>43626</v>
      </c>
      <c r="H31" s="51" t="s">
        <v>788</v>
      </c>
    </row>
    <row r="32" spans="1:9" x14ac:dyDescent="0.2">
      <c r="A32" s="54">
        <v>6</v>
      </c>
      <c r="B32" s="55" t="s">
        <v>38</v>
      </c>
      <c r="C32" s="56" t="s">
        <v>786</v>
      </c>
      <c r="F32" s="52" t="s">
        <v>791</v>
      </c>
      <c r="G32" s="52">
        <v>43626</v>
      </c>
      <c r="H32" s="51" t="s">
        <v>792</v>
      </c>
      <c r="I32" s="52"/>
    </row>
    <row r="33" spans="1:9" x14ac:dyDescent="0.2">
      <c r="A33" s="54">
        <v>7</v>
      </c>
      <c r="B33" s="55" t="s">
        <v>38</v>
      </c>
      <c r="C33" s="56" t="s">
        <v>786</v>
      </c>
      <c r="H33" s="51"/>
      <c r="I33" s="52"/>
    </row>
    <row r="34" spans="1:9" x14ac:dyDescent="0.2">
      <c r="A34" s="54">
        <v>8</v>
      </c>
      <c r="B34" s="55" t="s">
        <v>38</v>
      </c>
      <c r="C34" s="56" t="s">
        <v>786</v>
      </c>
      <c r="F34" s="52"/>
      <c r="G34" s="52"/>
      <c r="H34" s="51"/>
    </row>
    <row r="35" spans="1:9" x14ac:dyDescent="0.2">
      <c r="A35" s="54">
        <v>9</v>
      </c>
      <c r="B35" s="55" t="s">
        <v>38</v>
      </c>
      <c r="C35" s="56" t="s">
        <v>786</v>
      </c>
      <c r="H35" s="51"/>
      <c r="I35" s="52"/>
    </row>
    <row r="36" spans="1:9" x14ac:dyDescent="0.2">
      <c r="A36" s="54">
        <v>10</v>
      </c>
      <c r="B36" s="55" t="s">
        <v>38</v>
      </c>
      <c r="C36" s="56" t="s">
        <v>786</v>
      </c>
      <c r="H36" s="51"/>
      <c r="I36" s="52"/>
    </row>
    <row r="37" spans="1:9" x14ac:dyDescent="0.2">
      <c r="A37" s="54">
        <v>11</v>
      </c>
      <c r="B37" s="55" t="s">
        <v>38</v>
      </c>
      <c r="C37" s="56" t="s">
        <v>786</v>
      </c>
      <c r="H37" s="51"/>
    </row>
    <row r="38" spans="1:9" x14ac:dyDescent="0.2">
      <c r="A38" s="54">
        <v>12</v>
      </c>
      <c r="B38" s="55" t="s">
        <v>38</v>
      </c>
      <c r="C38" s="56" t="s">
        <v>786</v>
      </c>
      <c r="H38" s="51"/>
    </row>
    <row r="39" spans="1:9" x14ac:dyDescent="0.2">
      <c r="A39" s="54">
        <v>13</v>
      </c>
      <c r="B39" s="55" t="s">
        <v>39</v>
      </c>
      <c r="C39" s="56" t="s">
        <v>786</v>
      </c>
      <c r="H39" s="51"/>
    </row>
    <row r="40" spans="1:9" x14ac:dyDescent="0.2">
      <c r="A40" s="54">
        <v>15</v>
      </c>
      <c r="B40" s="55" t="s">
        <v>39</v>
      </c>
      <c r="C40" s="56" t="s">
        <v>786</v>
      </c>
      <c r="F40" s="52"/>
      <c r="G40" s="52"/>
      <c r="H40" s="51"/>
      <c r="I40" s="52"/>
    </row>
    <row r="41" spans="1:9" x14ac:dyDescent="0.2">
      <c r="A41" s="54">
        <v>16</v>
      </c>
      <c r="B41" s="55" t="s">
        <v>40</v>
      </c>
      <c r="C41" s="56" t="s">
        <v>786</v>
      </c>
      <c r="H41" s="51"/>
      <c r="I41" s="52"/>
    </row>
    <row r="42" spans="1:9" x14ac:dyDescent="0.2">
      <c r="A42" s="54">
        <v>17</v>
      </c>
      <c r="B42" s="55" t="s">
        <v>40</v>
      </c>
      <c r="C42" s="56" t="s">
        <v>786</v>
      </c>
      <c r="H42" s="51"/>
    </row>
    <row r="43" spans="1:9" x14ac:dyDescent="0.2">
      <c r="A43" s="54">
        <v>18</v>
      </c>
      <c r="B43" s="55" t="s">
        <v>40</v>
      </c>
      <c r="C43" s="56" t="s">
        <v>786</v>
      </c>
      <c r="H43" s="51"/>
    </row>
    <row r="44" spans="1:9" x14ac:dyDescent="0.2">
      <c r="A44" s="54">
        <v>19</v>
      </c>
      <c r="B44" s="55" t="s">
        <v>40</v>
      </c>
      <c r="C44" s="56" t="s">
        <v>786</v>
      </c>
      <c r="H44" s="51"/>
    </row>
    <row r="45" spans="1:9" x14ac:dyDescent="0.2">
      <c r="A45" s="54">
        <v>20</v>
      </c>
      <c r="B45" s="55" t="s">
        <v>40</v>
      </c>
      <c r="C45" s="56" t="s">
        <v>786</v>
      </c>
      <c r="H45" s="51"/>
    </row>
    <row r="46" spans="1:9" x14ac:dyDescent="0.2">
      <c r="A46" s="54">
        <v>21</v>
      </c>
      <c r="B46" s="55" t="s">
        <v>40</v>
      </c>
      <c r="C46" s="56" t="s">
        <v>786</v>
      </c>
      <c r="H46" s="51"/>
    </row>
    <row r="47" spans="1:9" x14ac:dyDescent="0.2">
      <c r="A47" s="54">
        <v>22</v>
      </c>
      <c r="B47" s="55" t="s">
        <v>40</v>
      </c>
      <c r="C47" s="56" t="s">
        <v>786</v>
      </c>
      <c r="H47" s="51"/>
    </row>
    <row r="48" spans="1:9" x14ac:dyDescent="0.2">
      <c r="A48" s="54">
        <v>23</v>
      </c>
      <c r="B48" s="55" t="s">
        <v>41</v>
      </c>
      <c r="C48" s="56" t="s">
        <v>786</v>
      </c>
      <c r="H48" s="51"/>
    </row>
    <row r="49" spans="1:9" x14ac:dyDescent="0.2">
      <c r="A49" s="54">
        <v>24</v>
      </c>
      <c r="B49" s="55" t="s">
        <v>41</v>
      </c>
      <c r="C49" s="56" t="s">
        <v>786</v>
      </c>
      <c r="H49" s="51"/>
    </row>
    <row r="50" spans="1:9" x14ac:dyDescent="0.2">
      <c r="A50" s="54">
        <v>25</v>
      </c>
      <c r="B50" s="55" t="s">
        <v>41</v>
      </c>
      <c r="C50" s="56" t="s">
        <v>786</v>
      </c>
      <c r="H50" s="51"/>
    </row>
    <row r="51" spans="1:9" x14ac:dyDescent="0.2">
      <c r="A51" s="54">
        <v>26</v>
      </c>
      <c r="B51" s="55" t="s">
        <v>41</v>
      </c>
      <c r="C51" s="56" t="s">
        <v>786</v>
      </c>
      <c r="H51" s="51"/>
    </row>
    <row r="52" spans="1:9" x14ac:dyDescent="0.2">
      <c r="A52" s="54">
        <v>28</v>
      </c>
      <c r="B52" s="55" t="s">
        <v>41</v>
      </c>
      <c r="C52" s="56" t="s">
        <v>786</v>
      </c>
      <c r="H52" s="51"/>
    </row>
    <row r="53" spans="1:9" x14ac:dyDescent="0.2">
      <c r="A53" s="54">
        <v>29</v>
      </c>
      <c r="B53" s="55" t="s">
        <v>41</v>
      </c>
      <c r="C53" s="56" t="s">
        <v>786</v>
      </c>
      <c r="H53" s="51"/>
    </row>
    <row r="54" spans="1:9" x14ac:dyDescent="0.2">
      <c r="A54" s="54">
        <v>30</v>
      </c>
      <c r="B54" s="55" t="s">
        <v>41</v>
      </c>
      <c r="C54" s="56" t="s">
        <v>786</v>
      </c>
      <c r="H54" s="51"/>
    </row>
    <row r="55" spans="1:9" x14ac:dyDescent="0.2">
      <c r="A55" s="54">
        <v>31</v>
      </c>
      <c r="B55" s="55" t="s">
        <v>41</v>
      </c>
      <c r="C55" s="56" t="s">
        <v>786</v>
      </c>
      <c r="H55" s="51"/>
    </row>
    <row r="56" spans="1:9" x14ac:dyDescent="0.2">
      <c r="A56" s="54">
        <v>32</v>
      </c>
      <c r="B56" s="55" t="s">
        <v>41</v>
      </c>
      <c r="C56" s="56" t="s">
        <v>786</v>
      </c>
      <c r="F56" s="52"/>
      <c r="G56" s="52"/>
      <c r="H56" s="51"/>
      <c r="I56" s="52"/>
    </row>
    <row r="57" spans="1:9" x14ac:dyDescent="0.2">
      <c r="A57" s="54">
        <v>33</v>
      </c>
      <c r="B57" s="55" t="s">
        <v>41</v>
      </c>
      <c r="C57" s="56" t="s">
        <v>786</v>
      </c>
      <c r="F57" s="52"/>
      <c r="G57" s="52"/>
      <c r="H57" s="51"/>
      <c r="I57" s="52"/>
    </row>
    <row r="58" spans="1:9" x14ac:dyDescent="0.2">
      <c r="A58" s="54">
        <v>34</v>
      </c>
      <c r="B58" s="55" t="s">
        <v>41</v>
      </c>
      <c r="C58" s="56" t="s">
        <v>786</v>
      </c>
      <c r="F58" s="52"/>
      <c r="G58" s="52"/>
      <c r="H58" s="51"/>
      <c r="I58" s="52"/>
    </row>
    <row r="59" spans="1:9" x14ac:dyDescent="0.2">
      <c r="A59" s="54">
        <v>35</v>
      </c>
      <c r="B59" s="55" t="s">
        <v>41</v>
      </c>
      <c r="C59" s="56" t="s">
        <v>786</v>
      </c>
      <c r="F59" s="52"/>
      <c r="G59" s="52"/>
      <c r="H59" s="51"/>
      <c r="I59" s="52"/>
    </row>
    <row r="60" spans="1:9" x14ac:dyDescent="0.2">
      <c r="A60" s="54">
        <v>36</v>
      </c>
      <c r="B60" s="55" t="s">
        <v>41</v>
      </c>
      <c r="C60" s="56" t="s">
        <v>786</v>
      </c>
      <c r="F60" s="52"/>
      <c r="G60" s="52"/>
      <c r="H60" s="51"/>
      <c r="I60" s="52"/>
    </row>
    <row r="61" spans="1:9" x14ac:dyDescent="0.2">
      <c r="A61" s="54">
        <v>37</v>
      </c>
      <c r="B61" s="55" t="s">
        <v>41</v>
      </c>
      <c r="C61" s="56" t="s">
        <v>786</v>
      </c>
      <c r="F61" s="52"/>
      <c r="G61" s="52"/>
      <c r="H61" s="51"/>
      <c r="I61" s="52"/>
    </row>
    <row r="62" spans="1:9" x14ac:dyDescent="0.2">
      <c r="A62" s="54">
        <v>38</v>
      </c>
      <c r="B62" s="55" t="s">
        <v>41</v>
      </c>
      <c r="C62" s="56" t="s">
        <v>786</v>
      </c>
      <c r="F62" s="52"/>
      <c r="G62" s="52"/>
      <c r="H62" s="51"/>
      <c r="I62" s="52"/>
    </row>
    <row r="63" spans="1:9" x14ac:dyDescent="0.2">
      <c r="A63" s="54">
        <v>39</v>
      </c>
      <c r="B63" s="55" t="s">
        <v>41</v>
      </c>
      <c r="C63" s="56" t="s">
        <v>786</v>
      </c>
      <c r="F63" s="52"/>
      <c r="G63" s="52"/>
      <c r="H63" s="51"/>
      <c r="I63" s="52"/>
    </row>
    <row r="64" spans="1:9" x14ac:dyDescent="0.2">
      <c r="A64" s="54">
        <v>40</v>
      </c>
      <c r="B64" s="55" t="s">
        <v>40</v>
      </c>
      <c r="C64" s="56" t="s">
        <v>786</v>
      </c>
      <c r="F64" s="52"/>
      <c r="G64" s="52"/>
      <c r="H64" s="51"/>
      <c r="I64" s="52"/>
    </row>
    <row r="65" spans="1:9" x14ac:dyDescent="0.2">
      <c r="A65" s="54">
        <v>41</v>
      </c>
      <c r="B65" s="55" t="s">
        <v>42</v>
      </c>
      <c r="C65" s="56" t="s">
        <v>786</v>
      </c>
      <c r="F65" s="52"/>
      <c r="G65" s="52"/>
      <c r="H65" s="51"/>
      <c r="I65" s="52"/>
    </row>
    <row r="66" spans="1:9" x14ac:dyDescent="0.2">
      <c r="A66" s="54">
        <v>42</v>
      </c>
      <c r="B66" s="55" t="s">
        <v>43</v>
      </c>
      <c r="C66" s="56" t="s">
        <v>786</v>
      </c>
      <c r="F66" s="52"/>
      <c r="G66" s="52"/>
      <c r="H66" s="51"/>
      <c r="I66" s="52"/>
    </row>
    <row r="67" spans="1:9" x14ac:dyDescent="0.2">
      <c r="A67" s="54">
        <v>43</v>
      </c>
      <c r="B67" s="55" t="s">
        <v>43</v>
      </c>
      <c r="C67" s="56" t="s">
        <v>786</v>
      </c>
      <c r="F67" s="52"/>
      <c r="G67" s="52"/>
      <c r="H67" s="51"/>
      <c r="I67" s="52"/>
    </row>
    <row r="68" spans="1:9" x14ac:dyDescent="0.2">
      <c r="A68" s="54">
        <v>44</v>
      </c>
      <c r="B68" s="55" t="s">
        <v>42</v>
      </c>
      <c r="C68" s="56" t="s">
        <v>786</v>
      </c>
      <c r="F68" s="52"/>
      <c r="G68" s="52"/>
      <c r="H68" s="51"/>
      <c r="I68" s="52"/>
    </row>
    <row r="69" spans="1:9" x14ac:dyDescent="0.2">
      <c r="A69" s="54">
        <v>45</v>
      </c>
      <c r="B69" s="55" t="s">
        <v>44</v>
      </c>
      <c r="C69" s="56" t="s">
        <v>786</v>
      </c>
      <c r="F69" s="52"/>
      <c r="G69" s="52"/>
      <c r="H69" s="51"/>
      <c r="I69" s="52"/>
    </row>
    <row r="70" spans="1:9" x14ac:dyDescent="0.2">
      <c r="A70" s="54">
        <v>46</v>
      </c>
      <c r="B70" s="55" t="s">
        <v>45</v>
      </c>
      <c r="C70" s="56" t="s">
        <v>786</v>
      </c>
      <c r="F70" s="52"/>
      <c r="G70" s="52"/>
      <c r="H70" s="51"/>
      <c r="I70" s="52"/>
    </row>
    <row r="71" spans="1:9" x14ac:dyDescent="0.2">
      <c r="A71" s="54">
        <v>47</v>
      </c>
      <c r="B71" s="55" t="s">
        <v>46</v>
      </c>
      <c r="C71" s="56" t="s">
        <v>786</v>
      </c>
      <c r="F71" s="52"/>
      <c r="G71" s="52"/>
      <c r="H71" s="51"/>
      <c r="I71" s="52"/>
    </row>
    <row r="72" spans="1:9" x14ac:dyDescent="0.2">
      <c r="A72" s="54">
        <v>48</v>
      </c>
      <c r="B72" s="55" t="s">
        <v>47</v>
      </c>
      <c r="C72" s="56" t="s">
        <v>786</v>
      </c>
      <c r="F72" s="52"/>
      <c r="G72" s="52"/>
      <c r="H72" s="51"/>
      <c r="I72" s="52"/>
    </row>
    <row r="73" spans="1:9" x14ac:dyDescent="0.2">
      <c r="A73" s="54">
        <v>49</v>
      </c>
      <c r="B73" s="55" t="s">
        <v>40</v>
      </c>
      <c r="C73" s="56" t="s">
        <v>786</v>
      </c>
      <c r="F73" s="52"/>
      <c r="G73" s="52"/>
      <c r="H73" s="51"/>
      <c r="I73" s="52"/>
    </row>
    <row r="74" spans="1:9" x14ac:dyDescent="0.2">
      <c r="A74" s="54">
        <v>50</v>
      </c>
      <c r="B74" s="55" t="s">
        <v>48</v>
      </c>
      <c r="C74" s="56" t="s">
        <v>786</v>
      </c>
      <c r="F74" s="52"/>
      <c r="G74" s="52"/>
      <c r="H74" s="51"/>
      <c r="I74" s="52"/>
    </row>
    <row r="75" spans="1:9" x14ac:dyDescent="0.2">
      <c r="A75" s="54">
        <v>51</v>
      </c>
      <c r="B75" s="55" t="s">
        <v>49</v>
      </c>
      <c r="C75" s="56" t="s">
        <v>793</v>
      </c>
      <c r="F75" s="52"/>
      <c r="G75" s="52"/>
      <c r="H75" s="51"/>
      <c r="I75" s="52"/>
    </row>
    <row r="76" spans="1:9" x14ac:dyDescent="0.2">
      <c r="A76" s="54">
        <v>52</v>
      </c>
      <c r="B76" s="55" t="s">
        <v>50</v>
      </c>
      <c r="C76" s="56" t="s">
        <v>786</v>
      </c>
      <c r="F76" s="52"/>
      <c r="G76" s="52"/>
      <c r="H76" s="51"/>
      <c r="I76" s="52"/>
    </row>
    <row r="77" spans="1:9" x14ac:dyDescent="0.2">
      <c r="A77" s="54">
        <v>53</v>
      </c>
      <c r="B77" s="55" t="s">
        <v>50</v>
      </c>
      <c r="C77" s="56" t="s">
        <v>786</v>
      </c>
      <c r="F77" s="52"/>
      <c r="G77" s="52"/>
      <c r="H77" s="51"/>
      <c r="I77" s="52"/>
    </row>
    <row r="78" spans="1:9" x14ac:dyDescent="0.2">
      <c r="A78" s="54">
        <v>55</v>
      </c>
      <c r="B78" s="55" t="s">
        <v>50</v>
      </c>
      <c r="C78" s="56" t="s">
        <v>786</v>
      </c>
      <c r="F78" s="52"/>
      <c r="G78" s="52"/>
      <c r="H78" s="51"/>
      <c r="I78" s="52"/>
    </row>
    <row r="79" spans="1:9" x14ac:dyDescent="0.2">
      <c r="A79" s="54">
        <v>56</v>
      </c>
      <c r="B79" s="55" t="s">
        <v>50</v>
      </c>
      <c r="C79" s="56" t="s">
        <v>786</v>
      </c>
      <c r="F79" s="52"/>
      <c r="G79" s="52"/>
      <c r="H79" s="51"/>
      <c r="I79" s="52"/>
    </row>
    <row r="80" spans="1:9" x14ac:dyDescent="0.2">
      <c r="A80" s="54">
        <v>57</v>
      </c>
      <c r="B80" s="55" t="s">
        <v>50</v>
      </c>
      <c r="C80" s="56" t="s">
        <v>786</v>
      </c>
      <c r="F80" s="52"/>
      <c r="G80" s="52"/>
      <c r="H80" s="51"/>
      <c r="I80" s="52"/>
    </row>
    <row r="81" spans="1:9" x14ac:dyDescent="0.2">
      <c r="A81" s="54">
        <v>58</v>
      </c>
      <c r="B81" s="55" t="s">
        <v>87</v>
      </c>
      <c r="C81" s="56" t="s">
        <v>793</v>
      </c>
      <c r="F81" s="52"/>
      <c r="G81" s="52"/>
      <c r="H81" s="51"/>
      <c r="I81" s="52"/>
    </row>
    <row r="82" spans="1:9" x14ac:dyDescent="0.2">
      <c r="A82" s="54">
        <v>59</v>
      </c>
      <c r="B82" s="55" t="s">
        <v>50</v>
      </c>
      <c r="C82" s="56" t="s">
        <v>786</v>
      </c>
      <c r="F82" s="52"/>
      <c r="G82" s="52"/>
      <c r="H82" s="51"/>
      <c r="I82" s="52"/>
    </row>
    <row r="83" spans="1:9" x14ac:dyDescent="0.2">
      <c r="A83" s="54">
        <v>60</v>
      </c>
      <c r="B83" s="55" t="s">
        <v>50</v>
      </c>
      <c r="C83" s="56" t="s">
        <v>786</v>
      </c>
      <c r="F83" s="52"/>
      <c r="G83" s="52"/>
      <c r="H83" s="51"/>
      <c r="I83" s="52"/>
    </row>
    <row r="84" spans="1:9" x14ac:dyDescent="0.2">
      <c r="A84" s="54">
        <v>62</v>
      </c>
      <c r="B84" s="55" t="s">
        <v>51</v>
      </c>
      <c r="C84" s="56" t="s">
        <v>793</v>
      </c>
    </row>
    <row r="85" spans="1:9" x14ac:dyDescent="0.2">
      <c r="A85" s="54">
        <v>63</v>
      </c>
      <c r="B85" s="55" t="s">
        <v>43</v>
      </c>
      <c r="C85" s="56" t="s">
        <v>786</v>
      </c>
    </row>
    <row r="86" spans="1:9" x14ac:dyDescent="0.2">
      <c r="A86" s="54">
        <v>64</v>
      </c>
      <c r="B86" s="55" t="s">
        <v>50</v>
      </c>
      <c r="C86" s="56" t="s">
        <v>786</v>
      </c>
    </row>
    <row r="87" spans="1:9" x14ac:dyDescent="0.2">
      <c r="A87" s="54">
        <v>65</v>
      </c>
      <c r="B87" s="55" t="s">
        <v>52</v>
      </c>
      <c r="C87" s="56" t="s">
        <v>786</v>
      </c>
    </row>
    <row r="88" spans="1:9" x14ac:dyDescent="0.2">
      <c r="A88" s="54">
        <v>66</v>
      </c>
      <c r="B88" s="55" t="s">
        <v>52</v>
      </c>
      <c r="C88" s="56" t="s">
        <v>786</v>
      </c>
    </row>
    <row r="89" spans="1:9" x14ac:dyDescent="0.2">
      <c r="A89" s="54">
        <v>67</v>
      </c>
      <c r="B89" s="55" t="s">
        <v>53</v>
      </c>
      <c r="C89" s="56" t="s">
        <v>786</v>
      </c>
    </row>
    <row r="90" spans="1:9" x14ac:dyDescent="0.2">
      <c r="A90" s="54">
        <v>71</v>
      </c>
      <c r="B90" s="55" t="s">
        <v>53</v>
      </c>
      <c r="C90" s="56" t="s">
        <v>786</v>
      </c>
    </row>
    <row r="91" spans="1:9" x14ac:dyDescent="0.2">
      <c r="A91" s="54">
        <v>72</v>
      </c>
      <c r="B91" s="55" t="s">
        <v>53</v>
      </c>
      <c r="C91" s="56" t="s">
        <v>786</v>
      </c>
    </row>
    <row r="92" spans="1:9" x14ac:dyDescent="0.2">
      <c r="A92" s="54">
        <v>73</v>
      </c>
      <c r="B92" s="55" t="s">
        <v>53</v>
      </c>
      <c r="C92" s="56" t="s">
        <v>786</v>
      </c>
    </row>
    <row r="93" spans="1:9" x14ac:dyDescent="0.2">
      <c r="A93" s="54">
        <v>74</v>
      </c>
      <c r="B93" s="55" t="s">
        <v>54</v>
      </c>
      <c r="C93" s="56" t="s">
        <v>786</v>
      </c>
    </row>
    <row r="94" spans="1:9" x14ac:dyDescent="0.2">
      <c r="A94" s="54">
        <v>75</v>
      </c>
      <c r="B94" s="55" t="s">
        <v>55</v>
      </c>
      <c r="C94" s="56" t="s">
        <v>786</v>
      </c>
    </row>
    <row r="95" spans="1:9" x14ac:dyDescent="0.2">
      <c r="A95" s="54">
        <v>76</v>
      </c>
      <c r="B95" s="55" t="s">
        <v>55</v>
      </c>
      <c r="C95" s="56" t="s">
        <v>786</v>
      </c>
    </row>
    <row r="96" spans="1:9" x14ac:dyDescent="0.2">
      <c r="A96" s="54">
        <v>77</v>
      </c>
      <c r="B96" s="55" t="s">
        <v>55</v>
      </c>
      <c r="C96" s="56" t="s">
        <v>786</v>
      </c>
    </row>
    <row r="97" spans="1:3" x14ac:dyDescent="0.2">
      <c r="A97" s="54">
        <v>78</v>
      </c>
      <c r="B97" s="55" t="s">
        <v>56</v>
      </c>
      <c r="C97" s="56" t="s">
        <v>786</v>
      </c>
    </row>
    <row r="98" spans="1:3" x14ac:dyDescent="0.2">
      <c r="A98" s="54">
        <v>79</v>
      </c>
      <c r="B98" s="55" t="s">
        <v>57</v>
      </c>
      <c r="C98" s="56" t="s">
        <v>793</v>
      </c>
    </row>
    <row r="99" spans="1:3" x14ac:dyDescent="0.2">
      <c r="A99" s="54">
        <v>80</v>
      </c>
      <c r="B99" s="55" t="s">
        <v>58</v>
      </c>
      <c r="C99" s="56" t="s">
        <v>786</v>
      </c>
    </row>
    <row r="100" spans="1:3" x14ac:dyDescent="0.2">
      <c r="A100" s="54">
        <v>81</v>
      </c>
      <c r="B100" s="55" t="s">
        <v>59</v>
      </c>
      <c r="C100" s="56" t="s">
        <v>786</v>
      </c>
    </row>
    <row r="101" spans="1:3" x14ac:dyDescent="0.2">
      <c r="A101" s="54">
        <v>82</v>
      </c>
      <c r="B101" s="55" t="s">
        <v>60</v>
      </c>
      <c r="C101" s="56" t="s">
        <v>786</v>
      </c>
    </row>
    <row r="102" spans="1:3" x14ac:dyDescent="0.2">
      <c r="A102" s="54">
        <v>83</v>
      </c>
      <c r="B102" s="55" t="s">
        <v>60</v>
      </c>
      <c r="C102" s="56" t="s">
        <v>786</v>
      </c>
    </row>
    <row r="103" spans="1:3" x14ac:dyDescent="0.2">
      <c r="A103" s="54">
        <v>84</v>
      </c>
      <c r="B103" s="55" t="s">
        <v>60</v>
      </c>
      <c r="C103" s="56" t="s">
        <v>786</v>
      </c>
    </row>
    <row r="104" spans="1:3" x14ac:dyDescent="0.2">
      <c r="A104" s="54">
        <v>85</v>
      </c>
      <c r="B104" s="55" t="s">
        <v>60</v>
      </c>
      <c r="C104" s="56" t="s">
        <v>786</v>
      </c>
    </row>
    <row r="105" spans="1:3" x14ac:dyDescent="0.2">
      <c r="A105" s="54">
        <v>86</v>
      </c>
      <c r="B105" s="55" t="s">
        <v>60</v>
      </c>
      <c r="C105" s="56" t="s">
        <v>786</v>
      </c>
    </row>
    <row r="106" spans="1:3" x14ac:dyDescent="0.2">
      <c r="A106" s="54">
        <v>87</v>
      </c>
      <c r="B106" s="55" t="s">
        <v>60</v>
      </c>
      <c r="C106" s="56" t="s">
        <v>786</v>
      </c>
    </row>
    <row r="107" spans="1:3" x14ac:dyDescent="0.2">
      <c r="A107" s="54">
        <v>88</v>
      </c>
      <c r="B107" s="55" t="s">
        <v>60</v>
      </c>
      <c r="C107" s="56" t="s">
        <v>786</v>
      </c>
    </row>
    <row r="108" spans="1:3" x14ac:dyDescent="0.2">
      <c r="A108" s="54">
        <v>91</v>
      </c>
      <c r="B108" s="55" t="s">
        <v>61</v>
      </c>
      <c r="C108" s="56" t="s">
        <v>786</v>
      </c>
    </row>
    <row r="109" spans="1:3" x14ac:dyDescent="0.2">
      <c r="A109" s="54">
        <v>92</v>
      </c>
      <c r="B109" s="55" t="s">
        <v>61</v>
      </c>
      <c r="C109" s="56" t="s">
        <v>786</v>
      </c>
    </row>
    <row r="110" spans="1:3" x14ac:dyDescent="0.2">
      <c r="A110" s="54">
        <v>93</v>
      </c>
      <c r="B110" s="55" t="s">
        <v>62</v>
      </c>
      <c r="C110" s="56" t="s">
        <v>793</v>
      </c>
    </row>
    <row r="111" spans="1:3" x14ac:dyDescent="0.2">
      <c r="A111" s="54">
        <v>94</v>
      </c>
      <c r="B111" s="55" t="s">
        <v>61</v>
      </c>
      <c r="C111" s="56" t="s">
        <v>786</v>
      </c>
    </row>
    <row r="112" spans="1:3" x14ac:dyDescent="0.2">
      <c r="A112" s="54">
        <v>95</v>
      </c>
      <c r="B112" s="55" t="s">
        <v>61</v>
      </c>
      <c r="C112" s="56" t="s">
        <v>786</v>
      </c>
    </row>
    <row r="113" spans="1:3" x14ac:dyDescent="0.2">
      <c r="A113" s="54">
        <v>96</v>
      </c>
      <c r="B113" s="55" t="s">
        <v>61</v>
      </c>
      <c r="C113" s="56" t="s">
        <v>786</v>
      </c>
    </row>
    <row r="114" spans="1:3" x14ac:dyDescent="0.2">
      <c r="A114" s="54">
        <v>97</v>
      </c>
      <c r="B114" s="55" t="s">
        <v>63</v>
      </c>
      <c r="C114" s="56" t="s">
        <v>786</v>
      </c>
    </row>
    <row r="115" spans="1:3" x14ac:dyDescent="0.2">
      <c r="A115" s="54">
        <v>98</v>
      </c>
      <c r="B115" s="55" t="s">
        <v>64</v>
      </c>
      <c r="C115" s="56" t="s">
        <v>786</v>
      </c>
    </row>
    <row r="116" spans="1:3" x14ac:dyDescent="0.2">
      <c r="A116" s="54">
        <v>99</v>
      </c>
      <c r="B116" s="55" t="s">
        <v>65</v>
      </c>
      <c r="C116" s="56" t="s">
        <v>786</v>
      </c>
    </row>
    <row r="117" spans="1:3" x14ac:dyDescent="0.2">
      <c r="A117" s="54">
        <v>100</v>
      </c>
      <c r="B117" s="55" t="s">
        <v>65</v>
      </c>
      <c r="C117" s="56" t="s">
        <v>786</v>
      </c>
    </row>
    <row r="118" spans="1:3" x14ac:dyDescent="0.2">
      <c r="A118" s="54">
        <v>101</v>
      </c>
      <c r="B118" s="55" t="s">
        <v>66</v>
      </c>
      <c r="C118" s="56" t="s">
        <v>786</v>
      </c>
    </row>
    <row r="119" spans="1:3" x14ac:dyDescent="0.2">
      <c r="A119" s="54">
        <v>102</v>
      </c>
      <c r="B119" s="55" t="s">
        <v>66</v>
      </c>
      <c r="C119" s="56" t="s">
        <v>786</v>
      </c>
    </row>
    <row r="120" spans="1:3" x14ac:dyDescent="0.2">
      <c r="A120" s="54">
        <v>103</v>
      </c>
      <c r="B120" s="55" t="s">
        <v>66</v>
      </c>
      <c r="C120" s="56" t="s">
        <v>786</v>
      </c>
    </row>
    <row r="121" spans="1:3" x14ac:dyDescent="0.2">
      <c r="A121" s="54">
        <v>104</v>
      </c>
      <c r="B121" s="55" t="s">
        <v>67</v>
      </c>
      <c r="C121" s="56" t="s">
        <v>786</v>
      </c>
    </row>
    <row r="122" spans="1:3" x14ac:dyDescent="0.2">
      <c r="A122" s="54">
        <v>105</v>
      </c>
      <c r="B122" s="55" t="s">
        <v>67</v>
      </c>
      <c r="C122" s="56" t="s">
        <v>786</v>
      </c>
    </row>
    <row r="123" spans="1:3" x14ac:dyDescent="0.2">
      <c r="A123" s="54">
        <v>106</v>
      </c>
      <c r="B123" s="55" t="s">
        <v>67</v>
      </c>
      <c r="C123" s="56" t="s">
        <v>786</v>
      </c>
    </row>
    <row r="124" spans="1:3" x14ac:dyDescent="0.2">
      <c r="A124" s="54">
        <v>107</v>
      </c>
      <c r="B124" s="55" t="s">
        <v>67</v>
      </c>
      <c r="C124" s="56" t="s">
        <v>786</v>
      </c>
    </row>
    <row r="125" spans="1:3" x14ac:dyDescent="0.2">
      <c r="A125" s="54">
        <v>108</v>
      </c>
      <c r="B125" s="55" t="s">
        <v>67</v>
      </c>
      <c r="C125" s="56" t="s">
        <v>786</v>
      </c>
    </row>
    <row r="126" spans="1:3" x14ac:dyDescent="0.2">
      <c r="A126" s="54">
        <v>109</v>
      </c>
      <c r="B126" s="55" t="s">
        <v>67</v>
      </c>
      <c r="C126" s="56" t="s">
        <v>786</v>
      </c>
    </row>
    <row r="127" spans="1:3" x14ac:dyDescent="0.2">
      <c r="A127" s="54">
        <v>110</v>
      </c>
      <c r="B127" s="55" t="s">
        <v>67</v>
      </c>
      <c r="C127" s="56" t="s">
        <v>786</v>
      </c>
    </row>
    <row r="128" spans="1:3" x14ac:dyDescent="0.2">
      <c r="A128" s="54">
        <v>111</v>
      </c>
      <c r="B128" s="55" t="s">
        <v>68</v>
      </c>
      <c r="C128" s="56" t="s">
        <v>786</v>
      </c>
    </row>
    <row r="129" spans="1:3" x14ac:dyDescent="0.2">
      <c r="A129" s="54">
        <v>112</v>
      </c>
      <c r="B129" s="55" t="s">
        <v>69</v>
      </c>
      <c r="C129" s="56" t="s">
        <v>786</v>
      </c>
    </row>
    <row r="130" spans="1:3" x14ac:dyDescent="0.2">
      <c r="A130" s="54">
        <v>113</v>
      </c>
      <c r="B130" s="55" t="s">
        <v>69</v>
      </c>
      <c r="C130" s="56" t="s">
        <v>786</v>
      </c>
    </row>
    <row r="131" spans="1:3" x14ac:dyDescent="0.2">
      <c r="A131" s="54">
        <v>115</v>
      </c>
      <c r="B131" s="55" t="s">
        <v>69</v>
      </c>
      <c r="C131" s="56" t="s">
        <v>786</v>
      </c>
    </row>
    <row r="132" spans="1:3" x14ac:dyDescent="0.2">
      <c r="A132" s="54">
        <v>116</v>
      </c>
      <c r="B132" s="55" t="s">
        <v>69</v>
      </c>
      <c r="C132" s="56" t="s">
        <v>786</v>
      </c>
    </row>
    <row r="133" spans="1:3" x14ac:dyDescent="0.2">
      <c r="A133" s="54">
        <v>117</v>
      </c>
      <c r="B133" s="55" t="s">
        <v>69</v>
      </c>
      <c r="C133" s="56" t="s">
        <v>786</v>
      </c>
    </row>
    <row r="134" spans="1:3" x14ac:dyDescent="0.2">
      <c r="A134" s="54">
        <v>118</v>
      </c>
      <c r="B134" s="55" t="s">
        <v>70</v>
      </c>
      <c r="C134" s="56" t="s">
        <v>786</v>
      </c>
    </row>
    <row r="135" spans="1:3" x14ac:dyDescent="0.2">
      <c r="A135" s="54">
        <v>119</v>
      </c>
      <c r="B135" s="55" t="s">
        <v>70</v>
      </c>
      <c r="C135" s="56" t="s">
        <v>786</v>
      </c>
    </row>
    <row r="136" spans="1:3" x14ac:dyDescent="0.2">
      <c r="A136" s="54">
        <v>120</v>
      </c>
      <c r="B136" s="55" t="s">
        <v>43</v>
      </c>
      <c r="C136" s="56" t="s">
        <v>786</v>
      </c>
    </row>
    <row r="137" spans="1:3" x14ac:dyDescent="0.2">
      <c r="A137" s="54">
        <v>121</v>
      </c>
      <c r="B137" s="55" t="s">
        <v>71</v>
      </c>
      <c r="C137" s="56" t="s">
        <v>793</v>
      </c>
    </row>
    <row r="138" spans="1:3" x14ac:dyDescent="0.2">
      <c r="A138" s="54">
        <v>122</v>
      </c>
      <c r="B138" s="55" t="s">
        <v>72</v>
      </c>
      <c r="C138" s="56" t="s">
        <v>793</v>
      </c>
    </row>
    <row r="139" spans="1:3" x14ac:dyDescent="0.2">
      <c r="A139" s="54">
        <v>123</v>
      </c>
      <c r="B139" s="55" t="s">
        <v>73</v>
      </c>
      <c r="C139" s="56" t="s">
        <v>793</v>
      </c>
    </row>
    <row r="140" spans="1:3" x14ac:dyDescent="0.2">
      <c r="A140" s="54">
        <v>124</v>
      </c>
      <c r="B140" s="55" t="s">
        <v>73</v>
      </c>
      <c r="C140" s="56" t="s">
        <v>793</v>
      </c>
    </row>
    <row r="141" spans="1:3" x14ac:dyDescent="0.2">
      <c r="A141" s="54">
        <v>125</v>
      </c>
      <c r="B141" s="55" t="s">
        <v>73</v>
      </c>
      <c r="C141" s="56" t="s">
        <v>793</v>
      </c>
    </row>
    <row r="142" spans="1:3" x14ac:dyDescent="0.2">
      <c r="A142" s="54">
        <v>126</v>
      </c>
      <c r="B142" s="55" t="s">
        <v>74</v>
      </c>
      <c r="C142" s="56" t="s">
        <v>793</v>
      </c>
    </row>
    <row r="143" spans="1:3" x14ac:dyDescent="0.2">
      <c r="A143" s="54">
        <v>127</v>
      </c>
      <c r="B143" s="55" t="s">
        <v>75</v>
      </c>
      <c r="C143" s="56" t="s">
        <v>793</v>
      </c>
    </row>
    <row r="144" spans="1:3" x14ac:dyDescent="0.2">
      <c r="A144" s="54">
        <v>128</v>
      </c>
      <c r="B144" s="55" t="s">
        <v>76</v>
      </c>
      <c r="C144" s="56" t="s">
        <v>793</v>
      </c>
    </row>
    <row r="145" spans="1:3" x14ac:dyDescent="0.2">
      <c r="A145" s="54">
        <v>129</v>
      </c>
      <c r="B145" s="55" t="s">
        <v>75</v>
      </c>
      <c r="C145" s="56" t="s">
        <v>793</v>
      </c>
    </row>
    <row r="146" spans="1:3" x14ac:dyDescent="0.2">
      <c r="A146" s="54">
        <v>130</v>
      </c>
      <c r="B146" s="55" t="s">
        <v>77</v>
      </c>
      <c r="C146" s="56" t="s">
        <v>793</v>
      </c>
    </row>
    <row r="147" spans="1:3" x14ac:dyDescent="0.2">
      <c r="A147" s="54">
        <v>131</v>
      </c>
      <c r="B147" s="55" t="s">
        <v>77</v>
      </c>
      <c r="C147" s="56" t="s">
        <v>793</v>
      </c>
    </row>
    <row r="148" spans="1:3" x14ac:dyDescent="0.2">
      <c r="A148" s="54">
        <v>132</v>
      </c>
      <c r="B148" s="55" t="s">
        <v>78</v>
      </c>
      <c r="C148" s="56" t="s">
        <v>793</v>
      </c>
    </row>
    <row r="149" spans="1:3" x14ac:dyDescent="0.2">
      <c r="A149" s="54">
        <v>133</v>
      </c>
      <c r="B149" s="55" t="s">
        <v>78</v>
      </c>
      <c r="C149" s="56" t="s">
        <v>793</v>
      </c>
    </row>
    <row r="150" spans="1:3" x14ac:dyDescent="0.2">
      <c r="A150" s="54">
        <v>134</v>
      </c>
      <c r="B150" s="55" t="s">
        <v>78</v>
      </c>
      <c r="C150" s="56" t="s">
        <v>793</v>
      </c>
    </row>
    <row r="151" spans="1:3" x14ac:dyDescent="0.2">
      <c r="A151" s="54">
        <v>135</v>
      </c>
      <c r="B151" s="55" t="s">
        <v>78</v>
      </c>
      <c r="C151" s="56" t="s">
        <v>793</v>
      </c>
    </row>
    <row r="152" spans="1:3" x14ac:dyDescent="0.2">
      <c r="A152" s="54">
        <v>136</v>
      </c>
      <c r="B152" s="55" t="s">
        <v>78</v>
      </c>
      <c r="C152" s="56" t="s">
        <v>793</v>
      </c>
    </row>
    <row r="153" spans="1:3" x14ac:dyDescent="0.2">
      <c r="A153" s="54">
        <v>137</v>
      </c>
      <c r="B153" s="55" t="s">
        <v>78</v>
      </c>
      <c r="C153" s="56" t="s">
        <v>793</v>
      </c>
    </row>
    <row r="154" spans="1:3" x14ac:dyDescent="0.2">
      <c r="A154" s="54">
        <v>138</v>
      </c>
      <c r="B154" s="55" t="s">
        <v>78</v>
      </c>
      <c r="C154" s="56" t="s">
        <v>793</v>
      </c>
    </row>
    <row r="155" spans="1:3" x14ac:dyDescent="0.2">
      <c r="A155" s="54">
        <v>140</v>
      </c>
      <c r="B155" s="55" t="s">
        <v>62</v>
      </c>
      <c r="C155" s="56" t="s">
        <v>793</v>
      </c>
    </row>
    <row r="156" spans="1:3" x14ac:dyDescent="0.2">
      <c r="A156" s="54">
        <v>141</v>
      </c>
      <c r="B156" s="55" t="s">
        <v>79</v>
      </c>
      <c r="C156" s="56" t="s">
        <v>793</v>
      </c>
    </row>
    <row r="157" spans="1:3" x14ac:dyDescent="0.2">
      <c r="A157" s="54">
        <v>142</v>
      </c>
      <c r="B157" s="55" t="s">
        <v>79</v>
      </c>
      <c r="C157" s="56" t="s">
        <v>793</v>
      </c>
    </row>
    <row r="158" spans="1:3" x14ac:dyDescent="0.2">
      <c r="A158" s="54">
        <v>143</v>
      </c>
      <c r="B158" s="55" t="s">
        <v>65</v>
      </c>
      <c r="C158" s="56" t="s">
        <v>786</v>
      </c>
    </row>
    <row r="159" spans="1:3" x14ac:dyDescent="0.2">
      <c r="A159" s="54">
        <v>144</v>
      </c>
      <c r="B159" s="55" t="s">
        <v>80</v>
      </c>
      <c r="C159" s="56" t="s">
        <v>793</v>
      </c>
    </row>
    <row r="160" spans="1:3" x14ac:dyDescent="0.2">
      <c r="A160" s="54">
        <v>145</v>
      </c>
      <c r="B160" s="55" t="s">
        <v>80</v>
      </c>
      <c r="C160" s="56" t="s">
        <v>793</v>
      </c>
    </row>
    <row r="161" spans="1:3" x14ac:dyDescent="0.2">
      <c r="A161" s="54">
        <v>146</v>
      </c>
      <c r="B161" s="55" t="s">
        <v>80</v>
      </c>
      <c r="C161" s="56" t="s">
        <v>793</v>
      </c>
    </row>
    <row r="162" spans="1:3" x14ac:dyDescent="0.2">
      <c r="A162" s="54">
        <v>147</v>
      </c>
      <c r="B162" s="55" t="s">
        <v>80</v>
      </c>
      <c r="C162" s="56" t="s">
        <v>793</v>
      </c>
    </row>
    <row r="163" spans="1:3" x14ac:dyDescent="0.2">
      <c r="A163" s="54">
        <v>148</v>
      </c>
      <c r="B163" s="55" t="s">
        <v>81</v>
      </c>
      <c r="C163" s="56" t="s">
        <v>793</v>
      </c>
    </row>
    <row r="164" spans="1:3" x14ac:dyDescent="0.2">
      <c r="A164" s="54">
        <v>149</v>
      </c>
      <c r="B164" s="55" t="s">
        <v>82</v>
      </c>
      <c r="C164" s="56" t="s">
        <v>793</v>
      </c>
    </row>
    <row r="165" spans="1:3" x14ac:dyDescent="0.2">
      <c r="A165" s="54">
        <v>150</v>
      </c>
      <c r="B165" s="55" t="s">
        <v>74</v>
      </c>
      <c r="C165" s="56" t="s">
        <v>793</v>
      </c>
    </row>
    <row r="166" spans="1:3" x14ac:dyDescent="0.2">
      <c r="A166" s="54">
        <v>151</v>
      </c>
      <c r="B166" s="55" t="s">
        <v>74</v>
      </c>
      <c r="C166" s="56" t="s">
        <v>793</v>
      </c>
    </row>
    <row r="167" spans="1:3" x14ac:dyDescent="0.2">
      <c r="A167" s="54">
        <v>152</v>
      </c>
      <c r="B167" s="55" t="s">
        <v>74</v>
      </c>
      <c r="C167" s="56" t="s">
        <v>793</v>
      </c>
    </row>
    <row r="168" spans="1:3" x14ac:dyDescent="0.2">
      <c r="A168" s="54">
        <v>153</v>
      </c>
      <c r="B168" s="55" t="s">
        <v>74</v>
      </c>
      <c r="C168" s="56" t="s">
        <v>793</v>
      </c>
    </row>
    <row r="169" spans="1:3" x14ac:dyDescent="0.2">
      <c r="A169" s="54">
        <v>154</v>
      </c>
      <c r="B169" s="55" t="s">
        <v>74</v>
      </c>
      <c r="C169" s="56" t="s">
        <v>793</v>
      </c>
    </row>
    <row r="170" spans="1:3" x14ac:dyDescent="0.2">
      <c r="A170" s="54">
        <v>155</v>
      </c>
      <c r="B170" s="55" t="s">
        <v>62</v>
      </c>
      <c r="C170" s="56" t="s">
        <v>786</v>
      </c>
    </row>
    <row r="171" spans="1:3" x14ac:dyDescent="0.2">
      <c r="A171" s="54">
        <v>156</v>
      </c>
      <c r="B171" s="55" t="s">
        <v>74</v>
      </c>
      <c r="C171" s="56" t="s">
        <v>793</v>
      </c>
    </row>
    <row r="172" spans="1:3" x14ac:dyDescent="0.2">
      <c r="A172" s="54">
        <v>157</v>
      </c>
      <c r="B172" s="55" t="s">
        <v>74</v>
      </c>
      <c r="C172" s="56" t="s">
        <v>793</v>
      </c>
    </row>
    <row r="173" spans="1:3" x14ac:dyDescent="0.2">
      <c r="A173" s="54">
        <v>158</v>
      </c>
      <c r="B173" s="55" t="s">
        <v>74</v>
      </c>
      <c r="C173" s="56" t="s">
        <v>793</v>
      </c>
    </row>
    <row r="174" spans="1:3" x14ac:dyDescent="0.2">
      <c r="A174" s="54">
        <v>159</v>
      </c>
      <c r="B174" s="55" t="s">
        <v>50</v>
      </c>
      <c r="C174" s="56" t="s">
        <v>786</v>
      </c>
    </row>
    <row r="175" spans="1:3" x14ac:dyDescent="0.2">
      <c r="A175" s="54">
        <v>160</v>
      </c>
      <c r="B175" s="55" t="s">
        <v>74</v>
      </c>
      <c r="C175" s="56" t="s">
        <v>793</v>
      </c>
    </row>
    <row r="176" spans="1:3" x14ac:dyDescent="0.2">
      <c r="A176" s="54">
        <v>161</v>
      </c>
      <c r="B176" s="55" t="s">
        <v>74</v>
      </c>
      <c r="C176" s="56" t="s">
        <v>793</v>
      </c>
    </row>
    <row r="177" spans="1:3" x14ac:dyDescent="0.2">
      <c r="A177" s="54">
        <v>162</v>
      </c>
      <c r="B177" s="55" t="s">
        <v>74</v>
      </c>
      <c r="C177" s="56" t="s">
        <v>793</v>
      </c>
    </row>
    <row r="178" spans="1:3" x14ac:dyDescent="0.2">
      <c r="A178" s="54">
        <v>163</v>
      </c>
      <c r="B178" s="55" t="s">
        <v>74</v>
      </c>
      <c r="C178" s="56" t="s">
        <v>793</v>
      </c>
    </row>
    <row r="179" spans="1:3" x14ac:dyDescent="0.2">
      <c r="A179" s="54">
        <v>164</v>
      </c>
      <c r="B179" s="55" t="s">
        <v>74</v>
      </c>
      <c r="C179" s="56" t="s">
        <v>793</v>
      </c>
    </row>
    <row r="180" spans="1:3" x14ac:dyDescent="0.2">
      <c r="A180" s="54">
        <v>165</v>
      </c>
      <c r="B180" s="55" t="s">
        <v>74</v>
      </c>
      <c r="C180" s="56" t="s">
        <v>793</v>
      </c>
    </row>
    <row r="181" spans="1:3" x14ac:dyDescent="0.2">
      <c r="A181" s="54">
        <v>166</v>
      </c>
      <c r="B181" s="55" t="s">
        <v>74</v>
      </c>
      <c r="C181" s="56" t="s">
        <v>793</v>
      </c>
    </row>
    <row r="182" spans="1:3" x14ac:dyDescent="0.2">
      <c r="A182" s="54">
        <v>167</v>
      </c>
      <c r="B182" s="55" t="s">
        <v>74</v>
      </c>
      <c r="C182" s="56" t="s">
        <v>793</v>
      </c>
    </row>
    <row r="183" spans="1:3" x14ac:dyDescent="0.2">
      <c r="A183" s="54">
        <v>168</v>
      </c>
      <c r="B183" s="55" t="s">
        <v>74</v>
      </c>
      <c r="C183" s="56" t="s">
        <v>793</v>
      </c>
    </row>
    <row r="184" spans="1:3" x14ac:dyDescent="0.2">
      <c r="A184" s="54">
        <v>169</v>
      </c>
      <c r="B184" s="55" t="s">
        <v>74</v>
      </c>
      <c r="C184" s="56" t="s">
        <v>793</v>
      </c>
    </row>
    <row r="185" spans="1:3" x14ac:dyDescent="0.2">
      <c r="A185" s="54">
        <v>170</v>
      </c>
      <c r="B185" s="55" t="s">
        <v>74</v>
      </c>
      <c r="C185" s="56" t="s">
        <v>793</v>
      </c>
    </row>
    <row r="186" spans="1:3" x14ac:dyDescent="0.2">
      <c r="A186" s="54">
        <v>171</v>
      </c>
      <c r="B186" s="55" t="s">
        <v>74</v>
      </c>
      <c r="C186" s="56" t="s">
        <v>793</v>
      </c>
    </row>
    <row r="187" spans="1:3" x14ac:dyDescent="0.2">
      <c r="A187" s="54">
        <v>172</v>
      </c>
      <c r="B187" s="55" t="s">
        <v>74</v>
      </c>
      <c r="C187" s="56" t="s">
        <v>793</v>
      </c>
    </row>
    <row r="188" spans="1:3" x14ac:dyDescent="0.2">
      <c r="A188" s="54">
        <v>173</v>
      </c>
      <c r="B188" s="55" t="s">
        <v>74</v>
      </c>
      <c r="C188" s="56" t="s">
        <v>793</v>
      </c>
    </row>
    <row r="189" spans="1:3" x14ac:dyDescent="0.2">
      <c r="A189" s="54">
        <v>174</v>
      </c>
      <c r="B189" s="55" t="s">
        <v>74</v>
      </c>
      <c r="C189" s="56" t="s">
        <v>793</v>
      </c>
    </row>
    <row r="190" spans="1:3" x14ac:dyDescent="0.2">
      <c r="A190" s="54">
        <v>175</v>
      </c>
      <c r="B190" s="55" t="s">
        <v>74</v>
      </c>
      <c r="C190" s="56" t="s">
        <v>793</v>
      </c>
    </row>
    <row r="191" spans="1:3" x14ac:dyDescent="0.2">
      <c r="A191" s="54">
        <v>176</v>
      </c>
      <c r="B191" s="55" t="s">
        <v>74</v>
      </c>
      <c r="C191" s="56" t="s">
        <v>793</v>
      </c>
    </row>
    <row r="192" spans="1:3" x14ac:dyDescent="0.2">
      <c r="A192" s="54">
        <v>177</v>
      </c>
      <c r="B192" s="55" t="s">
        <v>74</v>
      </c>
      <c r="C192" s="56" t="s">
        <v>793</v>
      </c>
    </row>
    <row r="193" spans="1:3" x14ac:dyDescent="0.2">
      <c r="A193" s="54">
        <v>178</v>
      </c>
      <c r="B193" s="55" t="s">
        <v>83</v>
      </c>
      <c r="C193" s="56" t="s">
        <v>793</v>
      </c>
    </row>
    <row r="194" spans="1:3" x14ac:dyDescent="0.2">
      <c r="A194" s="54">
        <v>179</v>
      </c>
      <c r="B194" s="55" t="s">
        <v>74</v>
      </c>
      <c r="C194" s="56" t="s">
        <v>793</v>
      </c>
    </row>
    <row r="195" spans="1:3" x14ac:dyDescent="0.2">
      <c r="A195" s="54">
        <v>180</v>
      </c>
      <c r="B195" s="55" t="s">
        <v>74</v>
      </c>
      <c r="C195" s="56" t="s">
        <v>793</v>
      </c>
    </row>
    <row r="196" spans="1:3" x14ac:dyDescent="0.2">
      <c r="A196" s="54">
        <v>181</v>
      </c>
      <c r="B196" s="55" t="s">
        <v>74</v>
      </c>
      <c r="C196" s="56" t="s">
        <v>793</v>
      </c>
    </row>
    <row r="197" spans="1:3" x14ac:dyDescent="0.2">
      <c r="A197" s="54">
        <v>182</v>
      </c>
      <c r="B197" s="55" t="s">
        <v>74</v>
      </c>
      <c r="C197" s="56" t="s">
        <v>793</v>
      </c>
    </row>
    <row r="198" spans="1:3" x14ac:dyDescent="0.2">
      <c r="A198" s="54">
        <v>183</v>
      </c>
      <c r="B198" s="55" t="s">
        <v>74</v>
      </c>
      <c r="C198" s="56" t="s">
        <v>793</v>
      </c>
    </row>
    <row r="199" spans="1:3" x14ac:dyDescent="0.2">
      <c r="A199" s="54">
        <v>184</v>
      </c>
      <c r="B199" s="55" t="s">
        <v>74</v>
      </c>
      <c r="C199" s="56" t="s">
        <v>793</v>
      </c>
    </row>
    <row r="200" spans="1:3" x14ac:dyDescent="0.2">
      <c r="A200" s="54">
        <v>185</v>
      </c>
      <c r="B200" s="55" t="s">
        <v>74</v>
      </c>
      <c r="C200" s="56" t="s">
        <v>793</v>
      </c>
    </row>
    <row r="201" spans="1:3" x14ac:dyDescent="0.2">
      <c r="A201" s="54">
        <v>186</v>
      </c>
      <c r="B201" s="55" t="s">
        <v>74</v>
      </c>
      <c r="C201" s="56" t="s">
        <v>793</v>
      </c>
    </row>
    <row r="202" spans="1:3" x14ac:dyDescent="0.2">
      <c r="A202" s="54">
        <v>187</v>
      </c>
      <c r="B202" s="55" t="s">
        <v>74</v>
      </c>
      <c r="C202" s="56" t="s">
        <v>793</v>
      </c>
    </row>
    <row r="203" spans="1:3" x14ac:dyDescent="0.2">
      <c r="A203" s="54">
        <v>188</v>
      </c>
      <c r="B203" s="55" t="s">
        <v>74</v>
      </c>
      <c r="C203" s="56" t="s">
        <v>793</v>
      </c>
    </row>
    <row r="204" spans="1:3" x14ac:dyDescent="0.2">
      <c r="A204" s="54">
        <v>189</v>
      </c>
      <c r="B204" s="55" t="s">
        <v>74</v>
      </c>
      <c r="C204" s="56" t="s">
        <v>786</v>
      </c>
    </row>
    <row r="205" spans="1:3" x14ac:dyDescent="0.2">
      <c r="A205" s="54">
        <v>190</v>
      </c>
      <c r="B205" s="55" t="s">
        <v>74</v>
      </c>
      <c r="C205" s="56" t="s">
        <v>786</v>
      </c>
    </row>
    <row r="206" spans="1:3" x14ac:dyDescent="0.2">
      <c r="A206" s="54">
        <v>191</v>
      </c>
      <c r="B206" s="55" t="s">
        <v>74</v>
      </c>
      <c r="C206" s="56" t="s">
        <v>786</v>
      </c>
    </row>
    <row r="207" spans="1:3" x14ac:dyDescent="0.2">
      <c r="A207" s="54">
        <v>192</v>
      </c>
      <c r="B207" s="55" t="s">
        <v>74</v>
      </c>
      <c r="C207" s="56" t="s">
        <v>786</v>
      </c>
    </row>
    <row r="208" spans="1:3" x14ac:dyDescent="0.2">
      <c r="A208" s="54">
        <v>193</v>
      </c>
      <c r="B208" s="55" t="s">
        <v>74</v>
      </c>
      <c r="C208" s="56" t="s">
        <v>786</v>
      </c>
    </row>
    <row r="209" spans="1:3" x14ac:dyDescent="0.2">
      <c r="A209" s="54">
        <v>194</v>
      </c>
      <c r="B209" s="55" t="s">
        <v>74</v>
      </c>
      <c r="C209" s="56" t="s">
        <v>786</v>
      </c>
    </row>
    <row r="210" spans="1:3" x14ac:dyDescent="0.2">
      <c r="A210" s="54">
        <v>195</v>
      </c>
      <c r="B210" s="55" t="s">
        <v>74</v>
      </c>
      <c r="C210" s="56" t="s">
        <v>786</v>
      </c>
    </row>
    <row r="211" spans="1:3" x14ac:dyDescent="0.2">
      <c r="A211" s="54">
        <v>196</v>
      </c>
      <c r="B211" s="55" t="s">
        <v>74</v>
      </c>
      <c r="C211" s="56" t="s">
        <v>786</v>
      </c>
    </row>
    <row r="212" spans="1:3" x14ac:dyDescent="0.2">
      <c r="A212" s="54">
        <v>197</v>
      </c>
      <c r="B212" s="55" t="s">
        <v>74</v>
      </c>
      <c r="C212" s="56" t="s">
        <v>786</v>
      </c>
    </row>
    <row r="213" spans="1:3" x14ac:dyDescent="0.2">
      <c r="A213" s="54">
        <v>198</v>
      </c>
      <c r="B213" s="55" t="s">
        <v>74</v>
      </c>
      <c r="C213" s="56" t="s">
        <v>786</v>
      </c>
    </row>
    <row r="214" spans="1:3" x14ac:dyDescent="0.2">
      <c r="A214" s="54">
        <v>199</v>
      </c>
      <c r="B214" s="55" t="s">
        <v>74</v>
      </c>
      <c r="C214" s="56" t="s">
        <v>786</v>
      </c>
    </row>
    <row r="215" spans="1:3" x14ac:dyDescent="0.2">
      <c r="A215" s="54">
        <v>201</v>
      </c>
      <c r="B215" s="55" t="s">
        <v>74</v>
      </c>
      <c r="C215" s="56" t="s">
        <v>786</v>
      </c>
    </row>
    <row r="216" spans="1:3" x14ac:dyDescent="0.2">
      <c r="A216" s="54">
        <v>202</v>
      </c>
      <c r="B216" s="55" t="s">
        <v>74</v>
      </c>
      <c r="C216" s="56" t="s">
        <v>786</v>
      </c>
    </row>
    <row r="217" spans="1:3" x14ac:dyDescent="0.2">
      <c r="A217" s="54">
        <v>203</v>
      </c>
      <c r="B217" s="55" t="s">
        <v>74</v>
      </c>
      <c r="C217" s="56" t="s">
        <v>786</v>
      </c>
    </row>
    <row r="218" spans="1:3" x14ac:dyDescent="0.2">
      <c r="A218" s="54">
        <v>204</v>
      </c>
      <c r="B218" s="55" t="s">
        <v>74</v>
      </c>
      <c r="C218" s="56" t="s">
        <v>786</v>
      </c>
    </row>
    <row r="219" spans="1:3" x14ac:dyDescent="0.2">
      <c r="A219" s="54">
        <v>205</v>
      </c>
      <c r="B219" s="55" t="s">
        <v>74</v>
      </c>
      <c r="C219" s="56" t="s">
        <v>786</v>
      </c>
    </row>
    <row r="220" spans="1:3" x14ac:dyDescent="0.2">
      <c r="A220" s="54">
        <v>206</v>
      </c>
      <c r="B220" s="55" t="s">
        <v>74</v>
      </c>
      <c r="C220" s="56" t="s">
        <v>786</v>
      </c>
    </row>
    <row r="221" spans="1:3" x14ac:dyDescent="0.2">
      <c r="A221" s="54">
        <v>207</v>
      </c>
      <c r="B221" s="55" t="s">
        <v>74</v>
      </c>
      <c r="C221" s="56" t="s">
        <v>786</v>
      </c>
    </row>
    <row r="222" spans="1:3" x14ac:dyDescent="0.2">
      <c r="A222" s="54">
        <v>208</v>
      </c>
      <c r="B222" s="55" t="s">
        <v>74</v>
      </c>
      <c r="C222" s="56" t="s">
        <v>786</v>
      </c>
    </row>
    <row r="223" spans="1:3" x14ac:dyDescent="0.2">
      <c r="A223" s="54">
        <v>209</v>
      </c>
      <c r="B223" s="55" t="s">
        <v>74</v>
      </c>
      <c r="C223" s="56" t="s">
        <v>793</v>
      </c>
    </row>
    <row r="224" spans="1:3" x14ac:dyDescent="0.2">
      <c r="A224" s="54">
        <v>210</v>
      </c>
      <c r="B224" s="55" t="s">
        <v>74</v>
      </c>
      <c r="C224" s="56" t="s">
        <v>793</v>
      </c>
    </row>
    <row r="225" spans="1:3" x14ac:dyDescent="0.2">
      <c r="A225" s="54">
        <v>211</v>
      </c>
      <c r="B225" s="55" t="s">
        <v>74</v>
      </c>
      <c r="C225" s="56" t="s">
        <v>793</v>
      </c>
    </row>
    <row r="226" spans="1:3" x14ac:dyDescent="0.2">
      <c r="A226" s="54">
        <v>212</v>
      </c>
      <c r="B226" s="55" t="s">
        <v>74</v>
      </c>
      <c r="C226" s="56" t="s">
        <v>793</v>
      </c>
    </row>
    <row r="227" spans="1:3" x14ac:dyDescent="0.2">
      <c r="A227" s="54">
        <v>213</v>
      </c>
      <c r="B227" s="55" t="s">
        <v>74</v>
      </c>
      <c r="C227" s="56" t="s">
        <v>793</v>
      </c>
    </row>
    <row r="228" spans="1:3" x14ac:dyDescent="0.2">
      <c r="A228" s="54">
        <v>214</v>
      </c>
      <c r="B228" s="55" t="s">
        <v>74</v>
      </c>
      <c r="C228" s="56" t="s">
        <v>793</v>
      </c>
    </row>
    <row r="229" spans="1:3" x14ac:dyDescent="0.2">
      <c r="A229" s="54">
        <v>215</v>
      </c>
      <c r="B229" s="55" t="s">
        <v>74</v>
      </c>
      <c r="C229" s="56" t="s">
        <v>793</v>
      </c>
    </row>
    <row r="230" spans="1:3" x14ac:dyDescent="0.2">
      <c r="A230" s="54">
        <v>216</v>
      </c>
      <c r="B230" s="55" t="s">
        <v>74</v>
      </c>
      <c r="C230" s="56" t="s">
        <v>793</v>
      </c>
    </row>
    <row r="231" spans="1:3" x14ac:dyDescent="0.2">
      <c r="A231" s="54">
        <v>217</v>
      </c>
      <c r="B231" s="55" t="s">
        <v>74</v>
      </c>
      <c r="C231" s="56" t="s">
        <v>793</v>
      </c>
    </row>
    <row r="232" spans="1:3" x14ac:dyDescent="0.2">
      <c r="A232" s="54">
        <v>218</v>
      </c>
      <c r="B232" s="55" t="s">
        <v>74</v>
      </c>
      <c r="C232" s="56" t="s">
        <v>793</v>
      </c>
    </row>
    <row r="233" spans="1:3" x14ac:dyDescent="0.2">
      <c r="A233" s="54">
        <v>219</v>
      </c>
      <c r="B233" s="55" t="s">
        <v>74</v>
      </c>
      <c r="C233" s="56" t="s">
        <v>793</v>
      </c>
    </row>
    <row r="234" spans="1:3" x14ac:dyDescent="0.2">
      <c r="A234" s="54">
        <v>220</v>
      </c>
      <c r="B234" s="55" t="s">
        <v>74</v>
      </c>
      <c r="C234" s="56" t="s">
        <v>793</v>
      </c>
    </row>
    <row r="235" spans="1:3" x14ac:dyDescent="0.2">
      <c r="A235" s="54">
        <v>221</v>
      </c>
      <c r="B235" s="55" t="s">
        <v>74</v>
      </c>
      <c r="C235" s="56" t="s">
        <v>793</v>
      </c>
    </row>
    <row r="236" spans="1:3" x14ac:dyDescent="0.2">
      <c r="A236" s="54">
        <v>222</v>
      </c>
      <c r="B236" s="55" t="s">
        <v>74</v>
      </c>
      <c r="C236" s="56" t="s">
        <v>793</v>
      </c>
    </row>
    <row r="237" spans="1:3" x14ac:dyDescent="0.2">
      <c r="A237" s="54">
        <v>223</v>
      </c>
      <c r="B237" s="55" t="s">
        <v>74</v>
      </c>
      <c r="C237" s="56" t="s">
        <v>793</v>
      </c>
    </row>
    <row r="238" spans="1:3" x14ac:dyDescent="0.2">
      <c r="A238" s="54">
        <v>224</v>
      </c>
      <c r="B238" s="55" t="s">
        <v>74</v>
      </c>
      <c r="C238" s="56" t="s">
        <v>793</v>
      </c>
    </row>
    <row r="239" spans="1:3" x14ac:dyDescent="0.2">
      <c r="A239" s="54">
        <v>225</v>
      </c>
      <c r="B239" s="55" t="s">
        <v>74</v>
      </c>
      <c r="C239" s="56" t="s">
        <v>793</v>
      </c>
    </row>
    <row r="240" spans="1:3" x14ac:dyDescent="0.2">
      <c r="A240" s="54">
        <v>226</v>
      </c>
      <c r="B240" s="55" t="s">
        <v>74</v>
      </c>
      <c r="C240" s="56" t="s">
        <v>793</v>
      </c>
    </row>
    <row r="241" spans="1:3" x14ac:dyDescent="0.2">
      <c r="A241" s="54">
        <v>227</v>
      </c>
      <c r="B241" s="55" t="s">
        <v>74</v>
      </c>
      <c r="C241" s="56" t="s">
        <v>793</v>
      </c>
    </row>
    <row r="242" spans="1:3" x14ac:dyDescent="0.2">
      <c r="A242" s="54">
        <v>228</v>
      </c>
      <c r="B242" s="55" t="s">
        <v>84</v>
      </c>
      <c r="C242" s="56" t="s">
        <v>786</v>
      </c>
    </row>
    <row r="243" spans="1:3" x14ac:dyDescent="0.2">
      <c r="A243" s="54">
        <v>229</v>
      </c>
      <c r="B243" s="55" t="s">
        <v>84</v>
      </c>
      <c r="C243" s="56" t="s">
        <v>786</v>
      </c>
    </row>
    <row r="244" spans="1:3" x14ac:dyDescent="0.2">
      <c r="A244" s="54">
        <v>230</v>
      </c>
      <c r="B244" s="55" t="s">
        <v>74</v>
      </c>
      <c r="C244" s="56" t="s">
        <v>786</v>
      </c>
    </row>
    <row r="245" spans="1:3" x14ac:dyDescent="0.2">
      <c r="A245" s="54">
        <v>231</v>
      </c>
      <c r="B245" s="55" t="s">
        <v>62</v>
      </c>
      <c r="C245" s="56" t="s">
        <v>793</v>
      </c>
    </row>
    <row r="246" spans="1:3" x14ac:dyDescent="0.2">
      <c r="A246" s="54">
        <v>233</v>
      </c>
      <c r="B246" s="55" t="s">
        <v>62</v>
      </c>
      <c r="C246" s="56" t="s">
        <v>793</v>
      </c>
    </row>
    <row r="247" spans="1:3" x14ac:dyDescent="0.2">
      <c r="A247" s="54">
        <v>234</v>
      </c>
      <c r="B247" s="55" t="s">
        <v>62</v>
      </c>
      <c r="C247" s="56" t="s">
        <v>793</v>
      </c>
    </row>
    <row r="248" spans="1:3" x14ac:dyDescent="0.2">
      <c r="A248" s="54">
        <v>235</v>
      </c>
      <c r="B248" s="55" t="s">
        <v>62</v>
      </c>
      <c r="C248" s="56" t="s">
        <v>793</v>
      </c>
    </row>
    <row r="249" spans="1:3" x14ac:dyDescent="0.2">
      <c r="A249" s="54">
        <v>236</v>
      </c>
      <c r="B249" s="55" t="s">
        <v>62</v>
      </c>
      <c r="C249" s="56" t="s">
        <v>793</v>
      </c>
    </row>
    <row r="250" spans="1:3" x14ac:dyDescent="0.2">
      <c r="A250" s="54">
        <v>237</v>
      </c>
      <c r="B250" s="55" t="s">
        <v>62</v>
      </c>
      <c r="C250" s="56" t="s">
        <v>793</v>
      </c>
    </row>
    <row r="251" spans="1:3" x14ac:dyDescent="0.2">
      <c r="A251" s="54">
        <v>238</v>
      </c>
      <c r="B251" s="55" t="s">
        <v>74</v>
      </c>
      <c r="C251" s="56" t="s">
        <v>793</v>
      </c>
    </row>
    <row r="252" spans="1:3" x14ac:dyDescent="0.2">
      <c r="A252" s="54">
        <v>241</v>
      </c>
      <c r="B252" s="55" t="s">
        <v>85</v>
      </c>
      <c r="C252" s="56" t="s">
        <v>793</v>
      </c>
    </row>
    <row r="253" spans="1:3" x14ac:dyDescent="0.2">
      <c r="A253" s="54">
        <v>242</v>
      </c>
      <c r="B253" s="55" t="s">
        <v>86</v>
      </c>
      <c r="C253" s="56" t="s">
        <v>793</v>
      </c>
    </row>
    <row r="254" spans="1:3" x14ac:dyDescent="0.2">
      <c r="A254" s="54">
        <v>243</v>
      </c>
      <c r="B254" s="55" t="s">
        <v>87</v>
      </c>
      <c r="C254" s="56" t="s">
        <v>793</v>
      </c>
    </row>
    <row r="255" spans="1:3" x14ac:dyDescent="0.2">
      <c r="A255" s="54">
        <v>244</v>
      </c>
      <c r="B255" s="55" t="s">
        <v>74</v>
      </c>
      <c r="C255" s="56" t="s">
        <v>793</v>
      </c>
    </row>
    <row r="256" spans="1:3" x14ac:dyDescent="0.2">
      <c r="A256" s="54">
        <v>245</v>
      </c>
      <c r="B256" s="55" t="s">
        <v>86</v>
      </c>
      <c r="C256" s="56" t="s">
        <v>793</v>
      </c>
    </row>
    <row r="257" spans="1:3" x14ac:dyDescent="0.2">
      <c r="A257" s="54">
        <v>246</v>
      </c>
      <c r="B257" s="55" t="s">
        <v>88</v>
      </c>
      <c r="C257" s="56" t="s">
        <v>793</v>
      </c>
    </row>
    <row r="258" spans="1:3" x14ac:dyDescent="0.2">
      <c r="A258" s="54">
        <v>247</v>
      </c>
      <c r="B258" s="55" t="s">
        <v>86</v>
      </c>
      <c r="C258" s="56" t="s">
        <v>793</v>
      </c>
    </row>
    <row r="259" spans="1:3" x14ac:dyDescent="0.2">
      <c r="A259" s="54">
        <v>248</v>
      </c>
      <c r="B259" s="55" t="s">
        <v>74</v>
      </c>
      <c r="C259" s="56" t="s">
        <v>793</v>
      </c>
    </row>
    <row r="260" spans="1:3" x14ac:dyDescent="0.2">
      <c r="A260" s="54">
        <v>249</v>
      </c>
      <c r="B260" s="55" t="s">
        <v>86</v>
      </c>
      <c r="C260" s="56" t="s">
        <v>793</v>
      </c>
    </row>
    <row r="261" spans="1:3" x14ac:dyDescent="0.2">
      <c r="A261" s="54">
        <v>250</v>
      </c>
      <c r="B261" s="55" t="s">
        <v>89</v>
      </c>
      <c r="C261" s="56" t="s">
        <v>786</v>
      </c>
    </row>
    <row r="262" spans="1:3" x14ac:dyDescent="0.2">
      <c r="A262" s="54">
        <v>251</v>
      </c>
      <c r="B262" s="55" t="s">
        <v>89</v>
      </c>
      <c r="C262" s="56" t="s">
        <v>786</v>
      </c>
    </row>
    <row r="263" spans="1:3" x14ac:dyDescent="0.2">
      <c r="A263" s="54">
        <v>252</v>
      </c>
      <c r="B263" s="55" t="s">
        <v>89</v>
      </c>
      <c r="C263" s="56" t="s">
        <v>786</v>
      </c>
    </row>
    <row r="264" spans="1:3" x14ac:dyDescent="0.2">
      <c r="A264" s="54">
        <v>253</v>
      </c>
      <c r="B264" s="55" t="s">
        <v>89</v>
      </c>
      <c r="C264" s="56" t="s">
        <v>786</v>
      </c>
    </row>
    <row r="265" spans="1:3" x14ac:dyDescent="0.2">
      <c r="A265" s="54">
        <v>254</v>
      </c>
      <c r="B265" s="55" t="s">
        <v>90</v>
      </c>
      <c r="C265" s="56" t="s">
        <v>793</v>
      </c>
    </row>
    <row r="266" spans="1:3" x14ac:dyDescent="0.2">
      <c r="A266" s="54">
        <v>255</v>
      </c>
      <c r="B266" s="55" t="s">
        <v>91</v>
      </c>
      <c r="C266" s="56" t="s">
        <v>793</v>
      </c>
    </row>
    <row r="267" spans="1:3" x14ac:dyDescent="0.2">
      <c r="A267" s="54">
        <v>257</v>
      </c>
      <c r="B267" s="55" t="s">
        <v>92</v>
      </c>
      <c r="C267" s="56" t="s">
        <v>793</v>
      </c>
    </row>
    <row r="268" spans="1:3" x14ac:dyDescent="0.2">
      <c r="A268" s="54">
        <v>258</v>
      </c>
      <c r="B268" s="55" t="s">
        <v>93</v>
      </c>
      <c r="C268" s="56" t="s">
        <v>793</v>
      </c>
    </row>
    <row r="269" spans="1:3" x14ac:dyDescent="0.2">
      <c r="A269" s="54">
        <v>259</v>
      </c>
      <c r="B269" s="55" t="s">
        <v>94</v>
      </c>
      <c r="C269" s="56" t="s">
        <v>793</v>
      </c>
    </row>
    <row r="270" spans="1:3" x14ac:dyDescent="0.2">
      <c r="A270" s="54">
        <v>260</v>
      </c>
      <c r="B270" s="55" t="s">
        <v>93</v>
      </c>
      <c r="C270" s="56" t="s">
        <v>786</v>
      </c>
    </row>
    <row r="271" spans="1:3" x14ac:dyDescent="0.2">
      <c r="A271" s="54">
        <v>261</v>
      </c>
      <c r="B271" s="55" t="s">
        <v>93</v>
      </c>
      <c r="C271" s="56" t="s">
        <v>793</v>
      </c>
    </row>
    <row r="272" spans="1:3" x14ac:dyDescent="0.2">
      <c r="A272" s="54">
        <v>262</v>
      </c>
      <c r="B272" s="55" t="s">
        <v>93</v>
      </c>
      <c r="C272" s="56" t="s">
        <v>793</v>
      </c>
    </row>
    <row r="273" spans="1:3" x14ac:dyDescent="0.2">
      <c r="A273" s="54">
        <v>263</v>
      </c>
      <c r="B273" s="55" t="s">
        <v>93</v>
      </c>
      <c r="C273" s="56" t="s">
        <v>793</v>
      </c>
    </row>
    <row r="274" spans="1:3" x14ac:dyDescent="0.2">
      <c r="A274" s="54">
        <v>264</v>
      </c>
      <c r="B274" s="55" t="s">
        <v>93</v>
      </c>
      <c r="C274" s="56" t="s">
        <v>793</v>
      </c>
    </row>
    <row r="275" spans="1:3" x14ac:dyDescent="0.2">
      <c r="A275" s="54">
        <v>265</v>
      </c>
      <c r="B275" s="55" t="s">
        <v>95</v>
      </c>
      <c r="C275" s="56" t="s">
        <v>786</v>
      </c>
    </row>
    <row r="276" spans="1:3" x14ac:dyDescent="0.2">
      <c r="A276" s="54">
        <v>266</v>
      </c>
      <c r="B276" s="55" t="s">
        <v>95</v>
      </c>
      <c r="C276" s="56" t="s">
        <v>786</v>
      </c>
    </row>
    <row r="277" spans="1:3" x14ac:dyDescent="0.2">
      <c r="A277" s="54">
        <v>267</v>
      </c>
      <c r="B277" s="55" t="s">
        <v>95</v>
      </c>
      <c r="C277" s="56" t="s">
        <v>786</v>
      </c>
    </row>
    <row r="278" spans="1:3" x14ac:dyDescent="0.2">
      <c r="A278" s="54">
        <v>268</v>
      </c>
      <c r="B278" s="55" t="s">
        <v>95</v>
      </c>
      <c r="C278" s="56" t="s">
        <v>786</v>
      </c>
    </row>
    <row r="279" spans="1:3" x14ac:dyDescent="0.2">
      <c r="A279" s="54">
        <v>269</v>
      </c>
      <c r="B279" s="55" t="s">
        <v>95</v>
      </c>
      <c r="C279" s="56" t="s">
        <v>786</v>
      </c>
    </row>
    <row r="280" spans="1:3" x14ac:dyDescent="0.2">
      <c r="A280" s="54">
        <v>270</v>
      </c>
      <c r="B280" s="55" t="s">
        <v>95</v>
      </c>
      <c r="C280" s="56" t="s">
        <v>786</v>
      </c>
    </row>
    <row r="281" spans="1:3" x14ac:dyDescent="0.2">
      <c r="A281" s="54">
        <v>271</v>
      </c>
      <c r="B281" s="55" t="s">
        <v>95</v>
      </c>
      <c r="C281" s="56" t="s">
        <v>786</v>
      </c>
    </row>
    <row r="282" spans="1:3" x14ac:dyDescent="0.2">
      <c r="A282" s="54">
        <v>272</v>
      </c>
      <c r="B282" s="55" t="s">
        <v>95</v>
      </c>
      <c r="C282" s="56" t="s">
        <v>786</v>
      </c>
    </row>
    <row r="283" spans="1:3" x14ac:dyDescent="0.2">
      <c r="A283" s="54">
        <v>273</v>
      </c>
      <c r="B283" s="55" t="s">
        <v>95</v>
      </c>
      <c r="C283" s="56" t="s">
        <v>786</v>
      </c>
    </row>
    <row r="284" spans="1:3" x14ac:dyDescent="0.2">
      <c r="A284" s="54">
        <v>274</v>
      </c>
      <c r="B284" s="55" t="s">
        <v>95</v>
      </c>
      <c r="C284" s="56" t="s">
        <v>786</v>
      </c>
    </row>
    <row r="285" spans="1:3" x14ac:dyDescent="0.2">
      <c r="A285" s="54">
        <v>276</v>
      </c>
      <c r="B285" s="55" t="s">
        <v>95</v>
      </c>
      <c r="C285" s="56" t="s">
        <v>786</v>
      </c>
    </row>
    <row r="286" spans="1:3" x14ac:dyDescent="0.2">
      <c r="A286" s="54">
        <v>277</v>
      </c>
      <c r="B286" s="55" t="s">
        <v>96</v>
      </c>
      <c r="C286" s="56" t="s">
        <v>786</v>
      </c>
    </row>
    <row r="287" spans="1:3" x14ac:dyDescent="0.2">
      <c r="A287" s="54">
        <v>278</v>
      </c>
      <c r="B287" s="55" t="s">
        <v>97</v>
      </c>
      <c r="C287" s="56" t="s">
        <v>786</v>
      </c>
    </row>
    <row r="288" spans="1:3" x14ac:dyDescent="0.2">
      <c r="A288" s="54">
        <v>279</v>
      </c>
      <c r="B288" s="55" t="s">
        <v>98</v>
      </c>
      <c r="C288" s="56" t="s">
        <v>786</v>
      </c>
    </row>
    <row r="289" spans="1:3" x14ac:dyDescent="0.2">
      <c r="A289" s="54">
        <v>280</v>
      </c>
      <c r="B289" s="55" t="s">
        <v>99</v>
      </c>
      <c r="C289" s="56" t="s">
        <v>786</v>
      </c>
    </row>
    <row r="290" spans="1:3" x14ac:dyDescent="0.2">
      <c r="A290" s="54">
        <v>281</v>
      </c>
      <c r="B290" s="55" t="s">
        <v>100</v>
      </c>
      <c r="C290" s="56" t="s">
        <v>793</v>
      </c>
    </row>
    <row r="291" spans="1:3" x14ac:dyDescent="0.2">
      <c r="A291" s="54">
        <v>283</v>
      </c>
      <c r="B291" s="55" t="s">
        <v>101</v>
      </c>
      <c r="C291" s="56" t="s">
        <v>793</v>
      </c>
    </row>
    <row r="292" spans="1:3" x14ac:dyDescent="0.2">
      <c r="A292" s="54">
        <v>284</v>
      </c>
      <c r="B292" s="55" t="s">
        <v>43</v>
      </c>
      <c r="C292" s="56" t="s">
        <v>786</v>
      </c>
    </row>
    <row r="293" spans="1:3" x14ac:dyDescent="0.2">
      <c r="A293" s="54">
        <v>285</v>
      </c>
      <c r="B293" s="55" t="s">
        <v>43</v>
      </c>
      <c r="C293" s="56" t="s">
        <v>786</v>
      </c>
    </row>
    <row r="294" spans="1:3" x14ac:dyDescent="0.2">
      <c r="A294" s="54">
        <v>286</v>
      </c>
      <c r="B294" s="55" t="s">
        <v>102</v>
      </c>
      <c r="C294" s="56" t="s">
        <v>786</v>
      </c>
    </row>
    <row r="295" spans="1:3" x14ac:dyDescent="0.2">
      <c r="A295" s="54">
        <v>287</v>
      </c>
      <c r="B295" s="55" t="s">
        <v>103</v>
      </c>
      <c r="C295" s="56" t="s">
        <v>786</v>
      </c>
    </row>
    <row r="296" spans="1:3" x14ac:dyDescent="0.2">
      <c r="A296" s="54">
        <v>288</v>
      </c>
      <c r="B296" s="55" t="s">
        <v>104</v>
      </c>
      <c r="C296" s="56" t="s">
        <v>786</v>
      </c>
    </row>
    <row r="297" spans="1:3" x14ac:dyDescent="0.2">
      <c r="A297" s="54">
        <v>289</v>
      </c>
      <c r="B297" s="55" t="s">
        <v>104</v>
      </c>
      <c r="C297" s="56" t="s">
        <v>786</v>
      </c>
    </row>
    <row r="298" spans="1:3" x14ac:dyDescent="0.2">
      <c r="A298" s="54">
        <v>290</v>
      </c>
      <c r="B298" s="55" t="s">
        <v>104</v>
      </c>
      <c r="C298" s="56" t="s">
        <v>786</v>
      </c>
    </row>
    <row r="299" spans="1:3" x14ac:dyDescent="0.2">
      <c r="A299" s="54">
        <v>291</v>
      </c>
      <c r="B299" s="55" t="s">
        <v>104</v>
      </c>
      <c r="C299" s="56" t="s">
        <v>786</v>
      </c>
    </row>
    <row r="300" spans="1:3" x14ac:dyDescent="0.2">
      <c r="A300" s="54">
        <v>292</v>
      </c>
      <c r="B300" s="55" t="s">
        <v>104</v>
      </c>
      <c r="C300" s="56" t="s">
        <v>786</v>
      </c>
    </row>
    <row r="301" spans="1:3" x14ac:dyDescent="0.2">
      <c r="A301" s="54">
        <v>297</v>
      </c>
      <c r="B301" s="55" t="s">
        <v>104</v>
      </c>
      <c r="C301" s="56" t="s">
        <v>786</v>
      </c>
    </row>
    <row r="302" spans="1:3" x14ac:dyDescent="0.2">
      <c r="A302" s="54">
        <v>298</v>
      </c>
      <c r="B302" s="55" t="s">
        <v>104</v>
      </c>
      <c r="C302" s="56" t="s">
        <v>786</v>
      </c>
    </row>
    <row r="303" spans="1:3" x14ac:dyDescent="0.2">
      <c r="A303" s="54">
        <v>299</v>
      </c>
      <c r="B303" s="55" t="s">
        <v>104</v>
      </c>
      <c r="C303" s="56" t="s">
        <v>786</v>
      </c>
    </row>
    <row r="304" spans="1:3" x14ac:dyDescent="0.2">
      <c r="A304" s="54">
        <v>300</v>
      </c>
      <c r="B304" s="55" t="s">
        <v>105</v>
      </c>
      <c r="C304" s="56" t="s">
        <v>793</v>
      </c>
    </row>
    <row r="305" spans="1:3" x14ac:dyDescent="0.2">
      <c r="A305" s="54">
        <v>301</v>
      </c>
      <c r="B305" s="55" t="s">
        <v>106</v>
      </c>
      <c r="C305" s="56" t="s">
        <v>793</v>
      </c>
    </row>
    <row r="306" spans="1:3" x14ac:dyDescent="0.2">
      <c r="A306" s="54">
        <v>302</v>
      </c>
      <c r="B306" s="55" t="s">
        <v>107</v>
      </c>
      <c r="C306" s="56" t="s">
        <v>793</v>
      </c>
    </row>
    <row r="307" spans="1:3" x14ac:dyDescent="0.2">
      <c r="A307" s="54">
        <v>303</v>
      </c>
      <c r="B307" s="55" t="s">
        <v>104</v>
      </c>
      <c r="C307" s="56" t="s">
        <v>786</v>
      </c>
    </row>
    <row r="308" spans="1:3" x14ac:dyDescent="0.2">
      <c r="A308" s="54">
        <v>304</v>
      </c>
      <c r="B308" s="55" t="s">
        <v>104</v>
      </c>
      <c r="C308" s="56" t="s">
        <v>786</v>
      </c>
    </row>
    <row r="309" spans="1:3" x14ac:dyDescent="0.2">
      <c r="A309" s="54">
        <v>305</v>
      </c>
      <c r="B309" s="55" t="s">
        <v>108</v>
      </c>
      <c r="C309" s="56" t="s">
        <v>793</v>
      </c>
    </row>
    <row r="310" spans="1:3" x14ac:dyDescent="0.2">
      <c r="A310" s="54">
        <v>306</v>
      </c>
      <c r="B310" s="55" t="s">
        <v>108</v>
      </c>
      <c r="C310" s="56" t="s">
        <v>793</v>
      </c>
    </row>
    <row r="311" spans="1:3" x14ac:dyDescent="0.2">
      <c r="A311" s="54">
        <v>307</v>
      </c>
      <c r="B311" s="55" t="s">
        <v>108</v>
      </c>
      <c r="C311" s="56" t="s">
        <v>793</v>
      </c>
    </row>
    <row r="312" spans="1:3" x14ac:dyDescent="0.2">
      <c r="A312" s="54">
        <v>308</v>
      </c>
      <c r="B312" s="55" t="s">
        <v>108</v>
      </c>
      <c r="C312" s="56" t="s">
        <v>793</v>
      </c>
    </row>
    <row r="313" spans="1:3" x14ac:dyDescent="0.2">
      <c r="A313" s="54">
        <v>309</v>
      </c>
      <c r="B313" s="55" t="s">
        <v>109</v>
      </c>
      <c r="C313" s="56" t="s">
        <v>793</v>
      </c>
    </row>
    <row r="314" spans="1:3" x14ac:dyDescent="0.2">
      <c r="A314" s="54">
        <v>310</v>
      </c>
      <c r="B314" s="55" t="s">
        <v>110</v>
      </c>
      <c r="C314" s="56" t="s">
        <v>793</v>
      </c>
    </row>
    <row r="315" spans="1:3" x14ac:dyDescent="0.2">
      <c r="A315" s="54">
        <v>312</v>
      </c>
      <c r="B315" s="55" t="s">
        <v>111</v>
      </c>
      <c r="C315" s="56" t="s">
        <v>793</v>
      </c>
    </row>
    <row r="316" spans="1:3" x14ac:dyDescent="0.2">
      <c r="A316" s="54">
        <v>313</v>
      </c>
      <c r="B316" s="55" t="s">
        <v>112</v>
      </c>
      <c r="C316" s="56" t="s">
        <v>786</v>
      </c>
    </row>
    <row r="317" spans="1:3" x14ac:dyDescent="0.2">
      <c r="A317" s="54">
        <v>314</v>
      </c>
      <c r="B317" s="55" t="s">
        <v>113</v>
      </c>
      <c r="C317" s="56" t="s">
        <v>786</v>
      </c>
    </row>
    <row r="318" spans="1:3" x14ac:dyDescent="0.2">
      <c r="A318" s="54">
        <v>315</v>
      </c>
      <c r="B318" s="55" t="s">
        <v>114</v>
      </c>
      <c r="C318" s="56" t="s">
        <v>786</v>
      </c>
    </row>
    <row r="319" spans="1:3" x14ac:dyDescent="0.2">
      <c r="A319" s="54">
        <v>316</v>
      </c>
      <c r="B319" s="55" t="s">
        <v>115</v>
      </c>
      <c r="C319" s="56" t="s">
        <v>793</v>
      </c>
    </row>
    <row r="320" spans="1:3" x14ac:dyDescent="0.2">
      <c r="A320" s="54">
        <v>317</v>
      </c>
      <c r="B320" s="55" t="s">
        <v>115</v>
      </c>
      <c r="C320" s="56" t="s">
        <v>793</v>
      </c>
    </row>
    <row r="321" spans="1:3" x14ac:dyDescent="0.2">
      <c r="A321" s="54">
        <v>318</v>
      </c>
      <c r="B321" s="55" t="s">
        <v>115</v>
      </c>
      <c r="C321" s="56" t="s">
        <v>793</v>
      </c>
    </row>
    <row r="322" spans="1:3" x14ac:dyDescent="0.2">
      <c r="A322" s="54">
        <v>319</v>
      </c>
      <c r="B322" s="55" t="s">
        <v>116</v>
      </c>
      <c r="C322" s="56" t="s">
        <v>793</v>
      </c>
    </row>
    <row r="323" spans="1:3" x14ac:dyDescent="0.2">
      <c r="A323" s="54">
        <v>320</v>
      </c>
      <c r="B323" s="55" t="s">
        <v>115</v>
      </c>
      <c r="C323" s="56" t="s">
        <v>793</v>
      </c>
    </row>
    <row r="324" spans="1:3" x14ac:dyDescent="0.2">
      <c r="A324" s="54">
        <v>321</v>
      </c>
      <c r="B324" s="55" t="s">
        <v>115</v>
      </c>
      <c r="C324" s="56" t="s">
        <v>793</v>
      </c>
    </row>
    <row r="325" spans="1:3" x14ac:dyDescent="0.2">
      <c r="A325" s="54">
        <v>322</v>
      </c>
      <c r="B325" s="55" t="s">
        <v>115</v>
      </c>
      <c r="C325" s="56" t="s">
        <v>793</v>
      </c>
    </row>
    <row r="326" spans="1:3" x14ac:dyDescent="0.2">
      <c r="A326" s="54">
        <v>323</v>
      </c>
      <c r="B326" s="55" t="s">
        <v>115</v>
      </c>
      <c r="C326" s="56" t="s">
        <v>793</v>
      </c>
    </row>
    <row r="327" spans="1:3" x14ac:dyDescent="0.2">
      <c r="A327" s="54">
        <v>324</v>
      </c>
      <c r="B327" s="55" t="s">
        <v>117</v>
      </c>
      <c r="C327" s="56" t="s">
        <v>793</v>
      </c>
    </row>
    <row r="328" spans="1:3" x14ac:dyDescent="0.2">
      <c r="A328" s="54">
        <v>325</v>
      </c>
      <c r="B328" s="55" t="s">
        <v>118</v>
      </c>
      <c r="C328" s="56" t="s">
        <v>793</v>
      </c>
    </row>
    <row r="329" spans="1:3" x14ac:dyDescent="0.2">
      <c r="A329" s="54">
        <v>326</v>
      </c>
      <c r="B329" s="55" t="s">
        <v>118</v>
      </c>
      <c r="C329" s="56" t="s">
        <v>793</v>
      </c>
    </row>
    <row r="330" spans="1:3" x14ac:dyDescent="0.2">
      <c r="A330" s="54">
        <v>327</v>
      </c>
      <c r="B330" s="55" t="s">
        <v>118</v>
      </c>
      <c r="C330" s="56" t="s">
        <v>793</v>
      </c>
    </row>
    <row r="331" spans="1:3" x14ac:dyDescent="0.2">
      <c r="A331" s="54">
        <v>328</v>
      </c>
      <c r="B331" s="55" t="s">
        <v>118</v>
      </c>
      <c r="C331" s="56" t="s">
        <v>793</v>
      </c>
    </row>
    <row r="332" spans="1:3" x14ac:dyDescent="0.2">
      <c r="A332" s="54">
        <v>329</v>
      </c>
      <c r="B332" s="55" t="s">
        <v>118</v>
      </c>
      <c r="C332" s="56" t="s">
        <v>793</v>
      </c>
    </row>
    <row r="333" spans="1:3" x14ac:dyDescent="0.2">
      <c r="A333" s="54">
        <v>330</v>
      </c>
      <c r="B333" s="55" t="s">
        <v>118</v>
      </c>
      <c r="C333" s="56" t="s">
        <v>793</v>
      </c>
    </row>
    <row r="334" spans="1:3" x14ac:dyDescent="0.2">
      <c r="A334" s="54">
        <v>331</v>
      </c>
      <c r="B334" s="55" t="s">
        <v>118</v>
      </c>
      <c r="C334" s="56" t="s">
        <v>793</v>
      </c>
    </row>
    <row r="335" spans="1:3" x14ac:dyDescent="0.2">
      <c r="A335" s="54">
        <v>332</v>
      </c>
      <c r="B335" s="55" t="s">
        <v>118</v>
      </c>
      <c r="C335" s="56" t="s">
        <v>786</v>
      </c>
    </row>
    <row r="336" spans="1:3" x14ac:dyDescent="0.2">
      <c r="A336" s="54">
        <v>334</v>
      </c>
      <c r="B336" s="55" t="s">
        <v>119</v>
      </c>
      <c r="C336" s="56" t="s">
        <v>793</v>
      </c>
    </row>
    <row r="337" spans="1:3" x14ac:dyDescent="0.2">
      <c r="A337" s="54">
        <v>335</v>
      </c>
      <c r="B337" s="55" t="s">
        <v>120</v>
      </c>
      <c r="C337" s="56" t="s">
        <v>793</v>
      </c>
    </row>
    <row r="338" spans="1:3" x14ac:dyDescent="0.2">
      <c r="A338" s="54">
        <v>336</v>
      </c>
      <c r="B338" s="55" t="s">
        <v>121</v>
      </c>
      <c r="C338" s="56" t="s">
        <v>786</v>
      </c>
    </row>
    <row r="339" spans="1:3" x14ac:dyDescent="0.2">
      <c r="A339" s="54">
        <v>337</v>
      </c>
      <c r="B339" s="55" t="s">
        <v>121</v>
      </c>
      <c r="C339" s="56" t="s">
        <v>786</v>
      </c>
    </row>
    <row r="340" spans="1:3" x14ac:dyDescent="0.2">
      <c r="A340" s="54">
        <v>338</v>
      </c>
      <c r="B340" s="55" t="s">
        <v>122</v>
      </c>
      <c r="C340" s="56" t="s">
        <v>793</v>
      </c>
    </row>
    <row r="341" spans="1:3" x14ac:dyDescent="0.2">
      <c r="A341" s="54">
        <v>339</v>
      </c>
      <c r="B341" s="55" t="s">
        <v>123</v>
      </c>
      <c r="C341" s="56" t="s">
        <v>786</v>
      </c>
    </row>
    <row r="342" spans="1:3" x14ac:dyDescent="0.2">
      <c r="A342" s="54">
        <v>340</v>
      </c>
      <c r="B342" s="55" t="s">
        <v>123</v>
      </c>
      <c r="C342" s="56" t="s">
        <v>786</v>
      </c>
    </row>
    <row r="343" spans="1:3" x14ac:dyDescent="0.2">
      <c r="A343" s="54">
        <v>341</v>
      </c>
      <c r="B343" s="55" t="s">
        <v>123</v>
      </c>
      <c r="C343" s="56" t="s">
        <v>786</v>
      </c>
    </row>
    <row r="344" spans="1:3" x14ac:dyDescent="0.2">
      <c r="A344" s="54">
        <v>342</v>
      </c>
      <c r="B344" s="55" t="s">
        <v>124</v>
      </c>
      <c r="C344" s="56" t="s">
        <v>793</v>
      </c>
    </row>
    <row r="345" spans="1:3" x14ac:dyDescent="0.2">
      <c r="A345" s="54">
        <v>343</v>
      </c>
      <c r="B345" s="55" t="s">
        <v>125</v>
      </c>
      <c r="C345" s="56" t="s">
        <v>793</v>
      </c>
    </row>
    <row r="346" spans="1:3" x14ac:dyDescent="0.2">
      <c r="A346" s="54">
        <v>344</v>
      </c>
      <c r="B346" s="55" t="s">
        <v>126</v>
      </c>
      <c r="C346" s="56" t="s">
        <v>793</v>
      </c>
    </row>
    <row r="347" spans="1:3" x14ac:dyDescent="0.2">
      <c r="A347" s="54">
        <v>344</v>
      </c>
      <c r="B347" s="55" t="s">
        <v>126</v>
      </c>
      <c r="C347" s="56" t="s">
        <v>786</v>
      </c>
    </row>
    <row r="348" spans="1:3" x14ac:dyDescent="0.2">
      <c r="A348" s="54">
        <v>345</v>
      </c>
      <c r="B348" s="55" t="s">
        <v>127</v>
      </c>
      <c r="C348" s="56" t="s">
        <v>793</v>
      </c>
    </row>
    <row r="349" spans="1:3" x14ac:dyDescent="0.2">
      <c r="A349" s="54">
        <v>346</v>
      </c>
      <c r="B349" s="55" t="s">
        <v>128</v>
      </c>
      <c r="C349" s="56" t="s">
        <v>786</v>
      </c>
    </row>
    <row r="350" spans="1:3" x14ac:dyDescent="0.2">
      <c r="A350" s="54">
        <v>347</v>
      </c>
      <c r="B350" s="55" t="s">
        <v>129</v>
      </c>
      <c r="C350" s="56" t="s">
        <v>786</v>
      </c>
    </row>
    <row r="351" spans="1:3" x14ac:dyDescent="0.2">
      <c r="A351" s="54">
        <v>348</v>
      </c>
      <c r="B351" s="55" t="s">
        <v>129</v>
      </c>
      <c r="C351" s="56" t="s">
        <v>786</v>
      </c>
    </row>
    <row r="352" spans="1:3" x14ac:dyDescent="0.2">
      <c r="A352" s="54">
        <v>349</v>
      </c>
      <c r="B352" s="55" t="s">
        <v>74</v>
      </c>
      <c r="C352" s="56" t="s">
        <v>793</v>
      </c>
    </row>
    <row r="353" spans="1:3" x14ac:dyDescent="0.2">
      <c r="A353" s="54">
        <v>350</v>
      </c>
      <c r="B353" s="55" t="s">
        <v>130</v>
      </c>
      <c r="C353" s="56" t="s">
        <v>786</v>
      </c>
    </row>
    <row r="354" spans="1:3" x14ac:dyDescent="0.2">
      <c r="A354" s="54">
        <v>351</v>
      </c>
      <c r="B354" s="55" t="s">
        <v>131</v>
      </c>
      <c r="C354" s="56" t="s">
        <v>793</v>
      </c>
    </row>
    <row r="355" spans="1:3" x14ac:dyDescent="0.2">
      <c r="A355" s="54">
        <v>352</v>
      </c>
      <c r="B355" s="55" t="s">
        <v>132</v>
      </c>
      <c r="C355" s="56" t="s">
        <v>793</v>
      </c>
    </row>
    <row r="356" spans="1:3" x14ac:dyDescent="0.2">
      <c r="A356" s="54">
        <v>353</v>
      </c>
      <c r="B356" s="55" t="s">
        <v>133</v>
      </c>
      <c r="C356" s="56" t="s">
        <v>793</v>
      </c>
    </row>
    <row r="357" spans="1:3" x14ac:dyDescent="0.2">
      <c r="A357" s="54">
        <v>354</v>
      </c>
      <c r="B357" s="55" t="s">
        <v>50</v>
      </c>
      <c r="C357" s="56" t="s">
        <v>786</v>
      </c>
    </row>
    <row r="358" spans="1:3" x14ac:dyDescent="0.2">
      <c r="A358" s="54">
        <v>355</v>
      </c>
      <c r="B358" s="55" t="s">
        <v>134</v>
      </c>
      <c r="C358" s="56" t="s">
        <v>793</v>
      </c>
    </row>
    <row r="359" spans="1:3" x14ac:dyDescent="0.2">
      <c r="A359" s="54">
        <v>357</v>
      </c>
      <c r="B359" s="55" t="s">
        <v>135</v>
      </c>
      <c r="C359" s="56" t="s">
        <v>786</v>
      </c>
    </row>
    <row r="360" spans="1:3" x14ac:dyDescent="0.2">
      <c r="A360" s="54">
        <v>358</v>
      </c>
      <c r="B360" s="55" t="s">
        <v>135</v>
      </c>
      <c r="C360" s="56" t="s">
        <v>786</v>
      </c>
    </row>
    <row r="361" spans="1:3" x14ac:dyDescent="0.2">
      <c r="A361" s="54">
        <v>359</v>
      </c>
      <c r="B361" s="55" t="s">
        <v>135</v>
      </c>
      <c r="C361" s="56" t="s">
        <v>786</v>
      </c>
    </row>
    <row r="362" spans="1:3" x14ac:dyDescent="0.2">
      <c r="A362" s="54">
        <v>360</v>
      </c>
      <c r="B362" s="55" t="s">
        <v>135</v>
      </c>
      <c r="C362" s="56" t="s">
        <v>786</v>
      </c>
    </row>
    <row r="363" spans="1:3" x14ac:dyDescent="0.2">
      <c r="A363" s="54">
        <v>361</v>
      </c>
      <c r="B363" s="55" t="s">
        <v>135</v>
      </c>
      <c r="C363" s="56" t="s">
        <v>786</v>
      </c>
    </row>
    <row r="364" spans="1:3" x14ac:dyDescent="0.2">
      <c r="A364" s="54">
        <v>362</v>
      </c>
      <c r="B364" s="55" t="s">
        <v>135</v>
      </c>
      <c r="C364" s="56" t="s">
        <v>786</v>
      </c>
    </row>
    <row r="365" spans="1:3" x14ac:dyDescent="0.2">
      <c r="A365" s="54">
        <v>363</v>
      </c>
      <c r="B365" s="55" t="s">
        <v>135</v>
      </c>
      <c r="C365" s="56" t="s">
        <v>786</v>
      </c>
    </row>
    <row r="366" spans="1:3" x14ac:dyDescent="0.2">
      <c r="A366" s="54">
        <v>364</v>
      </c>
      <c r="B366" s="55" t="s">
        <v>135</v>
      </c>
      <c r="C366" s="56" t="s">
        <v>786</v>
      </c>
    </row>
    <row r="367" spans="1:3" x14ac:dyDescent="0.2">
      <c r="A367" s="54">
        <v>365</v>
      </c>
      <c r="B367" s="55" t="s">
        <v>135</v>
      </c>
      <c r="C367" s="56" t="s">
        <v>786</v>
      </c>
    </row>
    <row r="368" spans="1:3" x14ac:dyDescent="0.2">
      <c r="A368" s="54">
        <v>366</v>
      </c>
      <c r="B368" s="55" t="s">
        <v>135</v>
      </c>
      <c r="C368" s="56" t="s">
        <v>786</v>
      </c>
    </row>
    <row r="369" spans="1:3" x14ac:dyDescent="0.2">
      <c r="A369" s="54">
        <v>367</v>
      </c>
      <c r="B369" s="55" t="s">
        <v>135</v>
      </c>
      <c r="C369" s="56" t="s">
        <v>786</v>
      </c>
    </row>
    <row r="370" spans="1:3" x14ac:dyDescent="0.2">
      <c r="A370" s="54">
        <v>368</v>
      </c>
      <c r="B370" s="55" t="s">
        <v>135</v>
      </c>
      <c r="C370" s="56" t="s">
        <v>786</v>
      </c>
    </row>
    <row r="371" spans="1:3" x14ac:dyDescent="0.2">
      <c r="A371" s="54">
        <v>369</v>
      </c>
      <c r="B371" s="55" t="s">
        <v>135</v>
      </c>
      <c r="C371" s="56" t="s">
        <v>786</v>
      </c>
    </row>
    <row r="372" spans="1:3" x14ac:dyDescent="0.2">
      <c r="A372" s="54">
        <v>370</v>
      </c>
      <c r="B372" s="55" t="s">
        <v>135</v>
      </c>
      <c r="C372" s="56" t="s">
        <v>786</v>
      </c>
    </row>
    <row r="373" spans="1:3" x14ac:dyDescent="0.2">
      <c r="A373" s="54">
        <v>371</v>
      </c>
      <c r="B373" s="55" t="s">
        <v>135</v>
      </c>
      <c r="C373" s="56" t="s">
        <v>786</v>
      </c>
    </row>
    <row r="374" spans="1:3" x14ac:dyDescent="0.2">
      <c r="A374" s="54">
        <v>372</v>
      </c>
      <c r="B374" s="55" t="s">
        <v>115</v>
      </c>
      <c r="C374" s="56" t="s">
        <v>793</v>
      </c>
    </row>
    <row r="375" spans="1:3" x14ac:dyDescent="0.2">
      <c r="A375" s="54">
        <v>373</v>
      </c>
      <c r="B375" s="55" t="s">
        <v>62</v>
      </c>
      <c r="C375" s="56" t="s">
        <v>793</v>
      </c>
    </row>
    <row r="376" spans="1:3" x14ac:dyDescent="0.2">
      <c r="A376" s="54">
        <v>374</v>
      </c>
      <c r="B376" s="55" t="s">
        <v>62</v>
      </c>
      <c r="C376" s="56" t="s">
        <v>793</v>
      </c>
    </row>
    <row r="377" spans="1:3" x14ac:dyDescent="0.2">
      <c r="A377" s="54">
        <v>375</v>
      </c>
      <c r="B377" s="55" t="s">
        <v>62</v>
      </c>
      <c r="C377" s="56" t="s">
        <v>793</v>
      </c>
    </row>
    <row r="378" spans="1:3" x14ac:dyDescent="0.2">
      <c r="A378" s="54">
        <v>376</v>
      </c>
      <c r="B378" s="55" t="s">
        <v>62</v>
      </c>
      <c r="C378" s="56" t="s">
        <v>793</v>
      </c>
    </row>
    <row r="379" spans="1:3" x14ac:dyDescent="0.2">
      <c r="A379" s="54">
        <v>377</v>
      </c>
      <c r="B379" s="55" t="s">
        <v>62</v>
      </c>
      <c r="C379" s="56" t="s">
        <v>793</v>
      </c>
    </row>
    <row r="380" spans="1:3" x14ac:dyDescent="0.2">
      <c r="A380" s="54">
        <v>378</v>
      </c>
      <c r="B380" s="55" t="s">
        <v>62</v>
      </c>
      <c r="C380" s="56" t="s">
        <v>793</v>
      </c>
    </row>
    <row r="381" spans="1:3" x14ac:dyDescent="0.2">
      <c r="A381" s="54">
        <v>380</v>
      </c>
      <c r="B381" s="55" t="s">
        <v>62</v>
      </c>
      <c r="C381" s="56" t="s">
        <v>793</v>
      </c>
    </row>
    <row r="382" spans="1:3" x14ac:dyDescent="0.2">
      <c r="A382" s="54">
        <v>381</v>
      </c>
      <c r="B382" s="55" t="s">
        <v>62</v>
      </c>
      <c r="C382" s="56" t="s">
        <v>793</v>
      </c>
    </row>
    <row r="383" spans="1:3" x14ac:dyDescent="0.2">
      <c r="A383" s="54">
        <v>382</v>
      </c>
      <c r="B383" s="55" t="s">
        <v>62</v>
      </c>
      <c r="C383" s="56" t="s">
        <v>793</v>
      </c>
    </row>
    <row r="384" spans="1:3" x14ac:dyDescent="0.2">
      <c r="A384" s="54">
        <v>384</v>
      </c>
      <c r="B384" s="55" t="s">
        <v>74</v>
      </c>
      <c r="C384" s="56" t="s">
        <v>793</v>
      </c>
    </row>
    <row r="385" spans="1:3" x14ac:dyDescent="0.2">
      <c r="A385" s="54">
        <v>385</v>
      </c>
      <c r="B385" s="55" t="s">
        <v>62</v>
      </c>
      <c r="C385" s="56" t="s">
        <v>786</v>
      </c>
    </row>
    <row r="386" spans="1:3" x14ac:dyDescent="0.2">
      <c r="A386" s="54">
        <v>386</v>
      </c>
      <c r="B386" s="55" t="s">
        <v>43</v>
      </c>
      <c r="C386" s="56" t="s">
        <v>786</v>
      </c>
    </row>
    <row r="387" spans="1:3" x14ac:dyDescent="0.2">
      <c r="A387" s="54">
        <v>387</v>
      </c>
      <c r="B387" s="55" t="s">
        <v>67</v>
      </c>
      <c r="C387" s="56" t="s">
        <v>786</v>
      </c>
    </row>
    <row r="388" spans="1:3" x14ac:dyDescent="0.2">
      <c r="A388" s="54">
        <v>388</v>
      </c>
      <c r="B388" s="55" t="s">
        <v>62</v>
      </c>
      <c r="C388" s="56" t="s">
        <v>786</v>
      </c>
    </row>
    <row r="389" spans="1:3" x14ac:dyDescent="0.2">
      <c r="A389" s="54">
        <v>389</v>
      </c>
      <c r="B389" s="55" t="s">
        <v>53</v>
      </c>
      <c r="C389" s="56" t="s">
        <v>786</v>
      </c>
    </row>
    <row r="390" spans="1:3" x14ac:dyDescent="0.2">
      <c r="A390" s="54">
        <v>390</v>
      </c>
      <c r="B390" s="55" t="s">
        <v>62</v>
      </c>
      <c r="C390" s="56" t="s">
        <v>793</v>
      </c>
    </row>
    <row r="391" spans="1:3" x14ac:dyDescent="0.2">
      <c r="A391" s="54">
        <v>391</v>
      </c>
      <c r="B391" s="55" t="s">
        <v>136</v>
      </c>
      <c r="C391" s="56" t="s">
        <v>786</v>
      </c>
    </row>
    <row r="392" spans="1:3" x14ac:dyDescent="0.2">
      <c r="A392" s="54">
        <v>392</v>
      </c>
      <c r="B392" s="55" t="s">
        <v>137</v>
      </c>
      <c r="C392" s="56" t="s">
        <v>793</v>
      </c>
    </row>
    <row r="393" spans="1:3" x14ac:dyDescent="0.2">
      <c r="A393" s="54">
        <v>393</v>
      </c>
      <c r="B393" s="55" t="s">
        <v>138</v>
      </c>
      <c r="C393" s="56" t="s">
        <v>793</v>
      </c>
    </row>
    <row r="394" spans="1:3" x14ac:dyDescent="0.2">
      <c r="A394" s="54">
        <v>394</v>
      </c>
      <c r="B394" s="55" t="s">
        <v>94</v>
      </c>
      <c r="C394" s="56" t="s">
        <v>793</v>
      </c>
    </row>
    <row r="395" spans="1:3" x14ac:dyDescent="0.2">
      <c r="A395" s="54">
        <v>395</v>
      </c>
      <c r="B395" s="55" t="s">
        <v>139</v>
      </c>
      <c r="C395" s="56" t="s">
        <v>793</v>
      </c>
    </row>
    <row r="396" spans="1:3" x14ac:dyDescent="0.2">
      <c r="A396" s="54">
        <v>396</v>
      </c>
      <c r="B396" s="55" t="s">
        <v>72</v>
      </c>
      <c r="C396" s="56" t="s">
        <v>793</v>
      </c>
    </row>
    <row r="397" spans="1:3" x14ac:dyDescent="0.2">
      <c r="A397" s="54">
        <v>397</v>
      </c>
      <c r="B397" s="55" t="s">
        <v>140</v>
      </c>
      <c r="C397" s="56" t="s">
        <v>793</v>
      </c>
    </row>
    <row r="398" spans="1:3" x14ac:dyDescent="0.2">
      <c r="A398" s="54">
        <v>398</v>
      </c>
      <c r="B398" s="55" t="s">
        <v>141</v>
      </c>
      <c r="C398" s="56" t="s">
        <v>793</v>
      </c>
    </row>
    <row r="399" spans="1:3" x14ac:dyDescent="0.2">
      <c r="A399" s="54">
        <v>399</v>
      </c>
      <c r="B399" s="55" t="s">
        <v>142</v>
      </c>
      <c r="C399" s="56" t="s">
        <v>786</v>
      </c>
    </row>
    <row r="400" spans="1:3" x14ac:dyDescent="0.2">
      <c r="A400" s="54">
        <v>400</v>
      </c>
      <c r="B400" s="55" t="s">
        <v>93</v>
      </c>
      <c r="C400" s="56" t="s">
        <v>793</v>
      </c>
    </row>
    <row r="401" spans="1:3" x14ac:dyDescent="0.2">
      <c r="A401" s="54">
        <v>401</v>
      </c>
      <c r="B401" s="55" t="s">
        <v>143</v>
      </c>
      <c r="C401" s="56" t="s">
        <v>786</v>
      </c>
    </row>
    <row r="402" spans="1:3" x14ac:dyDescent="0.2">
      <c r="A402" s="54">
        <v>403</v>
      </c>
      <c r="B402" s="55" t="s">
        <v>49</v>
      </c>
      <c r="C402" s="56" t="s">
        <v>793</v>
      </c>
    </row>
    <row r="403" spans="1:3" x14ac:dyDescent="0.2">
      <c r="A403" s="54">
        <v>404</v>
      </c>
      <c r="B403" s="55" t="s">
        <v>144</v>
      </c>
      <c r="C403" s="56" t="s">
        <v>793</v>
      </c>
    </row>
    <row r="404" spans="1:3" x14ac:dyDescent="0.2">
      <c r="A404" s="54">
        <v>405</v>
      </c>
      <c r="B404" s="55" t="s">
        <v>145</v>
      </c>
      <c r="C404" s="56" t="s">
        <v>786</v>
      </c>
    </row>
    <row r="405" spans="1:3" x14ac:dyDescent="0.2">
      <c r="A405" s="54">
        <v>406</v>
      </c>
      <c r="B405" s="55" t="s">
        <v>146</v>
      </c>
      <c r="C405" s="56" t="s">
        <v>786</v>
      </c>
    </row>
    <row r="406" spans="1:3" x14ac:dyDescent="0.2">
      <c r="A406" s="54">
        <v>407</v>
      </c>
      <c r="B406" s="55" t="s">
        <v>147</v>
      </c>
      <c r="C406" s="56" t="s">
        <v>786</v>
      </c>
    </row>
    <row r="407" spans="1:3" x14ac:dyDescent="0.2">
      <c r="A407" s="54">
        <v>408</v>
      </c>
      <c r="B407" s="55" t="s">
        <v>148</v>
      </c>
      <c r="C407" s="56" t="s">
        <v>786</v>
      </c>
    </row>
    <row r="408" spans="1:3" x14ac:dyDescent="0.2">
      <c r="A408" s="54">
        <v>409</v>
      </c>
      <c r="B408" s="55" t="s">
        <v>149</v>
      </c>
      <c r="C408" s="56" t="s">
        <v>786</v>
      </c>
    </row>
    <row r="409" spans="1:3" x14ac:dyDescent="0.2">
      <c r="A409" s="54">
        <v>410</v>
      </c>
      <c r="B409" s="55" t="s">
        <v>150</v>
      </c>
      <c r="C409" s="56" t="s">
        <v>786</v>
      </c>
    </row>
    <row r="410" spans="1:3" x14ac:dyDescent="0.2">
      <c r="A410" s="54">
        <v>411</v>
      </c>
      <c r="B410" s="55" t="s">
        <v>151</v>
      </c>
      <c r="C410" s="56" t="s">
        <v>786</v>
      </c>
    </row>
    <row r="411" spans="1:3" x14ac:dyDescent="0.2">
      <c r="A411" s="54">
        <v>412</v>
      </c>
      <c r="B411" s="55" t="s">
        <v>152</v>
      </c>
      <c r="C411" s="56" t="s">
        <v>786</v>
      </c>
    </row>
    <row r="412" spans="1:3" x14ac:dyDescent="0.2">
      <c r="A412" s="54">
        <v>413</v>
      </c>
      <c r="B412" s="55" t="s">
        <v>153</v>
      </c>
      <c r="C412" s="56" t="s">
        <v>786</v>
      </c>
    </row>
    <row r="413" spans="1:3" x14ac:dyDescent="0.2">
      <c r="A413" s="54">
        <v>414</v>
      </c>
      <c r="B413" s="55" t="s">
        <v>154</v>
      </c>
      <c r="C413" s="56" t="s">
        <v>786</v>
      </c>
    </row>
    <row r="414" spans="1:3" x14ac:dyDescent="0.2">
      <c r="A414" s="54">
        <v>415</v>
      </c>
      <c r="B414" s="55" t="s">
        <v>155</v>
      </c>
      <c r="C414" s="56" t="s">
        <v>786</v>
      </c>
    </row>
    <row r="415" spans="1:3" x14ac:dyDescent="0.2">
      <c r="A415" s="54">
        <v>416</v>
      </c>
      <c r="B415" s="55" t="s">
        <v>156</v>
      </c>
      <c r="C415" s="56" t="s">
        <v>786</v>
      </c>
    </row>
    <row r="416" spans="1:3" x14ac:dyDescent="0.2">
      <c r="A416" s="54">
        <v>417</v>
      </c>
      <c r="B416" s="55" t="s">
        <v>157</v>
      </c>
      <c r="C416" s="56" t="s">
        <v>786</v>
      </c>
    </row>
    <row r="417" spans="1:3" x14ac:dyDescent="0.2">
      <c r="A417" s="54">
        <v>418</v>
      </c>
      <c r="B417" s="55" t="s">
        <v>158</v>
      </c>
      <c r="C417" s="56" t="s">
        <v>786</v>
      </c>
    </row>
    <row r="418" spans="1:3" x14ac:dyDescent="0.2">
      <c r="A418" s="54">
        <v>419</v>
      </c>
      <c r="B418" s="55" t="s">
        <v>159</v>
      </c>
      <c r="C418" s="56" t="s">
        <v>786</v>
      </c>
    </row>
    <row r="419" spans="1:3" x14ac:dyDescent="0.2">
      <c r="A419" s="54">
        <v>420</v>
      </c>
      <c r="B419" s="55" t="s">
        <v>160</v>
      </c>
      <c r="C419" s="56" t="s">
        <v>786</v>
      </c>
    </row>
    <row r="420" spans="1:3" x14ac:dyDescent="0.2">
      <c r="A420" s="54">
        <v>421</v>
      </c>
      <c r="B420" s="55" t="s">
        <v>161</v>
      </c>
      <c r="C420" s="56" t="s">
        <v>786</v>
      </c>
    </row>
    <row r="421" spans="1:3" x14ac:dyDescent="0.2">
      <c r="A421" s="54">
        <v>422</v>
      </c>
      <c r="B421" s="55" t="s">
        <v>162</v>
      </c>
      <c r="C421" s="56" t="s">
        <v>786</v>
      </c>
    </row>
    <row r="422" spans="1:3" x14ac:dyDescent="0.2">
      <c r="A422" s="54">
        <v>423</v>
      </c>
      <c r="B422" s="55" t="s">
        <v>163</v>
      </c>
      <c r="C422" s="56" t="s">
        <v>786</v>
      </c>
    </row>
    <row r="423" spans="1:3" x14ac:dyDescent="0.2">
      <c r="A423" s="54">
        <v>424</v>
      </c>
      <c r="B423" s="55" t="s">
        <v>164</v>
      </c>
      <c r="C423" s="56" t="s">
        <v>786</v>
      </c>
    </row>
    <row r="424" spans="1:3" x14ac:dyDescent="0.2">
      <c r="A424" s="54">
        <v>425</v>
      </c>
      <c r="B424" s="55" t="s">
        <v>165</v>
      </c>
      <c r="C424" s="56" t="s">
        <v>793</v>
      </c>
    </row>
    <row r="425" spans="1:3" x14ac:dyDescent="0.2">
      <c r="A425" s="54">
        <v>426</v>
      </c>
      <c r="B425" s="55" t="s">
        <v>74</v>
      </c>
      <c r="C425" s="56" t="s">
        <v>793</v>
      </c>
    </row>
    <row r="426" spans="1:3" x14ac:dyDescent="0.2">
      <c r="A426" s="54">
        <v>427</v>
      </c>
      <c r="B426" s="55" t="s">
        <v>166</v>
      </c>
      <c r="C426" s="56" t="s">
        <v>793</v>
      </c>
    </row>
    <row r="427" spans="1:3" x14ac:dyDescent="0.2">
      <c r="A427" s="54">
        <v>428</v>
      </c>
      <c r="B427" s="55" t="s">
        <v>167</v>
      </c>
      <c r="C427" s="56" t="s">
        <v>168</v>
      </c>
    </row>
    <row r="428" spans="1:3" x14ac:dyDescent="0.2">
      <c r="A428" s="54">
        <v>429</v>
      </c>
      <c r="B428" s="55" t="s">
        <v>169</v>
      </c>
      <c r="C428" s="56" t="s">
        <v>168</v>
      </c>
    </row>
    <row r="429" spans="1:3" x14ac:dyDescent="0.2">
      <c r="A429" s="54">
        <v>430</v>
      </c>
      <c r="B429" s="55" t="s">
        <v>170</v>
      </c>
      <c r="C429" s="56" t="s">
        <v>168</v>
      </c>
    </row>
    <row r="430" spans="1:3" x14ac:dyDescent="0.2">
      <c r="A430" s="54">
        <v>431</v>
      </c>
      <c r="B430" s="55" t="s">
        <v>171</v>
      </c>
      <c r="C430" s="56" t="s">
        <v>168</v>
      </c>
    </row>
    <row r="431" spans="1:3" x14ac:dyDescent="0.2">
      <c r="A431" s="54">
        <v>432</v>
      </c>
      <c r="B431" s="55" t="s">
        <v>74</v>
      </c>
      <c r="C431" s="56" t="s">
        <v>793</v>
      </c>
    </row>
    <row r="432" spans="1:3" x14ac:dyDescent="0.2">
      <c r="A432" s="54">
        <v>434</v>
      </c>
      <c r="B432" s="55" t="s">
        <v>172</v>
      </c>
      <c r="C432" s="56" t="s">
        <v>786</v>
      </c>
    </row>
    <row r="433" spans="1:3" x14ac:dyDescent="0.2">
      <c r="A433" s="54">
        <v>435</v>
      </c>
      <c r="B433" s="55" t="s">
        <v>173</v>
      </c>
      <c r="C433" s="56" t="s">
        <v>793</v>
      </c>
    </row>
    <row r="434" spans="1:3" x14ac:dyDescent="0.2">
      <c r="A434" s="54">
        <v>436</v>
      </c>
      <c r="B434" s="55" t="s">
        <v>174</v>
      </c>
      <c r="C434" s="56" t="s">
        <v>793</v>
      </c>
    </row>
    <row r="435" spans="1:3" x14ac:dyDescent="0.2">
      <c r="A435" s="54">
        <v>437</v>
      </c>
      <c r="B435" s="55" t="s">
        <v>175</v>
      </c>
      <c r="C435" s="56" t="s">
        <v>793</v>
      </c>
    </row>
    <row r="436" spans="1:3" x14ac:dyDescent="0.2">
      <c r="A436" s="54">
        <v>439</v>
      </c>
      <c r="B436" s="55" t="s">
        <v>176</v>
      </c>
      <c r="C436" s="56" t="s">
        <v>793</v>
      </c>
    </row>
    <row r="437" spans="1:3" x14ac:dyDescent="0.2">
      <c r="A437" s="54">
        <v>440</v>
      </c>
      <c r="B437" s="55" t="s">
        <v>177</v>
      </c>
      <c r="C437" s="56" t="s">
        <v>793</v>
      </c>
    </row>
    <row r="438" spans="1:3" x14ac:dyDescent="0.2">
      <c r="A438" s="54">
        <v>441</v>
      </c>
      <c r="B438" s="55" t="s">
        <v>78</v>
      </c>
      <c r="C438" s="56" t="s">
        <v>793</v>
      </c>
    </row>
    <row r="439" spans="1:3" x14ac:dyDescent="0.2">
      <c r="A439" s="54">
        <v>442</v>
      </c>
      <c r="B439" s="55" t="s">
        <v>74</v>
      </c>
      <c r="C439" s="56" t="s">
        <v>786</v>
      </c>
    </row>
    <row r="440" spans="1:3" x14ac:dyDescent="0.2">
      <c r="A440" s="54">
        <v>443</v>
      </c>
      <c r="B440" s="55" t="s">
        <v>115</v>
      </c>
      <c r="C440" s="56" t="s">
        <v>793</v>
      </c>
    </row>
    <row r="441" spans="1:3" x14ac:dyDescent="0.2">
      <c r="A441" s="54">
        <v>444</v>
      </c>
      <c r="B441" s="55" t="s">
        <v>118</v>
      </c>
      <c r="C441" s="56" t="s">
        <v>793</v>
      </c>
    </row>
    <row r="442" spans="1:3" x14ac:dyDescent="0.2">
      <c r="A442" s="54">
        <v>444</v>
      </c>
      <c r="B442" s="55" t="s">
        <v>118</v>
      </c>
      <c r="C442" s="56" t="s">
        <v>786</v>
      </c>
    </row>
    <row r="443" spans="1:3" x14ac:dyDescent="0.2">
      <c r="A443" s="54">
        <v>445</v>
      </c>
      <c r="B443" s="55" t="s">
        <v>178</v>
      </c>
      <c r="C443" s="56" t="s">
        <v>793</v>
      </c>
    </row>
    <row r="444" spans="1:3" x14ac:dyDescent="0.2">
      <c r="A444" s="54">
        <v>446</v>
      </c>
      <c r="B444" s="55" t="s">
        <v>178</v>
      </c>
      <c r="C444" s="56" t="s">
        <v>793</v>
      </c>
    </row>
    <row r="445" spans="1:3" x14ac:dyDescent="0.2">
      <c r="A445" s="54">
        <v>447</v>
      </c>
      <c r="B445" s="55" t="s">
        <v>89</v>
      </c>
      <c r="C445" s="56" t="s">
        <v>793</v>
      </c>
    </row>
    <row r="446" spans="1:3" x14ac:dyDescent="0.2">
      <c r="A446" s="54">
        <v>448</v>
      </c>
      <c r="B446" s="55" t="s">
        <v>89</v>
      </c>
      <c r="C446" s="56" t="s">
        <v>793</v>
      </c>
    </row>
    <row r="447" spans="1:3" x14ac:dyDescent="0.2">
      <c r="A447" s="54">
        <v>449</v>
      </c>
      <c r="B447" s="55" t="s">
        <v>89</v>
      </c>
      <c r="C447" s="56" t="s">
        <v>793</v>
      </c>
    </row>
    <row r="448" spans="1:3" x14ac:dyDescent="0.2">
      <c r="A448" s="54">
        <v>450</v>
      </c>
      <c r="B448" s="55" t="s">
        <v>89</v>
      </c>
      <c r="C448" s="56" t="s">
        <v>793</v>
      </c>
    </row>
    <row r="449" spans="1:3" x14ac:dyDescent="0.2">
      <c r="A449" s="54">
        <v>451</v>
      </c>
      <c r="B449" s="55" t="s">
        <v>89</v>
      </c>
      <c r="C449" s="56" t="s">
        <v>793</v>
      </c>
    </row>
    <row r="450" spans="1:3" x14ac:dyDescent="0.2">
      <c r="A450" s="54">
        <v>452</v>
      </c>
      <c r="B450" s="55" t="s">
        <v>89</v>
      </c>
      <c r="C450" s="56" t="s">
        <v>793</v>
      </c>
    </row>
    <row r="451" spans="1:3" x14ac:dyDescent="0.2">
      <c r="A451" s="54">
        <v>453</v>
      </c>
      <c r="B451" s="55" t="s">
        <v>89</v>
      </c>
      <c r="C451" s="56" t="s">
        <v>793</v>
      </c>
    </row>
    <row r="452" spans="1:3" x14ac:dyDescent="0.2">
      <c r="A452" s="54">
        <v>454</v>
      </c>
      <c r="B452" s="55" t="s">
        <v>89</v>
      </c>
      <c r="C452" s="56" t="s">
        <v>793</v>
      </c>
    </row>
    <row r="453" spans="1:3" x14ac:dyDescent="0.2">
      <c r="A453" s="54">
        <v>455</v>
      </c>
      <c r="B453" s="55" t="s">
        <v>89</v>
      </c>
      <c r="C453" s="56" t="s">
        <v>793</v>
      </c>
    </row>
    <row r="454" spans="1:3" x14ac:dyDescent="0.2">
      <c r="A454" s="54">
        <v>456</v>
      </c>
      <c r="B454" s="55" t="s">
        <v>89</v>
      </c>
      <c r="C454" s="56" t="s">
        <v>793</v>
      </c>
    </row>
    <row r="455" spans="1:3" x14ac:dyDescent="0.2">
      <c r="A455" s="54">
        <v>459</v>
      </c>
      <c r="B455" s="55" t="s">
        <v>89</v>
      </c>
      <c r="C455" s="56" t="s">
        <v>793</v>
      </c>
    </row>
    <row r="456" spans="1:3" x14ac:dyDescent="0.2">
      <c r="A456" s="54">
        <v>460</v>
      </c>
      <c r="B456" s="55" t="s">
        <v>179</v>
      </c>
      <c r="C456" s="56" t="s">
        <v>786</v>
      </c>
    </row>
    <row r="457" spans="1:3" x14ac:dyDescent="0.2">
      <c r="A457" s="54">
        <v>461</v>
      </c>
      <c r="B457" s="55" t="s">
        <v>179</v>
      </c>
      <c r="C457" s="56" t="s">
        <v>786</v>
      </c>
    </row>
    <row r="458" spans="1:3" x14ac:dyDescent="0.2">
      <c r="A458" s="54">
        <v>462</v>
      </c>
      <c r="B458" s="55" t="s">
        <v>180</v>
      </c>
      <c r="C458" s="56" t="s">
        <v>786</v>
      </c>
    </row>
    <row r="459" spans="1:3" x14ac:dyDescent="0.2">
      <c r="A459" s="54">
        <v>463</v>
      </c>
      <c r="B459" s="55" t="s">
        <v>181</v>
      </c>
      <c r="C459" s="56" t="s">
        <v>786</v>
      </c>
    </row>
    <row r="460" spans="1:3" x14ac:dyDescent="0.2">
      <c r="A460" s="54">
        <v>464</v>
      </c>
      <c r="B460" s="55" t="s">
        <v>182</v>
      </c>
      <c r="C460" s="56" t="s">
        <v>793</v>
      </c>
    </row>
    <row r="461" spans="1:3" x14ac:dyDescent="0.2">
      <c r="A461" s="54">
        <v>465</v>
      </c>
      <c r="B461" s="55" t="s">
        <v>183</v>
      </c>
      <c r="C461" s="56" t="s">
        <v>793</v>
      </c>
    </row>
    <row r="462" spans="1:3" x14ac:dyDescent="0.2">
      <c r="A462" s="54">
        <v>466</v>
      </c>
      <c r="B462" s="55" t="s">
        <v>184</v>
      </c>
      <c r="C462" s="56" t="s">
        <v>793</v>
      </c>
    </row>
    <row r="463" spans="1:3" x14ac:dyDescent="0.2">
      <c r="A463" s="54">
        <v>467</v>
      </c>
      <c r="B463" s="55" t="s">
        <v>184</v>
      </c>
      <c r="C463" s="56" t="s">
        <v>793</v>
      </c>
    </row>
    <row r="464" spans="1:3" x14ac:dyDescent="0.2">
      <c r="A464" s="54">
        <v>468</v>
      </c>
      <c r="B464" s="55" t="s">
        <v>184</v>
      </c>
      <c r="C464" s="56" t="s">
        <v>793</v>
      </c>
    </row>
    <row r="465" spans="1:3" x14ac:dyDescent="0.2">
      <c r="A465" s="54">
        <v>469</v>
      </c>
      <c r="B465" s="55" t="s">
        <v>184</v>
      </c>
      <c r="C465" s="56" t="s">
        <v>793</v>
      </c>
    </row>
    <row r="466" spans="1:3" x14ac:dyDescent="0.2">
      <c r="A466" s="54">
        <v>470</v>
      </c>
      <c r="B466" s="55" t="s">
        <v>184</v>
      </c>
      <c r="C466" s="56" t="s">
        <v>793</v>
      </c>
    </row>
    <row r="467" spans="1:3" x14ac:dyDescent="0.2">
      <c r="A467" s="54">
        <v>473</v>
      </c>
      <c r="B467" s="55" t="s">
        <v>185</v>
      </c>
      <c r="C467" s="56" t="s">
        <v>793</v>
      </c>
    </row>
    <row r="468" spans="1:3" x14ac:dyDescent="0.2">
      <c r="A468" s="54">
        <v>474</v>
      </c>
      <c r="B468" s="55" t="s">
        <v>186</v>
      </c>
      <c r="C468" s="56" t="s">
        <v>786</v>
      </c>
    </row>
    <row r="469" spans="1:3" x14ac:dyDescent="0.2">
      <c r="A469" s="54">
        <v>475</v>
      </c>
      <c r="B469" s="55" t="s">
        <v>187</v>
      </c>
      <c r="C469" s="56" t="s">
        <v>793</v>
      </c>
    </row>
    <row r="470" spans="1:3" x14ac:dyDescent="0.2">
      <c r="A470" s="54">
        <v>476</v>
      </c>
      <c r="B470" s="55" t="s">
        <v>188</v>
      </c>
      <c r="C470" s="56" t="s">
        <v>786</v>
      </c>
    </row>
    <row r="471" spans="1:3" x14ac:dyDescent="0.2">
      <c r="A471" s="54">
        <v>477</v>
      </c>
      <c r="B471" s="55" t="s">
        <v>188</v>
      </c>
      <c r="C471" s="56" t="s">
        <v>786</v>
      </c>
    </row>
    <row r="472" spans="1:3" x14ac:dyDescent="0.2">
      <c r="A472" s="54">
        <v>478</v>
      </c>
      <c r="B472" s="55" t="s">
        <v>118</v>
      </c>
      <c r="C472" s="56" t="s">
        <v>793</v>
      </c>
    </row>
    <row r="473" spans="1:3" x14ac:dyDescent="0.2">
      <c r="A473" s="54">
        <v>479</v>
      </c>
      <c r="B473" s="55" t="s">
        <v>176</v>
      </c>
      <c r="C473" s="56" t="s">
        <v>793</v>
      </c>
    </row>
    <row r="474" spans="1:3" x14ac:dyDescent="0.2">
      <c r="A474" s="54">
        <v>480</v>
      </c>
      <c r="B474" s="55" t="s">
        <v>176</v>
      </c>
      <c r="C474" s="56" t="s">
        <v>793</v>
      </c>
    </row>
    <row r="475" spans="1:3" x14ac:dyDescent="0.2">
      <c r="A475" s="54">
        <v>481</v>
      </c>
      <c r="B475" s="55" t="s">
        <v>176</v>
      </c>
      <c r="C475" s="56" t="s">
        <v>793</v>
      </c>
    </row>
    <row r="476" spans="1:3" x14ac:dyDescent="0.2">
      <c r="A476" s="54">
        <v>482</v>
      </c>
      <c r="B476" s="55" t="s">
        <v>189</v>
      </c>
      <c r="C476" s="56" t="s">
        <v>190</v>
      </c>
    </row>
    <row r="477" spans="1:3" x14ac:dyDescent="0.2">
      <c r="A477" s="54">
        <v>483</v>
      </c>
      <c r="B477" s="55" t="s">
        <v>191</v>
      </c>
      <c r="C477" s="56" t="s">
        <v>190</v>
      </c>
    </row>
    <row r="478" spans="1:3" x14ac:dyDescent="0.2">
      <c r="A478" s="54">
        <v>484</v>
      </c>
      <c r="B478" s="55" t="s">
        <v>192</v>
      </c>
      <c r="C478" s="56" t="s">
        <v>190</v>
      </c>
    </row>
    <row r="479" spans="1:3" x14ac:dyDescent="0.2">
      <c r="A479" s="54">
        <v>485</v>
      </c>
      <c r="B479" s="55" t="s">
        <v>193</v>
      </c>
      <c r="C479" s="56" t="s">
        <v>190</v>
      </c>
    </row>
    <row r="480" spans="1:3" x14ac:dyDescent="0.2">
      <c r="A480" s="54">
        <v>486</v>
      </c>
      <c r="B480" s="55" t="s">
        <v>194</v>
      </c>
      <c r="C480" s="56" t="s">
        <v>190</v>
      </c>
    </row>
    <row r="481" spans="1:3" x14ac:dyDescent="0.2">
      <c r="A481" s="54">
        <v>487</v>
      </c>
      <c r="B481" s="55" t="s">
        <v>195</v>
      </c>
      <c r="C481" s="56" t="s">
        <v>190</v>
      </c>
    </row>
    <row r="482" spans="1:3" x14ac:dyDescent="0.2">
      <c r="A482" s="54">
        <v>488</v>
      </c>
      <c r="B482" s="55" t="s">
        <v>196</v>
      </c>
      <c r="C482" s="56" t="s">
        <v>190</v>
      </c>
    </row>
    <row r="483" spans="1:3" x14ac:dyDescent="0.2">
      <c r="A483" s="54">
        <v>489</v>
      </c>
      <c r="B483" s="55" t="s">
        <v>197</v>
      </c>
      <c r="C483" s="56" t="s">
        <v>190</v>
      </c>
    </row>
    <row r="484" spans="1:3" x14ac:dyDescent="0.2">
      <c r="A484" s="54">
        <v>490</v>
      </c>
      <c r="B484" s="55" t="s">
        <v>198</v>
      </c>
      <c r="C484" s="56" t="s">
        <v>190</v>
      </c>
    </row>
    <row r="485" spans="1:3" x14ac:dyDescent="0.2">
      <c r="A485" s="54">
        <v>491</v>
      </c>
      <c r="B485" s="55" t="s">
        <v>199</v>
      </c>
      <c r="C485" s="56" t="s">
        <v>190</v>
      </c>
    </row>
    <row r="486" spans="1:3" x14ac:dyDescent="0.2">
      <c r="A486" s="54">
        <v>492</v>
      </c>
      <c r="B486" s="55" t="s">
        <v>200</v>
      </c>
      <c r="C486" s="56" t="s">
        <v>190</v>
      </c>
    </row>
    <row r="487" spans="1:3" x14ac:dyDescent="0.2">
      <c r="A487" s="54">
        <v>493</v>
      </c>
      <c r="B487" s="55" t="s">
        <v>201</v>
      </c>
      <c r="C487" s="56" t="s">
        <v>190</v>
      </c>
    </row>
    <row r="488" spans="1:3" x14ac:dyDescent="0.2">
      <c r="A488" s="54">
        <v>494</v>
      </c>
      <c r="B488" s="55" t="s">
        <v>202</v>
      </c>
      <c r="C488" s="56" t="s">
        <v>190</v>
      </c>
    </row>
    <row r="489" spans="1:3" x14ac:dyDescent="0.2">
      <c r="A489" s="54">
        <v>495</v>
      </c>
      <c r="B489" s="55" t="s">
        <v>203</v>
      </c>
      <c r="C489" s="56" t="s">
        <v>190</v>
      </c>
    </row>
    <row r="490" spans="1:3" x14ac:dyDescent="0.2">
      <c r="A490" s="54">
        <v>496</v>
      </c>
      <c r="B490" s="55" t="s">
        <v>204</v>
      </c>
      <c r="C490" s="56" t="s">
        <v>190</v>
      </c>
    </row>
    <row r="491" spans="1:3" x14ac:dyDescent="0.2">
      <c r="A491" s="54">
        <v>497</v>
      </c>
      <c r="B491" s="55" t="s">
        <v>205</v>
      </c>
      <c r="C491" s="56" t="s">
        <v>190</v>
      </c>
    </row>
    <row r="492" spans="1:3" x14ac:dyDescent="0.2">
      <c r="A492" s="54">
        <v>498</v>
      </c>
      <c r="B492" s="55" t="s">
        <v>206</v>
      </c>
      <c r="C492" s="56" t="s">
        <v>190</v>
      </c>
    </row>
    <row r="493" spans="1:3" x14ac:dyDescent="0.2">
      <c r="A493" s="54">
        <v>701</v>
      </c>
      <c r="B493" s="55" t="s">
        <v>207</v>
      </c>
      <c r="C493" s="56" t="s">
        <v>786</v>
      </c>
    </row>
    <row r="494" spans="1:3" x14ac:dyDescent="0.2">
      <c r="A494" s="54">
        <v>702</v>
      </c>
      <c r="B494" s="55" t="s">
        <v>207</v>
      </c>
      <c r="C494" s="56" t="s">
        <v>786</v>
      </c>
    </row>
    <row r="495" spans="1:3" x14ac:dyDescent="0.2">
      <c r="A495" s="54">
        <v>703</v>
      </c>
      <c r="B495" s="55" t="s">
        <v>141</v>
      </c>
      <c r="C495" s="56" t="s">
        <v>786</v>
      </c>
    </row>
    <row r="496" spans="1:3" x14ac:dyDescent="0.2">
      <c r="A496" s="54">
        <v>704</v>
      </c>
      <c r="B496" s="55" t="s">
        <v>141</v>
      </c>
      <c r="C496" s="56" t="s">
        <v>786</v>
      </c>
    </row>
    <row r="497" spans="1:3" x14ac:dyDescent="0.2">
      <c r="A497" s="54">
        <v>705</v>
      </c>
      <c r="B497" s="55" t="s">
        <v>141</v>
      </c>
      <c r="C497" s="56" t="s">
        <v>786</v>
      </c>
    </row>
    <row r="498" spans="1:3" x14ac:dyDescent="0.2">
      <c r="A498" s="54">
        <v>706</v>
      </c>
      <c r="B498" s="55" t="s">
        <v>141</v>
      </c>
      <c r="C498" s="56" t="s">
        <v>786</v>
      </c>
    </row>
    <row r="499" spans="1:3" x14ac:dyDescent="0.2">
      <c r="A499" s="54">
        <v>707</v>
      </c>
      <c r="B499" s="55" t="s">
        <v>141</v>
      </c>
      <c r="C499" s="56" t="s">
        <v>786</v>
      </c>
    </row>
    <row r="500" spans="1:3" x14ac:dyDescent="0.2">
      <c r="A500" s="54">
        <v>708</v>
      </c>
      <c r="B500" s="55" t="s">
        <v>141</v>
      </c>
      <c r="C500" s="56" t="s">
        <v>786</v>
      </c>
    </row>
    <row r="501" spans="1:3" x14ac:dyDescent="0.2">
      <c r="A501" s="54">
        <v>709</v>
      </c>
      <c r="B501" s="55" t="s">
        <v>141</v>
      </c>
      <c r="C501" s="56" t="s">
        <v>786</v>
      </c>
    </row>
    <row r="502" spans="1:3" x14ac:dyDescent="0.2">
      <c r="A502" s="54">
        <v>710</v>
      </c>
      <c r="B502" s="55" t="s">
        <v>141</v>
      </c>
      <c r="C502" s="56" t="s">
        <v>786</v>
      </c>
    </row>
    <row r="503" spans="1:3" x14ac:dyDescent="0.2">
      <c r="A503" s="54">
        <v>711</v>
      </c>
      <c r="B503" s="55" t="s">
        <v>141</v>
      </c>
      <c r="C503" s="56" t="s">
        <v>786</v>
      </c>
    </row>
    <row r="504" spans="1:3" x14ac:dyDescent="0.2">
      <c r="A504" s="54">
        <v>712</v>
      </c>
      <c r="B504" s="55" t="s">
        <v>208</v>
      </c>
      <c r="C504" s="56" t="s">
        <v>786</v>
      </c>
    </row>
    <row r="505" spans="1:3" x14ac:dyDescent="0.2">
      <c r="A505" s="54">
        <v>713</v>
      </c>
      <c r="B505" s="55" t="s">
        <v>208</v>
      </c>
      <c r="C505" s="56" t="s">
        <v>786</v>
      </c>
    </row>
    <row r="506" spans="1:3" x14ac:dyDescent="0.2">
      <c r="A506" s="54">
        <v>714</v>
      </c>
      <c r="B506" s="55" t="s">
        <v>208</v>
      </c>
      <c r="C506" s="56" t="s">
        <v>786</v>
      </c>
    </row>
    <row r="507" spans="1:3" x14ac:dyDescent="0.2">
      <c r="A507" s="54">
        <v>715</v>
      </c>
      <c r="B507" s="55" t="s">
        <v>208</v>
      </c>
      <c r="C507" s="56" t="s">
        <v>786</v>
      </c>
    </row>
    <row r="508" spans="1:3" x14ac:dyDescent="0.2">
      <c r="A508" s="54">
        <v>716</v>
      </c>
      <c r="B508" s="55" t="s">
        <v>209</v>
      </c>
      <c r="C508" s="56" t="s">
        <v>786</v>
      </c>
    </row>
    <row r="509" spans="1:3" x14ac:dyDescent="0.2">
      <c r="A509" s="54">
        <v>717</v>
      </c>
      <c r="B509" s="55" t="s">
        <v>209</v>
      </c>
      <c r="C509" s="56" t="s">
        <v>786</v>
      </c>
    </row>
    <row r="510" spans="1:3" x14ac:dyDescent="0.2">
      <c r="A510" s="54">
        <v>718</v>
      </c>
      <c r="B510" s="55" t="s">
        <v>210</v>
      </c>
      <c r="C510" s="56" t="s">
        <v>786</v>
      </c>
    </row>
    <row r="511" spans="1:3" x14ac:dyDescent="0.2">
      <c r="A511" s="54">
        <v>719</v>
      </c>
      <c r="B511" s="55" t="s">
        <v>210</v>
      </c>
      <c r="C511" s="56" t="s">
        <v>786</v>
      </c>
    </row>
    <row r="512" spans="1:3" x14ac:dyDescent="0.2">
      <c r="A512" s="54">
        <v>720</v>
      </c>
      <c r="B512" s="55" t="s">
        <v>75</v>
      </c>
      <c r="C512" s="56" t="s">
        <v>793</v>
      </c>
    </row>
    <row r="513" spans="1:3" x14ac:dyDescent="0.2">
      <c r="A513" s="54">
        <v>721</v>
      </c>
      <c r="B513" s="55" t="s">
        <v>211</v>
      </c>
      <c r="C513" s="56" t="s">
        <v>793</v>
      </c>
    </row>
    <row r="514" spans="1:3" x14ac:dyDescent="0.2">
      <c r="A514" s="54">
        <v>722</v>
      </c>
      <c r="B514" s="55" t="s">
        <v>211</v>
      </c>
      <c r="C514" s="56" t="s">
        <v>793</v>
      </c>
    </row>
    <row r="515" spans="1:3" x14ac:dyDescent="0.2">
      <c r="A515" s="54">
        <v>723</v>
      </c>
      <c r="B515" s="55" t="s">
        <v>211</v>
      </c>
      <c r="C515" s="56" t="s">
        <v>793</v>
      </c>
    </row>
    <row r="516" spans="1:3" x14ac:dyDescent="0.2">
      <c r="A516" s="54">
        <v>724</v>
      </c>
      <c r="B516" s="55" t="s">
        <v>211</v>
      </c>
      <c r="C516" s="56" t="s">
        <v>793</v>
      </c>
    </row>
    <row r="517" spans="1:3" x14ac:dyDescent="0.2">
      <c r="A517" s="54">
        <v>725</v>
      </c>
      <c r="B517" s="55" t="s">
        <v>211</v>
      </c>
      <c r="C517" s="56" t="s">
        <v>793</v>
      </c>
    </row>
    <row r="518" spans="1:3" x14ac:dyDescent="0.2">
      <c r="A518" s="54">
        <v>726</v>
      </c>
      <c r="B518" s="55" t="s">
        <v>211</v>
      </c>
      <c r="C518" s="56" t="s">
        <v>793</v>
      </c>
    </row>
    <row r="519" spans="1:3" x14ac:dyDescent="0.2">
      <c r="A519" s="54">
        <v>727</v>
      </c>
      <c r="B519" s="55" t="s">
        <v>211</v>
      </c>
      <c r="C519" s="56" t="s">
        <v>793</v>
      </c>
    </row>
    <row r="520" spans="1:3" x14ac:dyDescent="0.2">
      <c r="A520" s="54">
        <v>728</v>
      </c>
      <c r="B520" s="55" t="s">
        <v>212</v>
      </c>
      <c r="C520" s="56" t="s">
        <v>793</v>
      </c>
    </row>
    <row r="521" spans="1:3" x14ac:dyDescent="0.2">
      <c r="A521" s="54">
        <v>729</v>
      </c>
      <c r="B521" s="55" t="s">
        <v>211</v>
      </c>
      <c r="C521" s="56" t="s">
        <v>793</v>
      </c>
    </row>
    <row r="522" spans="1:3" x14ac:dyDescent="0.2">
      <c r="A522" s="54">
        <v>730</v>
      </c>
      <c r="B522" s="55" t="s">
        <v>212</v>
      </c>
      <c r="C522" s="56" t="s">
        <v>793</v>
      </c>
    </row>
    <row r="523" spans="1:3" x14ac:dyDescent="0.2">
      <c r="A523" s="54">
        <v>731</v>
      </c>
      <c r="B523" s="55" t="s">
        <v>211</v>
      </c>
      <c r="C523" s="56" t="s">
        <v>793</v>
      </c>
    </row>
    <row r="524" spans="1:3" x14ac:dyDescent="0.2">
      <c r="A524" s="54">
        <v>732</v>
      </c>
      <c r="B524" s="55" t="s">
        <v>212</v>
      </c>
      <c r="C524" s="56" t="s">
        <v>793</v>
      </c>
    </row>
    <row r="525" spans="1:3" x14ac:dyDescent="0.2">
      <c r="A525" s="54">
        <v>733</v>
      </c>
      <c r="B525" s="55" t="s">
        <v>211</v>
      </c>
      <c r="C525" s="56" t="s">
        <v>793</v>
      </c>
    </row>
    <row r="526" spans="1:3" x14ac:dyDescent="0.2">
      <c r="A526" s="54">
        <v>734</v>
      </c>
      <c r="B526" s="55" t="s">
        <v>212</v>
      </c>
      <c r="C526" s="56" t="s">
        <v>793</v>
      </c>
    </row>
    <row r="527" spans="1:3" x14ac:dyDescent="0.2">
      <c r="A527" s="54">
        <v>735</v>
      </c>
      <c r="B527" s="55" t="s">
        <v>211</v>
      </c>
      <c r="C527" s="56" t="s">
        <v>793</v>
      </c>
    </row>
    <row r="528" spans="1:3" x14ac:dyDescent="0.2">
      <c r="A528" s="54">
        <v>736</v>
      </c>
      <c r="B528" s="55" t="s">
        <v>212</v>
      </c>
      <c r="C528" s="56" t="s">
        <v>793</v>
      </c>
    </row>
    <row r="529" spans="1:3" x14ac:dyDescent="0.2">
      <c r="A529" s="54">
        <v>737</v>
      </c>
      <c r="B529" s="55" t="s">
        <v>211</v>
      </c>
      <c r="C529" s="56" t="s">
        <v>793</v>
      </c>
    </row>
    <row r="530" spans="1:3" x14ac:dyDescent="0.2">
      <c r="A530" s="54">
        <v>738</v>
      </c>
      <c r="B530" s="55" t="s">
        <v>212</v>
      </c>
      <c r="C530" s="56" t="s">
        <v>793</v>
      </c>
    </row>
    <row r="531" spans="1:3" x14ac:dyDescent="0.2">
      <c r="A531" s="54">
        <v>739</v>
      </c>
      <c r="B531" s="55" t="s">
        <v>211</v>
      </c>
      <c r="C531" s="56" t="s">
        <v>793</v>
      </c>
    </row>
    <row r="532" spans="1:3" x14ac:dyDescent="0.2">
      <c r="A532" s="54">
        <v>740</v>
      </c>
      <c r="B532" s="55" t="s">
        <v>212</v>
      </c>
      <c r="C532" s="56" t="s">
        <v>793</v>
      </c>
    </row>
    <row r="533" spans="1:3" x14ac:dyDescent="0.2">
      <c r="A533" s="54">
        <v>741</v>
      </c>
      <c r="B533" s="55" t="s">
        <v>211</v>
      </c>
      <c r="C533" s="56" t="s">
        <v>793</v>
      </c>
    </row>
    <row r="534" spans="1:3" x14ac:dyDescent="0.2">
      <c r="A534" s="54">
        <v>742</v>
      </c>
      <c r="B534" s="55" t="s">
        <v>212</v>
      </c>
      <c r="C534" s="56" t="s">
        <v>793</v>
      </c>
    </row>
    <row r="535" spans="1:3" x14ac:dyDescent="0.2">
      <c r="A535" s="54">
        <v>743</v>
      </c>
      <c r="B535" s="55" t="s">
        <v>211</v>
      </c>
      <c r="C535" s="56" t="s">
        <v>793</v>
      </c>
    </row>
    <row r="536" spans="1:3" x14ac:dyDescent="0.2">
      <c r="A536" s="54">
        <v>744</v>
      </c>
      <c r="B536" s="55" t="s">
        <v>212</v>
      </c>
      <c r="C536" s="56" t="s">
        <v>793</v>
      </c>
    </row>
    <row r="537" spans="1:3" x14ac:dyDescent="0.2">
      <c r="A537" s="54">
        <v>745</v>
      </c>
      <c r="B537" s="55" t="s">
        <v>211</v>
      </c>
      <c r="C537" s="56" t="s">
        <v>793</v>
      </c>
    </row>
    <row r="538" spans="1:3" x14ac:dyDescent="0.2">
      <c r="A538" s="54">
        <v>746</v>
      </c>
      <c r="B538" s="55" t="s">
        <v>212</v>
      </c>
      <c r="C538" s="56" t="s">
        <v>793</v>
      </c>
    </row>
    <row r="539" spans="1:3" x14ac:dyDescent="0.2">
      <c r="A539" s="54">
        <v>747</v>
      </c>
      <c r="B539" s="55" t="s">
        <v>211</v>
      </c>
      <c r="C539" s="56" t="s">
        <v>793</v>
      </c>
    </row>
    <row r="540" spans="1:3" x14ac:dyDescent="0.2">
      <c r="A540" s="54">
        <v>748</v>
      </c>
      <c r="B540" s="55" t="s">
        <v>211</v>
      </c>
      <c r="C540" s="56" t="s">
        <v>793</v>
      </c>
    </row>
    <row r="541" spans="1:3" x14ac:dyDescent="0.2">
      <c r="A541" s="54">
        <v>749</v>
      </c>
      <c r="B541" s="55" t="s">
        <v>212</v>
      </c>
      <c r="C541" s="56" t="s">
        <v>793</v>
      </c>
    </row>
    <row r="542" spans="1:3" x14ac:dyDescent="0.2">
      <c r="A542" s="54">
        <v>752</v>
      </c>
      <c r="B542" s="55" t="s">
        <v>211</v>
      </c>
      <c r="C542" s="56" t="s">
        <v>793</v>
      </c>
    </row>
    <row r="543" spans="1:3" x14ac:dyDescent="0.2">
      <c r="A543" s="54">
        <v>753</v>
      </c>
      <c r="B543" s="55" t="s">
        <v>213</v>
      </c>
      <c r="C543" s="56" t="s">
        <v>793</v>
      </c>
    </row>
    <row r="544" spans="1:3" x14ac:dyDescent="0.2">
      <c r="A544" s="54">
        <v>754</v>
      </c>
      <c r="B544" s="55" t="s">
        <v>211</v>
      </c>
      <c r="C544" s="56" t="s">
        <v>793</v>
      </c>
    </row>
    <row r="545" spans="1:3" x14ac:dyDescent="0.2">
      <c r="A545" s="54">
        <v>755</v>
      </c>
      <c r="B545" s="55" t="s">
        <v>213</v>
      </c>
      <c r="C545" s="56" t="s">
        <v>793</v>
      </c>
    </row>
    <row r="546" spans="1:3" x14ac:dyDescent="0.2">
      <c r="A546" s="54">
        <v>756</v>
      </c>
      <c r="B546" s="55" t="s">
        <v>211</v>
      </c>
      <c r="C546" s="56" t="s">
        <v>793</v>
      </c>
    </row>
    <row r="547" spans="1:3" x14ac:dyDescent="0.2">
      <c r="A547" s="54">
        <v>757</v>
      </c>
      <c r="B547" s="55" t="s">
        <v>213</v>
      </c>
      <c r="C547" s="56" t="s">
        <v>793</v>
      </c>
    </row>
    <row r="548" spans="1:3" x14ac:dyDescent="0.2">
      <c r="A548" s="54">
        <v>758</v>
      </c>
      <c r="B548" s="55" t="s">
        <v>211</v>
      </c>
      <c r="C548" s="56" t="s">
        <v>793</v>
      </c>
    </row>
    <row r="549" spans="1:3" x14ac:dyDescent="0.2">
      <c r="A549" s="54">
        <v>759</v>
      </c>
      <c r="B549" s="55" t="s">
        <v>213</v>
      </c>
      <c r="C549" s="56" t="s">
        <v>793</v>
      </c>
    </row>
    <row r="550" spans="1:3" x14ac:dyDescent="0.2">
      <c r="A550" s="54">
        <v>760</v>
      </c>
      <c r="B550" s="55" t="s">
        <v>211</v>
      </c>
      <c r="C550" s="56" t="s">
        <v>793</v>
      </c>
    </row>
    <row r="551" spans="1:3" x14ac:dyDescent="0.2">
      <c r="A551" s="54">
        <v>761</v>
      </c>
      <c r="B551" s="55" t="s">
        <v>213</v>
      </c>
      <c r="C551" s="56" t="s">
        <v>793</v>
      </c>
    </row>
    <row r="552" spans="1:3" x14ac:dyDescent="0.2">
      <c r="A552" s="54">
        <v>762</v>
      </c>
      <c r="B552" s="55" t="s">
        <v>211</v>
      </c>
      <c r="C552" s="56" t="s">
        <v>793</v>
      </c>
    </row>
    <row r="553" spans="1:3" x14ac:dyDescent="0.2">
      <c r="A553" s="54">
        <v>763</v>
      </c>
      <c r="B553" s="55" t="s">
        <v>213</v>
      </c>
      <c r="C553" s="56" t="s">
        <v>793</v>
      </c>
    </row>
    <row r="554" spans="1:3" x14ac:dyDescent="0.2">
      <c r="A554" s="54">
        <v>764</v>
      </c>
      <c r="B554" s="55" t="s">
        <v>211</v>
      </c>
      <c r="C554" s="56" t="s">
        <v>793</v>
      </c>
    </row>
    <row r="555" spans="1:3" x14ac:dyDescent="0.2">
      <c r="A555" s="54">
        <v>765</v>
      </c>
      <c r="B555" s="55" t="s">
        <v>213</v>
      </c>
      <c r="C555" s="56" t="s">
        <v>793</v>
      </c>
    </row>
    <row r="556" spans="1:3" x14ac:dyDescent="0.2">
      <c r="A556" s="54">
        <v>766</v>
      </c>
      <c r="B556" s="55" t="s">
        <v>211</v>
      </c>
      <c r="C556" s="56" t="s">
        <v>793</v>
      </c>
    </row>
    <row r="557" spans="1:3" x14ac:dyDescent="0.2">
      <c r="A557" s="54">
        <v>767</v>
      </c>
      <c r="B557" s="55" t="s">
        <v>213</v>
      </c>
      <c r="C557" s="56" t="s">
        <v>793</v>
      </c>
    </row>
    <row r="558" spans="1:3" x14ac:dyDescent="0.2">
      <c r="A558" s="54">
        <v>768</v>
      </c>
      <c r="B558" s="55" t="s">
        <v>211</v>
      </c>
      <c r="C558" s="56" t="s">
        <v>793</v>
      </c>
    </row>
    <row r="559" spans="1:3" x14ac:dyDescent="0.2">
      <c r="A559" s="54">
        <v>769</v>
      </c>
      <c r="B559" s="55" t="s">
        <v>213</v>
      </c>
      <c r="C559" s="56" t="s">
        <v>793</v>
      </c>
    </row>
    <row r="560" spans="1:3" x14ac:dyDescent="0.2">
      <c r="A560" s="54">
        <v>770</v>
      </c>
      <c r="B560" s="55" t="s">
        <v>214</v>
      </c>
      <c r="C560" s="56" t="s">
        <v>793</v>
      </c>
    </row>
    <row r="561" spans="1:3" x14ac:dyDescent="0.2">
      <c r="A561" s="54">
        <v>775</v>
      </c>
      <c r="B561" s="55" t="s">
        <v>215</v>
      </c>
      <c r="C561" s="56" t="s">
        <v>793</v>
      </c>
    </row>
    <row r="562" spans="1:3" x14ac:dyDescent="0.2">
      <c r="A562" s="54">
        <v>776</v>
      </c>
      <c r="B562" s="55" t="s">
        <v>215</v>
      </c>
      <c r="C562" s="56" t="s">
        <v>793</v>
      </c>
    </row>
    <row r="563" spans="1:3" x14ac:dyDescent="0.2">
      <c r="A563" s="54">
        <v>781</v>
      </c>
      <c r="B563" s="55" t="s">
        <v>211</v>
      </c>
      <c r="C563" s="56" t="s">
        <v>786</v>
      </c>
    </row>
    <row r="564" spans="1:3" x14ac:dyDescent="0.2">
      <c r="A564" s="54">
        <v>782</v>
      </c>
      <c r="B564" s="55" t="s">
        <v>211</v>
      </c>
      <c r="C564" s="56" t="s">
        <v>793</v>
      </c>
    </row>
    <row r="565" spans="1:3" x14ac:dyDescent="0.2">
      <c r="A565" s="54">
        <v>783</v>
      </c>
      <c r="B565" s="55" t="s">
        <v>211</v>
      </c>
      <c r="C565" s="56" t="s">
        <v>793</v>
      </c>
    </row>
    <row r="566" spans="1:3" x14ac:dyDescent="0.2">
      <c r="A566" s="54">
        <v>784</v>
      </c>
      <c r="B566" s="55" t="s">
        <v>211</v>
      </c>
      <c r="C566" s="56" t="s">
        <v>793</v>
      </c>
    </row>
    <row r="567" spans="1:3" x14ac:dyDescent="0.2">
      <c r="A567" s="54">
        <v>785</v>
      </c>
      <c r="B567" s="55" t="s">
        <v>211</v>
      </c>
      <c r="C567" s="56" t="s">
        <v>793</v>
      </c>
    </row>
    <row r="568" spans="1:3" x14ac:dyDescent="0.2">
      <c r="A568" s="54">
        <v>786</v>
      </c>
      <c r="B568" s="55" t="s">
        <v>211</v>
      </c>
      <c r="C568" s="56" t="s">
        <v>793</v>
      </c>
    </row>
    <row r="569" spans="1:3" x14ac:dyDescent="0.2">
      <c r="A569" s="54">
        <v>787</v>
      </c>
      <c r="B569" s="55" t="s">
        <v>216</v>
      </c>
      <c r="C569" s="56" t="s">
        <v>793</v>
      </c>
    </row>
    <row r="570" spans="1:3" x14ac:dyDescent="0.2">
      <c r="A570" s="54">
        <v>788</v>
      </c>
      <c r="B570" s="55" t="s">
        <v>217</v>
      </c>
      <c r="C570" s="56" t="s">
        <v>793</v>
      </c>
    </row>
    <row r="571" spans="1:3" x14ac:dyDescent="0.2">
      <c r="A571" s="54">
        <v>789</v>
      </c>
      <c r="B571" s="55" t="s">
        <v>218</v>
      </c>
      <c r="C571" s="56" t="s">
        <v>793</v>
      </c>
    </row>
    <row r="572" spans="1:3" x14ac:dyDescent="0.2">
      <c r="A572" s="54">
        <v>790</v>
      </c>
      <c r="B572" s="55" t="s">
        <v>219</v>
      </c>
      <c r="C572" s="56" t="s">
        <v>793</v>
      </c>
    </row>
    <row r="573" spans="1:3" x14ac:dyDescent="0.2">
      <c r="A573" s="54">
        <v>791</v>
      </c>
      <c r="B573" s="55" t="s">
        <v>220</v>
      </c>
      <c r="C573" s="56" t="s">
        <v>793</v>
      </c>
    </row>
    <row r="574" spans="1:3" x14ac:dyDescent="0.2">
      <c r="A574" s="54">
        <v>792</v>
      </c>
      <c r="B574" s="55" t="s">
        <v>221</v>
      </c>
      <c r="C574" s="56" t="s">
        <v>793</v>
      </c>
    </row>
    <row r="575" spans="1:3" x14ac:dyDescent="0.2">
      <c r="A575" s="54">
        <v>793</v>
      </c>
      <c r="B575" s="55" t="s">
        <v>211</v>
      </c>
      <c r="C575" s="56" t="s">
        <v>793</v>
      </c>
    </row>
    <row r="576" spans="1:3" x14ac:dyDescent="0.2">
      <c r="A576" s="54">
        <v>794</v>
      </c>
      <c r="B576" s="55" t="s">
        <v>212</v>
      </c>
      <c r="C576" s="56" t="s">
        <v>793</v>
      </c>
    </row>
    <row r="577" spans="1:3" x14ac:dyDescent="0.2">
      <c r="A577" s="54">
        <v>801</v>
      </c>
      <c r="B577" s="55" t="s">
        <v>138</v>
      </c>
      <c r="C577" s="56" t="s">
        <v>793</v>
      </c>
    </row>
    <row r="578" spans="1:3" x14ac:dyDescent="0.2">
      <c r="A578" s="54">
        <v>802</v>
      </c>
      <c r="B578" s="55" t="s">
        <v>222</v>
      </c>
      <c r="C578" s="56" t="s">
        <v>793</v>
      </c>
    </row>
    <row r="579" spans="1:3" x14ac:dyDescent="0.2">
      <c r="A579" s="54">
        <v>803</v>
      </c>
      <c r="B579" s="55" t="s">
        <v>223</v>
      </c>
      <c r="C579" s="56" t="s">
        <v>786</v>
      </c>
    </row>
    <row r="580" spans="1:3" x14ac:dyDescent="0.2">
      <c r="A580" s="54">
        <v>804</v>
      </c>
      <c r="B580" s="55" t="s">
        <v>222</v>
      </c>
      <c r="C580" s="56" t="s">
        <v>793</v>
      </c>
    </row>
    <row r="581" spans="1:3" x14ac:dyDescent="0.2">
      <c r="A581" s="54">
        <v>805</v>
      </c>
      <c r="B581" s="55" t="s">
        <v>223</v>
      </c>
      <c r="C581" s="56" t="s">
        <v>786</v>
      </c>
    </row>
    <row r="582" spans="1:3" x14ac:dyDescent="0.2">
      <c r="A582" s="54">
        <v>806</v>
      </c>
      <c r="B582" s="55" t="s">
        <v>222</v>
      </c>
      <c r="C582" s="56" t="s">
        <v>793</v>
      </c>
    </row>
    <row r="583" spans="1:3" x14ac:dyDescent="0.2">
      <c r="A583" s="54">
        <v>807</v>
      </c>
      <c r="B583" s="55" t="s">
        <v>223</v>
      </c>
      <c r="C583" s="56" t="s">
        <v>786</v>
      </c>
    </row>
    <row r="584" spans="1:3" x14ac:dyDescent="0.2">
      <c r="A584" s="54">
        <v>808</v>
      </c>
      <c r="B584" s="55" t="s">
        <v>222</v>
      </c>
      <c r="C584" s="56" t="s">
        <v>793</v>
      </c>
    </row>
    <row r="585" spans="1:3" x14ac:dyDescent="0.2">
      <c r="A585" s="54">
        <v>809</v>
      </c>
      <c r="B585" s="55" t="s">
        <v>223</v>
      </c>
      <c r="C585" s="56" t="s">
        <v>786</v>
      </c>
    </row>
    <row r="586" spans="1:3" x14ac:dyDescent="0.2">
      <c r="A586" s="54">
        <v>810</v>
      </c>
      <c r="B586" s="55" t="s">
        <v>222</v>
      </c>
      <c r="C586" s="56" t="s">
        <v>793</v>
      </c>
    </row>
    <row r="587" spans="1:3" x14ac:dyDescent="0.2">
      <c r="A587" s="54">
        <v>811</v>
      </c>
      <c r="B587" s="55" t="s">
        <v>223</v>
      </c>
      <c r="C587" s="56" t="s">
        <v>786</v>
      </c>
    </row>
    <row r="588" spans="1:3" x14ac:dyDescent="0.2">
      <c r="A588" s="54">
        <v>812</v>
      </c>
      <c r="B588" s="55" t="s">
        <v>222</v>
      </c>
      <c r="C588" s="56" t="s">
        <v>793</v>
      </c>
    </row>
    <row r="589" spans="1:3" x14ac:dyDescent="0.2">
      <c r="A589" s="54">
        <v>813</v>
      </c>
      <c r="B589" s="55" t="s">
        <v>223</v>
      </c>
      <c r="C589" s="56" t="s">
        <v>786</v>
      </c>
    </row>
    <row r="590" spans="1:3" x14ac:dyDescent="0.2">
      <c r="A590" s="54">
        <v>814</v>
      </c>
      <c r="B590" s="55" t="s">
        <v>222</v>
      </c>
      <c r="C590" s="56" t="s">
        <v>793</v>
      </c>
    </row>
    <row r="591" spans="1:3" x14ac:dyDescent="0.2">
      <c r="A591" s="54">
        <v>815</v>
      </c>
      <c r="B591" s="55" t="s">
        <v>223</v>
      </c>
      <c r="C591" s="56" t="s">
        <v>786</v>
      </c>
    </row>
    <row r="592" spans="1:3" x14ac:dyDescent="0.2">
      <c r="A592" s="54">
        <v>816</v>
      </c>
      <c r="B592" s="55" t="s">
        <v>222</v>
      </c>
      <c r="C592" s="56" t="s">
        <v>793</v>
      </c>
    </row>
    <row r="593" spans="1:3" x14ac:dyDescent="0.2">
      <c r="A593" s="54">
        <v>817</v>
      </c>
      <c r="B593" s="55" t="s">
        <v>223</v>
      </c>
      <c r="C593" s="56" t="s">
        <v>786</v>
      </c>
    </row>
    <row r="594" spans="1:3" x14ac:dyDescent="0.2">
      <c r="A594" s="54">
        <v>818</v>
      </c>
      <c r="B594" s="55" t="s">
        <v>222</v>
      </c>
      <c r="C594" s="56" t="s">
        <v>793</v>
      </c>
    </row>
    <row r="595" spans="1:3" x14ac:dyDescent="0.2">
      <c r="A595" s="54">
        <v>819</v>
      </c>
      <c r="B595" s="55" t="s">
        <v>223</v>
      </c>
      <c r="C595" s="56" t="s">
        <v>786</v>
      </c>
    </row>
    <row r="596" spans="1:3" x14ac:dyDescent="0.2">
      <c r="A596" s="54">
        <v>820</v>
      </c>
      <c r="B596" s="55" t="s">
        <v>222</v>
      </c>
      <c r="C596" s="56" t="s">
        <v>793</v>
      </c>
    </row>
    <row r="597" spans="1:3" x14ac:dyDescent="0.2">
      <c r="A597" s="54">
        <v>821</v>
      </c>
      <c r="B597" s="55" t="s">
        <v>223</v>
      </c>
      <c r="C597" s="56" t="s">
        <v>786</v>
      </c>
    </row>
    <row r="598" spans="1:3" x14ac:dyDescent="0.2">
      <c r="A598" s="54">
        <v>822</v>
      </c>
      <c r="B598" s="55" t="s">
        <v>222</v>
      </c>
      <c r="C598" s="56" t="s">
        <v>793</v>
      </c>
    </row>
    <row r="599" spans="1:3" x14ac:dyDescent="0.2">
      <c r="A599" s="54">
        <v>823</v>
      </c>
      <c r="B599" s="55" t="s">
        <v>223</v>
      </c>
      <c r="C599" s="56" t="s">
        <v>786</v>
      </c>
    </row>
    <row r="600" spans="1:3" x14ac:dyDescent="0.2">
      <c r="A600" s="54">
        <v>824</v>
      </c>
      <c r="B600" s="55" t="s">
        <v>222</v>
      </c>
      <c r="C600" s="56" t="s">
        <v>793</v>
      </c>
    </row>
    <row r="601" spans="1:3" x14ac:dyDescent="0.2">
      <c r="A601" s="54">
        <v>825</v>
      </c>
      <c r="B601" s="55" t="s">
        <v>223</v>
      </c>
      <c r="C601" s="56" t="s">
        <v>786</v>
      </c>
    </row>
    <row r="602" spans="1:3" x14ac:dyDescent="0.2">
      <c r="A602" s="54">
        <v>826</v>
      </c>
      <c r="B602" s="55" t="s">
        <v>222</v>
      </c>
      <c r="C602" s="56" t="s">
        <v>793</v>
      </c>
    </row>
    <row r="603" spans="1:3" x14ac:dyDescent="0.2">
      <c r="A603" s="54">
        <v>827</v>
      </c>
      <c r="B603" s="55" t="s">
        <v>223</v>
      </c>
      <c r="C603" s="56" t="s">
        <v>786</v>
      </c>
    </row>
    <row r="604" spans="1:3" x14ac:dyDescent="0.2">
      <c r="A604" s="54">
        <v>828</v>
      </c>
      <c r="B604" s="55" t="s">
        <v>222</v>
      </c>
      <c r="C604" s="56" t="s">
        <v>793</v>
      </c>
    </row>
    <row r="605" spans="1:3" x14ac:dyDescent="0.2">
      <c r="A605" s="54">
        <v>829</v>
      </c>
      <c r="B605" s="55" t="s">
        <v>223</v>
      </c>
      <c r="C605" s="56" t="s">
        <v>786</v>
      </c>
    </row>
    <row r="606" spans="1:3" x14ac:dyDescent="0.2">
      <c r="A606" s="54">
        <v>830</v>
      </c>
      <c r="B606" s="55" t="s">
        <v>222</v>
      </c>
      <c r="C606" s="56" t="s">
        <v>793</v>
      </c>
    </row>
    <row r="607" spans="1:3" x14ac:dyDescent="0.2">
      <c r="A607" s="54">
        <v>831</v>
      </c>
      <c r="B607" s="55" t="s">
        <v>223</v>
      </c>
      <c r="C607" s="56" t="s">
        <v>786</v>
      </c>
    </row>
    <row r="608" spans="1:3" x14ac:dyDescent="0.2">
      <c r="A608" s="54">
        <v>832</v>
      </c>
      <c r="B608" s="55" t="s">
        <v>222</v>
      </c>
      <c r="C608" s="56" t="s">
        <v>793</v>
      </c>
    </row>
    <row r="609" spans="1:3" x14ac:dyDescent="0.2">
      <c r="A609" s="54">
        <v>833</v>
      </c>
      <c r="B609" s="55" t="s">
        <v>223</v>
      </c>
      <c r="C609" s="56" t="s">
        <v>786</v>
      </c>
    </row>
    <row r="610" spans="1:3" x14ac:dyDescent="0.2">
      <c r="A610" s="54">
        <v>834</v>
      </c>
      <c r="B610" s="55" t="s">
        <v>222</v>
      </c>
      <c r="C610" s="56" t="s">
        <v>793</v>
      </c>
    </row>
    <row r="611" spans="1:3" x14ac:dyDescent="0.2">
      <c r="A611" s="54">
        <v>835</v>
      </c>
      <c r="B611" s="55" t="s">
        <v>223</v>
      </c>
      <c r="C611" s="56" t="s">
        <v>786</v>
      </c>
    </row>
    <row r="612" spans="1:3" x14ac:dyDescent="0.2">
      <c r="A612" s="54">
        <v>836</v>
      </c>
      <c r="B612" s="55" t="s">
        <v>222</v>
      </c>
      <c r="C612" s="56" t="s">
        <v>793</v>
      </c>
    </row>
    <row r="613" spans="1:3" x14ac:dyDescent="0.2">
      <c r="A613" s="54">
        <v>837</v>
      </c>
      <c r="B613" s="55" t="s">
        <v>223</v>
      </c>
      <c r="C613" s="56" t="s">
        <v>786</v>
      </c>
    </row>
    <row r="614" spans="1:3" x14ac:dyDescent="0.2">
      <c r="A614" s="54">
        <v>838</v>
      </c>
      <c r="B614" s="55" t="s">
        <v>222</v>
      </c>
      <c r="C614" s="56" t="s">
        <v>793</v>
      </c>
    </row>
    <row r="615" spans="1:3" x14ac:dyDescent="0.2">
      <c r="A615" s="54">
        <v>839</v>
      </c>
      <c r="B615" s="55" t="s">
        <v>223</v>
      </c>
      <c r="C615" s="56" t="s">
        <v>786</v>
      </c>
    </row>
    <row r="616" spans="1:3" x14ac:dyDescent="0.2">
      <c r="A616" s="54">
        <v>840</v>
      </c>
      <c r="B616" s="55" t="s">
        <v>222</v>
      </c>
      <c r="C616" s="56" t="s">
        <v>793</v>
      </c>
    </row>
    <row r="617" spans="1:3" x14ac:dyDescent="0.2">
      <c r="A617" s="54">
        <v>841</v>
      </c>
      <c r="B617" s="55" t="s">
        <v>223</v>
      </c>
      <c r="C617" s="56" t="s">
        <v>786</v>
      </c>
    </row>
    <row r="618" spans="1:3" x14ac:dyDescent="0.2">
      <c r="A618" s="54">
        <v>842</v>
      </c>
      <c r="B618" s="55" t="s">
        <v>222</v>
      </c>
      <c r="C618" s="56" t="s">
        <v>793</v>
      </c>
    </row>
    <row r="619" spans="1:3" x14ac:dyDescent="0.2">
      <c r="A619" s="54">
        <v>843</v>
      </c>
      <c r="B619" s="55" t="s">
        <v>223</v>
      </c>
      <c r="C619" s="56" t="s">
        <v>786</v>
      </c>
    </row>
    <row r="620" spans="1:3" x14ac:dyDescent="0.2">
      <c r="A620" s="54">
        <v>844</v>
      </c>
      <c r="B620" s="55" t="s">
        <v>222</v>
      </c>
      <c r="C620" s="56" t="s">
        <v>793</v>
      </c>
    </row>
    <row r="621" spans="1:3" x14ac:dyDescent="0.2">
      <c r="A621" s="54">
        <v>845</v>
      </c>
      <c r="B621" s="55" t="s">
        <v>223</v>
      </c>
      <c r="C621" s="56" t="s">
        <v>786</v>
      </c>
    </row>
    <row r="622" spans="1:3" x14ac:dyDescent="0.2">
      <c r="A622" s="54">
        <v>846</v>
      </c>
      <c r="B622" s="55" t="s">
        <v>222</v>
      </c>
      <c r="C622" s="56" t="s">
        <v>793</v>
      </c>
    </row>
    <row r="623" spans="1:3" x14ac:dyDescent="0.2">
      <c r="A623" s="54">
        <v>847</v>
      </c>
      <c r="B623" s="55" t="s">
        <v>223</v>
      </c>
      <c r="C623" s="56" t="s">
        <v>786</v>
      </c>
    </row>
    <row r="624" spans="1:3" x14ac:dyDescent="0.2">
      <c r="A624" s="54">
        <v>848</v>
      </c>
      <c r="B624" s="55" t="s">
        <v>222</v>
      </c>
      <c r="C624" s="56" t="s">
        <v>793</v>
      </c>
    </row>
    <row r="625" spans="1:3" x14ac:dyDescent="0.2">
      <c r="A625" s="54">
        <v>849</v>
      </c>
      <c r="B625" s="55" t="s">
        <v>223</v>
      </c>
      <c r="C625" s="56" t="s">
        <v>786</v>
      </c>
    </row>
    <row r="626" spans="1:3" x14ac:dyDescent="0.2">
      <c r="A626" s="54">
        <v>850</v>
      </c>
      <c r="B626" s="55" t="s">
        <v>223</v>
      </c>
      <c r="C626" s="56" t="s">
        <v>786</v>
      </c>
    </row>
    <row r="627" spans="1:3" x14ac:dyDescent="0.2">
      <c r="A627" s="54">
        <v>851</v>
      </c>
      <c r="B627" s="55" t="s">
        <v>223</v>
      </c>
      <c r="C627" s="56" t="s">
        <v>786</v>
      </c>
    </row>
    <row r="628" spans="1:3" x14ac:dyDescent="0.2">
      <c r="A628" s="54">
        <v>852</v>
      </c>
      <c r="B628" s="55" t="s">
        <v>222</v>
      </c>
      <c r="C628" s="56" t="s">
        <v>793</v>
      </c>
    </row>
    <row r="629" spans="1:3" x14ac:dyDescent="0.2">
      <c r="A629" s="54">
        <v>853</v>
      </c>
      <c r="B629" s="55" t="s">
        <v>222</v>
      </c>
      <c r="C629" s="56" t="s">
        <v>793</v>
      </c>
    </row>
    <row r="630" spans="1:3" x14ac:dyDescent="0.2">
      <c r="A630" s="54">
        <v>854</v>
      </c>
      <c r="B630" s="55" t="s">
        <v>222</v>
      </c>
      <c r="C630" s="56" t="s">
        <v>793</v>
      </c>
    </row>
    <row r="631" spans="1:3" x14ac:dyDescent="0.2">
      <c r="A631" s="54">
        <v>855</v>
      </c>
      <c r="B631" s="55" t="s">
        <v>222</v>
      </c>
      <c r="C631" s="56" t="s">
        <v>793</v>
      </c>
    </row>
    <row r="632" spans="1:3" x14ac:dyDescent="0.2">
      <c r="A632" s="54">
        <v>856</v>
      </c>
      <c r="B632" s="55" t="s">
        <v>222</v>
      </c>
      <c r="C632" s="56" t="s">
        <v>793</v>
      </c>
    </row>
    <row r="633" spans="1:3" x14ac:dyDescent="0.2">
      <c r="A633" s="54">
        <v>857</v>
      </c>
      <c r="B633" s="55" t="s">
        <v>222</v>
      </c>
      <c r="C633" s="56" t="s">
        <v>793</v>
      </c>
    </row>
    <row r="634" spans="1:3" x14ac:dyDescent="0.2">
      <c r="A634" s="54">
        <v>858</v>
      </c>
      <c r="B634" s="55" t="s">
        <v>222</v>
      </c>
      <c r="C634" s="56" t="s">
        <v>793</v>
      </c>
    </row>
    <row r="635" spans="1:3" x14ac:dyDescent="0.2">
      <c r="A635" s="54">
        <v>859</v>
      </c>
      <c r="B635" s="55" t="s">
        <v>222</v>
      </c>
      <c r="C635" s="56" t="s">
        <v>793</v>
      </c>
    </row>
    <row r="636" spans="1:3" x14ac:dyDescent="0.2">
      <c r="A636" s="54">
        <v>860</v>
      </c>
      <c r="B636" s="55" t="s">
        <v>222</v>
      </c>
      <c r="C636" s="56" t="s">
        <v>793</v>
      </c>
    </row>
    <row r="637" spans="1:3" x14ac:dyDescent="0.2">
      <c r="A637" s="54">
        <v>861</v>
      </c>
      <c r="B637" s="55" t="s">
        <v>222</v>
      </c>
      <c r="C637" s="56" t="s">
        <v>793</v>
      </c>
    </row>
    <row r="638" spans="1:3" x14ac:dyDescent="0.2">
      <c r="A638" s="54">
        <v>862</v>
      </c>
      <c r="B638" s="55" t="s">
        <v>222</v>
      </c>
      <c r="C638" s="56" t="s">
        <v>793</v>
      </c>
    </row>
    <row r="639" spans="1:3" x14ac:dyDescent="0.2">
      <c r="A639" s="54">
        <v>863</v>
      </c>
      <c r="B639" s="55" t="s">
        <v>222</v>
      </c>
      <c r="C639" s="56" t="s">
        <v>793</v>
      </c>
    </row>
    <row r="640" spans="1:3" x14ac:dyDescent="0.2">
      <c r="A640" s="54">
        <v>864</v>
      </c>
      <c r="B640" s="55" t="s">
        <v>222</v>
      </c>
      <c r="C640" s="56" t="s">
        <v>793</v>
      </c>
    </row>
    <row r="641" spans="1:3" x14ac:dyDescent="0.2">
      <c r="A641" s="54">
        <v>865</v>
      </c>
      <c r="B641" s="55" t="s">
        <v>222</v>
      </c>
      <c r="C641" s="56" t="s">
        <v>793</v>
      </c>
    </row>
    <row r="642" spans="1:3" x14ac:dyDescent="0.2">
      <c r="A642" s="54">
        <v>866</v>
      </c>
      <c r="B642" s="55" t="s">
        <v>223</v>
      </c>
      <c r="C642" s="56" t="s">
        <v>786</v>
      </c>
    </row>
    <row r="643" spans="1:3" x14ac:dyDescent="0.2">
      <c r="A643" s="54">
        <v>867</v>
      </c>
      <c r="B643" s="55" t="s">
        <v>222</v>
      </c>
      <c r="C643" s="56" t="s">
        <v>793</v>
      </c>
    </row>
    <row r="644" spans="1:3" x14ac:dyDescent="0.2">
      <c r="A644" s="54">
        <v>868</v>
      </c>
      <c r="B644" s="55" t="s">
        <v>223</v>
      </c>
      <c r="C644" s="56" t="s">
        <v>786</v>
      </c>
    </row>
    <row r="645" spans="1:3" x14ac:dyDescent="0.2">
      <c r="A645" s="54">
        <v>869</v>
      </c>
      <c r="B645" s="55" t="s">
        <v>222</v>
      </c>
      <c r="C645" s="56" t="s">
        <v>793</v>
      </c>
    </row>
    <row r="646" spans="1:3" x14ac:dyDescent="0.2">
      <c r="A646" s="54">
        <v>870</v>
      </c>
      <c r="B646" s="55" t="s">
        <v>223</v>
      </c>
      <c r="C646" s="56" t="s">
        <v>786</v>
      </c>
    </row>
    <row r="647" spans="1:3" x14ac:dyDescent="0.2">
      <c r="A647" s="54">
        <v>871</v>
      </c>
      <c r="B647" s="55" t="s">
        <v>222</v>
      </c>
      <c r="C647" s="56" t="s">
        <v>793</v>
      </c>
    </row>
    <row r="648" spans="1:3" x14ac:dyDescent="0.2">
      <c r="A648" s="54">
        <v>872</v>
      </c>
      <c r="B648" s="55" t="s">
        <v>223</v>
      </c>
      <c r="C648" s="56" t="s">
        <v>786</v>
      </c>
    </row>
    <row r="649" spans="1:3" x14ac:dyDescent="0.2">
      <c r="A649" s="54">
        <v>873</v>
      </c>
      <c r="B649" s="55" t="s">
        <v>222</v>
      </c>
      <c r="C649" s="56" t="s">
        <v>793</v>
      </c>
    </row>
    <row r="650" spans="1:3" x14ac:dyDescent="0.2">
      <c r="A650" s="54">
        <v>874</v>
      </c>
      <c r="B650" s="55" t="s">
        <v>223</v>
      </c>
      <c r="C650" s="56" t="s">
        <v>786</v>
      </c>
    </row>
    <row r="651" spans="1:3" x14ac:dyDescent="0.2">
      <c r="A651" s="54">
        <v>875</v>
      </c>
      <c r="B651" s="55" t="s">
        <v>222</v>
      </c>
      <c r="C651" s="56" t="s">
        <v>793</v>
      </c>
    </row>
    <row r="652" spans="1:3" x14ac:dyDescent="0.2">
      <c r="A652" s="54">
        <v>876</v>
      </c>
      <c r="B652" s="55" t="s">
        <v>223</v>
      </c>
      <c r="C652" s="56" t="s">
        <v>786</v>
      </c>
    </row>
    <row r="653" spans="1:3" x14ac:dyDescent="0.2">
      <c r="A653" s="54">
        <v>877</v>
      </c>
      <c r="B653" s="55" t="s">
        <v>222</v>
      </c>
      <c r="C653" s="56" t="s">
        <v>793</v>
      </c>
    </row>
    <row r="654" spans="1:3" x14ac:dyDescent="0.2">
      <c r="A654" s="54">
        <v>878</v>
      </c>
      <c r="B654" s="55" t="s">
        <v>223</v>
      </c>
      <c r="C654" s="56" t="s">
        <v>786</v>
      </c>
    </row>
    <row r="655" spans="1:3" x14ac:dyDescent="0.2">
      <c r="A655" s="54">
        <v>879</v>
      </c>
      <c r="B655" s="55" t="s">
        <v>222</v>
      </c>
      <c r="C655" s="56" t="s">
        <v>793</v>
      </c>
    </row>
    <row r="656" spans="1:3" x14ac:dyDescent="0.2">
      <c r="A656" s="54">
        <v>880</v>
      </c>
      <c r="B656" s="55" t="s">
        <v>223</v>
      </c>
      <c r="C656" s="56" t="s">
        <v>786</v>
      </c>
    </row>
    <row r="657" spans="1:3" x14ac:dyDescent="0.2">
      <c r="A657" s="54">
        <v>881</v>
      </c>
      <c r="B657" s="55" t="s">
        <v>222</v>
      </c>
      <c r="C657" s="56" t="s">
        <v>793</v>
      </c>
    </row>
    <row r="658" spans="1:3" x14ac:dyDescent="0.2">
      <c r="A658" s="54">
        <v>882</v>
      </c>
      <c r="B658" s="55" t="s">
        <v>223</v>
      </c>
      <c r="C658" s="56" t="s">
        <v>786</v>
      </c>
    </row>
    <row r="659" spans="1:3" x14ac:dyDescent="0.2">
      <c r="A659" s="54">
        <v>883</v>
      </c>
      <c r="B659" s="55" t="s">
        <v>222</v>
      </c>
      <c r="C659" s="56" t="s">
        <v>793</v>
      </c>
    </row>
    <row r="660" spans="1:3" x14ac:dyDescent="0.2">
      <c r="A660" s="54">
        <v>884</v>
      </c>
      <c r="B660" s="55" t="s">
        <v>223</v>
      </c>
      <c r="C660" s="56" t="s">
        <v>786</v>
      </c>
    </row>
    <row r="661" spans="1:3" x14ac:dyDescent="0.2">
      <c r="A661" s="54">
        <v>885</v>
      </c>
      <c r="B661" s="55" t="s">
        <v>222</v>
      </c>
      <c r="C661" s="56" t="s">
        <v>793</v>
      </c>
    </row>
    <row r="662" spans="1:3" x14ac:dyDescent="0.2">
      <c r="A662" s="54">
        <v>886</v>
      </c>
      <c r="B662" s="55" t="s">
        <v>223</v>
      </c>
      <c r="C662" s="56" t="s">
        <v>786</v>
      </c>
    </row>
    <row r="663" spans="1:3" x14ac:dyDescent="0.2">
      <c r="A663" s="54">
        <v>887</v>
      </c>
      <c r="B663" s="55" t="s">
        <v>222</v>
      </c>
      <c r="C663" s="56" t="s">
        <v>793</v>
      </c>
    </row>
    <row r="664" spans="1:3" x14ac:dyDescent="0.2">
      <c r="A664" s="54">
        <v>888</v>
      </c>
      <c r="B664" s="55" t="s">
        <v>223</v>
      </c>
      <c r="C664" s="56" t="s">
        <v>786</v>
      </c>
    </row>
    <row r="665" spans="1:3" x14ac:dyDescent="0.2">
      <c r="A665" s="54">
        <v>889</v>
      </c>
      <c r="B665" s="55" t="s">
        <v>222</v>
      </c>
      <c r="C665" s="56" t="s">
        <v>793</v>
      </c>
    </row>
    <row r="666" spans="1:3" x14ac:dyDescent="0.2">
      <c r="A666" s="54">
        <v>890</v>
      </c>
      <c r="B666" s="55" t="s">
        <v>223</v>
      </c>
      <c r="C666" s="56" t="s">
        <v>786</v>
      </c>
    </row>
    <row r="667" spans="1:3" x14ac:dyDescent="0.2">
      <c r="A667" s="54">
        <v>891</v>
      </c>
      <c r="B667" s="55" t="s">
        <v>223</v>
      </c>
      <c r="C667" s="56" t="s">
        <v>786</v>
      </c>
    </row>
    <row r="668" spans="1:3" x14ac:dyDescent="0.2">
      <c r="A668" s="54">
        <v>892</v>
      </c>
      <c r="B668" s="55" t="s">
        <v>223</v>
      </c>
      <c r="C668" s="56" t="s">
        <v>786</v>
      </c>
    </row>
    <row r="669" spans="1:3" x14ac:dyDescent="0.2">
      <c r="A669" s="54">
        <v>893</v>
      </c>
      <c r="B669" s="55" t="s">
        <v>223</v>
      </c>
      <c r="C669" s="56" t="s">
        <v>786</v>
      </c>
    </row>
    <row r="670" spans="1:3" x14ac:dyDescent="0.2">
      <c r="A670" s="54">
        <v>894</v>
      </c>
      <c r="B670" s="55" t="s">
        <v>180</v>
      </c>
      <c r="C670" s="56" t="s">
        <v>786</v>
      </c>
    </row>
    <row r="671" spans="1:3" x14ac:dyDescent="0.2">
      <c r="A671" s="54">
        <v>895</v>
      </c>
      <c r="B671" s="55" t="s">
        <v>180</v>
      </c>
      <c r="C671" s="56" t="s">
        <v>786</v>
      </c>
    </row>
    <row r="672" spans="1:3" x14ac:dyDescent="0.2">
      <c r="A672" s="54">
        <v>896</v>
      </c>
      <c r="B672" s="55" t="s">
        <v>180</v>
      </c>
      <c r="C672" s="56" t="s">
        <v>786</v>
      </c>
    </row>
    <row r="673" spans="1:3" x14ac:dyDescent="0.2">
      <c r="A673" s="54">
        <v>897</v>
      </c>
      <c r="B673" s="55" t="s">
        <v>223</v>
      </c>
      <c r="C673" s="56" t="s">
        <v>786</v>
      </c>
    </row>
    <row r="674" spans="1:3" x14ac:dyDescent="0.2">
      <c r="A674" s="54">
        <v>898</v>
      </c>
      <c r="B674" s="55" t="s">
        <v>223</v>
      </c>
      <c r="C674" s="56" t="s">
        <v>786</v>
      </c>
    </row>
    <row r="675" spans="1:3" x14ac:dyDescent="0.2">
      <c r="A675" s="54">
        <v>899</v>
      </c>
      <c r="B675" s="55" t="s">
        <v>224</v>
      </c>
      <c r="C675" s="56" t="s">
        <v>786</v>
      </c>
    </row>
    <row r="676" spans="1:3" x14ac:dyDescent="0.2">
      <c r="A676" s="54">
        <v>900</v>
      </c>
      <c r="B676" s="55" t="s">
        <v>224</v>
      </c>
      <c r="C676" s="56" t="s">
        <v>786</v>
      </c>
    </row>
    <row r="677" spans="1:3" x14ac:dyDescent="0.2">
      <c r="A677" s="54">
        <v>901</v>
      </c>
      <c r="B677" s="55" t="s">
        <v>224</v>
      </c>
      <c r="C677" s="56" t="s">
        <v>786</v>
      </c>
    </row>
    <row r="678" spans="1:3" x14ac:dyDescent="0.2">
      <c r="A678" s="54">
        <v>902</v>
      </c>
      <c r="B678" s="55" t="s">
        <v>224</v>
      </c>
      <c r="C678" s="56" t="s">
        <v>786</v>
      </c>
    </row>
    <row r="679" spans="1:3" x14ac:dyDescent="0.2">
      <c r="A679" s="54">
        <v>903</v>
      </c>
      <c r="B679" s="55" t="s">
        <v>224</v>
      </c>
      <c r="C679" s="56" t="s">
        <v>786</v>
      </c>
    </row>
    <row r="680" spans="1:3" x14ac:dyDescent="0.2">
      <c r="A680" s="54">
        <v>904</v>
      </c>
      <c r="B680" s="55" t="s">
        <v>225</v>
      </c>
      <c r="C680" s="56" t="s">
        <v>786</v>
      </c>
    </row>
    <row r="681" spans="1:3" x14ac:dyDescent="0.2">
      <c r="A681" s="54">
        <v>905</v>
      </c>
      <c r="B681" s="55" t="s">
        <v>225</v>
      </c>
      <c r="C681" s="56" t="s">
        <v>786</v>
      </c>
    </row>
    <row r="682" spans="1:3" x14ac:dyDescent="0.2">
      <c r="A682" s="54">
        <v>906</v>
      </c>
      <c r="B682" s="55" t="s">
        <v>225</v>
      </c>
      <c r="C682" s="56" t="s">
        <v>786</v>
      </c>
    </row>
    <row r="683" spans="1:3" x14ac:dyDescent="0.2">
      <c r="A683" s="54">
        <v>907</v>
      </c>
      <c r="B683" s="55" t="s">
        <v>226</v>
      </c>
      <c r="C683" s="56" t="s">
        <v>786</v>
      </c>
    </row>
    <row r="684" spans="1:3" x14ac:dyDescent="0.2">
      <c r="A684" s="54">
        <v>908</v>
      </c>
      <c r="B684" s="55" t="s">
        <v>226</v>
      </c>
      <c r="C684" s="56" t="s">
        <v>786</v>
      </c>
    </row>
    <row r="685" spans="1:3" x14ac:dyDescent="0.2">
      <c r="A685" s="54">
        <v>909</v>
      </c>
      <c r="B685" s="55" t="s">
        <v>226</v>
      </c>
      <c r="C685" s="56" t="s">
        <v>786</v>
      </c>
    </row>
    <row r="686" spans="1:3" x14ac:dyDescent="0.2">
      <c r="A686" s="54">
        <v>910</v>
      </c>
      <c r="B686" s="55" t="s">
        <v>226</v>
      </c>
      <c r="C686" s="56" t="s">
        <v>786</v>
      </c>
    </row>
    <row r="687" spans="1:3" x14ac:dyDescent="0.2">
      <c r="A687" s="54">
        <v>911</v>
      </c>
      <c r="B687" s="55" t="s">
        <v>226</v>
      </c>
      <c r="C687" s="56" t="s">
        <v>786</v>
      </c>
    </row>
    <row r="688" spans="1:3" x14ac:dyDescent="0.2">
      <c r="A688" s="54">
        <v>912</v>
      </c>
      <c r="B688" s="55" t="s">
        <v>226</v>
      </c>
      <c r="C688" s="56" t="s">
        <v>786</v>
      </c>
    </row>
    <row r="689" spans="1:3" x14ac:dyDescent="0.2">
      <c r="A689" s="54">
        <v>913</v>
      </c>
      <c r="B689" s="55" t="s">
        <v>226</v>
      </c>
      <c r="C689" s="56" t="s">
        <v>786</v>
      </c>
    </row>
    <row r="690" spans="1:3" x14ac:dyDescent="0.2">
      <c r="A690" s="54">
        <v>914</v>
      </c>
      <c r="B690" s="55" t="s">
        <v>227</v>
      </c>
      <c r="C690" s="56" t="s">
        <v>793</v>
      </c>
    </row>
    <row r="691" spans="1:3" x14ac:dyDescent="0.2">
      <c r="A691" s="54">
        <v>915</v>
      </c>
      <c r="B691" s="55" t="s">
        <v>180</v>
      </c>
      <c r="C691" s="56" t="s">
        <v>793</v>
      </c>
    </row>
    <row r="692" spans="1:3" x14ac:dyDescent="0.2">
      <c r="A692" s="54">
        <v>916</v>
      </c>
      <c r="B692" s="55" t="s">
        <v>180</v>
      </c>
      <c r="C692" s="56" t="s">
        <v>793</v>
      </c>
    </row>
    <row r="693" spans="1:3" x14ac:dyDescent="0.2">
      <c r="A693" s="54">
        <v>917</v>
      </c>
      <c r="B693" s="55" t="s">
        <v>180</v>
      </c>
      <c r="C693" s="56" t="s">
        <v>793</v>
      </c>
    </row>
    <row r="694" spans="1:3" x14ac:dyDescent="0.2">
      <c r="A694" s="54">
        <v>918</v>
      </c>
      <c r="B694" s="55" t="s">
        <v>115</v>
      </c>
      <c r="C694" s="56" t="s">
        <v>793</v>
      </c>
    </row>
    <row r="695" spans="1:3" x14ac:dyDescent="0.2">
      <c r="A695" s="54">
        <v>919</v>
      </c>
      <c r="B695" s="55" t="s">
        <v>228</v>
      </c>
      <c r="C695" s="56" t="s">
        <v>793</v>
      </c>
    </row>
    <row r="696" spans="1:3" x14ac:dyDescent="0.2">
      <c r="A696" s="54">
        <v>920</v>
      </c>
      <c r="B696" s="55" t="s">
        <v>228</v>
      </c>
      <c r="C696" s="56" t="s">
        <v>793</v>
      </c>
    </row>
    <row r="697" spans="1:3" x14ac:dyDescent="0.2">
      <c r="A697" s="54">
        <v>922</v>
      </c>
      <c r="B697" s="55" t="s">
        <v>138</v>
      </c>
      <c r="C697" s="56" t="s">
        <v>793</v>
      </c>
    </row>
    <row r="698" spans="1:3" x14ac:dyDescent="0.2">
      <c r="A698" s="54">
        <v>923</v>
      </c>
      <c r="B698" s="55" t="s">
        <v>138</v>
      </c>
      <c r="C698" s="56" t="s">
        <v>793</v>
      </c>
    </row>
    <row r="699" spans="1:3" x14ac:dyDescent="0.2">
      <c r="A699" s="54">
        <v>924</v>
      </c>
      <c r="B699" s="55" t="s">
        <v>138</v>
      </c>
      <c r="C699" s="56" t="s">
        <v>793</v>
      </c>
    </row>
    <row r="700" spans="1:3" x14ac:dyDescent="0.2">
      <c r="A700" s="54">
        <v>925</v>
      </c>
      <c r="B700" s="55" t="s">
        <v>229</v>
      </c>
      <c r="C700" s="56" t="s">
        <v>168</v>
      </c>
    </row>
    <row r="701" spans="1:3" x14ac:dyDescent="0.2">
      <c r="A701" s="54">
        <v>926</v>
      </c>
      <c r="B701" s="55" t="s">
        <v>169</v>
      </c>
      <c r="C701" s="56" t="s">
        <v>168</v>
      </c>
    </row>
    <row r="702" spans="1:3" x14ac:dyDescent="0.2">
      <c r="A702" s="54">
        <v>927</v>
      </c>
      <c r="B702" s="55" t="s">
        <v>171</v>
      </c>
      <c r="C702" s="56" t="s">
        <v>168</v>
      </c>
    </row>
    <row r="703" spans="1:3" x14ac:dyDescent="0.2">
      <c r="A703" s="54">
        <v>928</v>
      </c>
      <c r="B703" s="55" t="s">
        <v>170</v>
      </c>
      <c r="C703" s="56" t="s">
        <v>168</v>
      </c>
    </row>
    <row r="704" spans="1:3" x14ac:dyDescent="0.2">
      <c r="A704" s="54">
        <v>929</v>
      </c>
      <c r="B704" s="55" t="s">
        <v>224</v>
      </c>
      <c r="C704" s="56" t="s">
        <v>786</v>
      </c>
    </row>
    <row r="705" spans="1:3" x14ac:dyDescent="0.2">
      <c r="A705" s="54">
        <v>930</v>
      </c>
      <c r="B705" s="55" t="s">
        <v>224</v>
      </c>
      <c r="C705" s="56" t="s">
        <v>786</v>
      </c>
    </row>
    <row r="706" spans="1:3" x14ac:dyDescent="0.2">
      <c r="A706" s="54">
        <v>931</v>
      </c>
      <c r="B706" s="55" t="s">
        <v>224</v>
      </c>
      <c r="C706" s="56" t="s">
        <v>786</v>
      </c>
    </row>
    <row r="707" spans="1:3" x14ac:dyDescent="0.2">
      <c r="A707" s="54">
        <v>932</v>
      </c>
      <c r="B707" s="55" t="s">
        <v>230</v>
      </c>
      <c r="C707" s="56" t="s">
        <v>793</v>
      </c>
    </row>
    <row r="708" spans="1:3" x14ac:dyDescent="0.2">
      <c r="A708" s="54">
        <v>933</v>
      </c>
      <c r="B708" s="55" t="s">
        <v>222</v>
      </c>
      <c r="C708" s="56" t="s">
        <v>793</v>
      </c>
    </row>
    <row r="709" spans="1:3" x14ac:dyDescent="0.2">
      <c r="A709" s="54">
        <v>934</v>
      </c>
      <c r="B709" s="55" t="s">
        <v>223</v>
      </c>
      <c r="C709" s="56" t="s">
        <v>786</v>
      </c>
    </row>
    <row r="710" spans="1:3" x14ac:dyDescent="0.2">
      <c r="A710" s="54">
        <v>935</v>
      </c>
      <c r="B710" s="55" t="s">
        <v>231</v>
      </c>
      <c r="C710" s="56" t="s">
        <v>793</v>
      </c>
    </row>
    <row r="711" spans="1:3" x14ac:dyDescent="0.2">
      <c r="A711" s="54">
        <v>936</v>
      </c>
      <c r="B711" s="55" t="s">
        <v>231</v>
      </c>
      <c r="C711" s="56" t="s">
        <v>793</v>
      </c>
    </row>
    <row r="712" spans="1:3" x14ac:dyDescent="0.2">
      <c r="A712" s="54">
        <v>937</v>
      </c>
      <c r="B712" s="55" t="s">
        <v>231</v>
      </c>
      <c r="C712" s="56" t="s">
        <v>793</v>
      </c>
    </row>
    <row r="713" spans="1:3" x14ac:dyDescent="0.2">
      <c r="A713" s="54">
        <v>938</v>
      </c>
      <c r="B713" s="55" t="s">
        <v>231</v>
      </c>
      <c r="C713" s="56" t="s">
        <v>793</v>
      </c>
    </row>
    <row r="714" spans="1:3" x14ac:dyDescent="0.2">
      <c r="A714" s="54">
        <v>939</v>
      </c>
      <c r="B714" s="55" t="s">
        <v>231</v>
      </c>
      <c r="C714" s="56" t="s">
        <v>793</v>
      </c>
    </row>
    <row r="715" spans="1:3" x14ac:dyDescent="0.2">
      <c r="A715" s="54">
        <v>940</v>
      </c>
      <c r="B715" s="55" t="s">
        <v>232</v>
      </c>
      <c r="C715" s="56" t="s">
        <v>190</v>
      </c>
    </row>
    <row r="716" spans="1:3" x14ac:dyDescent="0.2">
      <c r="A716" s="54">
        <v>941</v>
      </c>
      <c r="B716" s="55" t="s">
        <v>233</v>
      </c>
      <c r="C716" s="56" t="s">
        <v>190</v>
      </c>
    </row>
    <row r="717" spans="1:3" x14ac:dyDescent="0.2">
      <c r="A717" s="54">
        <v>942</v>
      </c>
      <c r="B717" s="55" t="s">
        <v>83</v>
      </c>
      <c r="C717" s="56" t="s">
        <v>793</v>
      </c>
    </row>
    <row r="718" spans="1:3" x14ac:dyDescent="0.2">
      <c r="A718" s="54">
        <v>943</v>
      </c>
      <c r="B718" s="55" t="s">
        <v>74</v>
      </c>
      <c r="C718" s="56" t="s">
        <v>793</v>
      </c>
    </row>
    <row r="719" spans="1:3" x14ac:dyDescent="0.2">
      <c r="A719" s="54">
        <v>944</v>
      </c>
      <c r="B719" s="55" t="s">
        <v>74</v>
      </c>
      <c r="C719" s="56" t="s">
        <v>793</v>
      </c>
    </row>
    <row r="720" spans="1:3" x14ac:dyDescent="0.2">
      <c r="A720" s="54">
        <v>945</v>
      </c>
      <c r="B720" s="55" t="s">
        <v>74</v>
      </c>
      <c r="C720" s="56" t="s">
        <v>793</v>
      </c>
    </row>
    <row r="721" spans="1:3" x14ac:dyDescent="0.2">
      <c r="A721" s="54">
        <v>946</v>
      </c>
      <c r="B721" s="55" t="s">
        <v>74</v>
      </c>
      <c r="C721" s="56" t="s">
        <v>793</v>
      </c>
    </row>
    <row r="722" spans="1:3" x14ac:dyDescent="0.2">
      <c r="A722" s="54">
        <v>947</v>
      </c>
      <c r="B722" s="55" t="s">
        <v>234</v>
      </c>
      <c r="C722" s="56" t="s">
        <v>793</v>
      </c>
    </row>
    <row r="723" spans="1:3" x14ac:dyDescent="0.2">
      <c r="A723" s="54">
        <v>948</v>
      </c>
      <c r="B723" s="55" t="s">
        <v>235</v>
      </c>
      <c r="C723" s="56" t="s">
        <v>793</v>
      </c>
    </row>
    <row r="724" spans="1:3" x14ac:dyDescent="0.2">
      <c r="A724" s="54">
        <v>949</v>
      </c>
      <c r="B724" s="55" t="s">
        <v>291</v>
      </c>
      <c r="C724" s="56" t="s">
        <v>793</v>
      </c>
    </row>
    <row r="725" spans="1:3" x14ac:dyDescent="0.2">
      <c r="A725" s="54">
        <v>950</v>
      </c>
      <c r="B725" s="55" t="s">
        <v>292</v>
      </c>
      <c r="C725" s="56" t="s">
        <v>786</v>
      </c>
    </row>
    <row r="726" spans="1:3" x14ac:dyDescent="0.2">
      <c r="A726" s="54">
        <v>951</v>
      </c>
      <c r="B726" s="55" t="s">
        <v>293</v>
      </c>
      <c r="C726" s="56" t="s">
        <v>786</v>
      </c>
    </row>
    <row r="727" spans="1:3" x14ac:dyDescent="0.2">
      <c r="A727" s="54">
        <v>952</v>
      </c>
      <c r="B727" s="55" t="s">
        <v>294</v>
      </c>
      <c r="C727" s="56" t="s">
        <v>793</v>
      </c>
    </row>
    <row r="728" spans="1:3" x14ac:dyDescent="0.2">
      <c r="A728" s="54">
        <v>953</v>
      </c>
      <c r="B728" s="55" t="s">
        <v>236</v>
      </c>
      <c r="C728" s="56" t="s">
        <v>793</v>
      </c>
    </row>
    <row r="729" spans="1:3" x14ac:dyDescent="0.2">
      <c r="A729" s="54">
        <v>954</v>
      </c>
      <c r="B729" s="55" t="s">
        <v>237</v>
      </c>
      <c r="C729" s="56" t="s">
        <v>793</v>
      </c>
    </row>
    <row r="730" spans="1:3" x14ac:dyDescent="0.2">
      <c r="A730" s="54">
        <v>955</v>
      </c>
      <c r="B730" s="55" t="s">
        <v>238</v>
      </c>
      <c r="C730" s="56" t="s">
        <v>793</v>
      </c>
    </row>
    <row r="731" spans="1:3" x14ac:dyDescent="0.2">
      <c r="A731" s="54">
        <v>956</v>
      </c>
      <c r="B731" s="55" t="s">
        <v>239</v>
      </c>
      <c r="C731" s="56" t="s">
        <v>793</v>
      </c>
    </row>
    <row r="732" spans="1:3" x14ac:dyDescent="0.2">
      <c r="A732" s="54">
        <v>957</v>
      </c>
      <c r="B732" s="55" t="s">
        <v>240</v>
      </c>
      <c r="C732" s="56" t="s">
        <v>793</v>
      </c>
    </row>
    <row r="733" spans="1:3" x14ac:dyDescent="0.2">
      <c r="A733" s="54">
        <v>958</v>
      </c>
      <c r="B733" s="55" t="s">
        <v>241</v>
      </c>
      <c r="C733" s="56" t="s">
        <v>793</v>
      </c>
    </row>
    <row r="734" spans="1:3" x14ac:dyDescent="0.2">
      <c r="A734" s="54">
        <v>959</v>
      </c>
      <c r="B734" s="55" t="s">
        <v>242</v>
      </c>
      <c r="C734" s="56" t="s">
        <v>793</v>
      </c>
    </row>
    <row r="735" spans="1:3" x14ac:dyDescent="0.2">
      <c r="A735" s="54">
        <v>960</v>
      </c>
      <c r="B735" s="55" t="s">
        <v>243</v>
      </c>
      <c r="C735" s="56" t="s">
        <v>793</v>
      </c>
    </row>
    <row r="736" spans="1:3" x14ac:dyDescent="0.2">
      <c r="A736" s="54">
        <v>961</v>
      </c>
      <c r="B736" s="55" t="s">
        <v>244</v>
      </c>
      <c r="C736" s="56" t="s">
        <v>793</v>
      </c>
    </row>
    <row r="737" spans="1:3" x14ac:dyDescent="0.2">
      <c r="A737" s="54">
        <v>962</v>
      </c>
      <c r="B737" s="55" t="s">
        <v>245</v>
      </c>
      <c r="C737" s="56" t="s">
        <v>793</v>
      </c>
    </row>
    <row r="738" spans="1:3" x14ac:dyDescent="0.2">
      <c r="A738" s="54">
        <v>963</v>
      </c>
      <c r="B738" s="55" t="s">
        <v>246</v>
      </c>
      <c r="C738" s="56" t="s">
        <v>793</v>
      </c>
    </row>
    <row r="739" spans="1:3" x14ac:dyDescent="0.2">
      <c r="A739" s="54">
        <v>964</v>
      </c>
      <c r="B739" s="55" t="s">
        <v>247</v>
      </c>
      <c r="C739" s="56" t="s">
        <v>793</v>
      </c>
    </row>
    <row r="740" spans="1:3" x14ac:dyDescent="0.2">
      <c r="A740" s="54">
        <v>965</v>
      </c>
      <c r="B740" s="55" t="s">
        <v>248</v>
      </c>
      <c r="C740" s="56" t="s">
        <v>793</v>
      </c>
    </row>
    <row r="741" spans="1:3" x14ac:dyDescent="0.2">
      <c r="A741" s="54">
        <v>966</v>
      </c>
      <c r="B741" s="55" t="s">
        <v>95</v>
      </c>
      <c r="C741" s="56" t="s">
        <v>786</v>
      </c>
    </row>
    <row r="742" spans="1:3" x14ac:dyDescent="0.2">
      <c r="A742" s="54">
        <v>967</v>
      </c>
      <c r="B742" s="55" t="s">
        <v>107</v>
      </c>
      <c r="C742" s="56" t="s">
        <v>793</v>
      </c>
    </row>
    <row r="743" spans="1:3" x14ac:dyDescent="0.2">
      <c r="A743" s="54">
        <v>968</v>
      </c>
      <c r="B743" s="55" t="s">
        <v>107</v>
      </c>
      <c r="C743" s="56" t="s">
        <v>793</v>
      </c>
    </row>
    <row r="744" spans="1:3" x14ac:dyDescent="0.2">
      <c r="A744" s="54">
        <v>969</v>
      </c>
      <c r="B744" s="55" t="s">
        <v>248</v>
      </c>
      <c r="C744" s="56" t="s">
        <v>793</v>
      </c>
    </row>
    <row r="745" spans="1:3" x14ac:dyDescent="0.2">
      <c r="A745" s="54">
        <v>970</v>
      </c>
      <c r="B745" s="55" t="s">
        <v>62</v>
      </c>
      <c r="C745" s="56" t="s">
        <v>793</v>
      </c>
    </row>
    <row r="746" spans="1:3" x14ac:dyDescent="0.2">
      <c r="A746" s="54">
        <v>971</v>
      </c>
      <c r="B746" s="55" t="s">
        <v>249</v>
      </c>
      <c r="C746" s="56" t="s">
        <v>793</v>
      </c>
    </row>
    <row r="747" spans="1:3" x14ac:dyDescent="0.2">
      <c r="A747" s="54">
        <v>972</v>
      </c>
      <c r="B747" s="55" t="s">
        <v>267</v>
      </c>
      <c r="C747" s="56" t="s">
        <v>793</v>
      </c>
    </row>
    <row r="748" spans="1:3" x14ac:dyDescent="0.2">
      <c r="A748" s="54">
        <v>973</v>
      </c>
      <c r="B748" s="55" t="s">
        <v>105</v>
      </c>
      <c r="C748" s="56" t="s">
        <v>793</v>
      </c>
    </row>
    <row r="749" spans="1:3" x14ac:dyDescent="0.2">
      <c r="A749" s="54">
        <v>974</v>
      </c>
      <c r="B749" s="55" t="s">
        <v>131</v>
      </c>
      <c r="C749" s="56" t="s">
        <v>793</v>
      </c>
    </row>
    <row r="750" spans="1:3" x14ac:dyDescent="0.2">
      <c r="A750" s="54">
        <v>975</v>
      </c>
      <c r="B750" s="55" t="s">
        <v>295</v>
      </c>
      <c r="C750" s="56" t="s">
        <v>793</v>
      </c>
    </row>
    <row r="751" spans="1:3" x14ac:dyDescent="0.2">
      <c r="A751" s="54">
        <v>976</v>
      </c>
      <c r="B751" s="55" t="s">
        <v>296</v>
      </c>
      <c r="C751" s="56" t="s">
        <v>793</v>
      </c>
    </row>
    <row r="752" spans="1:3" x14ac:dyDescent="0.2">
      <c r="A752" s="54">
        <v>978</v>
      </c>
      <c r="B752" s="55" t="s">
        <v>89</v>
      </c>
      <c r="C752" s="56" t="s">
        <v>786</v>
      </c>
    </row>
    <row r="753" spans="1:3" x14ac:dyDescent="0.2">
      <c r="A753" s="54">
        <v>979</v>
      </c>
      <c r="B753" s="55" t="s">
        <v>128</v>
      </c>
      <c r="C753" s="56" t="s">
        <v>786</v>
      </c>
    </row>
    <row r="754" spans="1:3" x14ac:dyDescent="0.2">
      <c r="A754" s="54">
        <v>980</v>
      </c>
      <c r="B754" s="55" t="s">
        <v>250</v>
      </c>
      <c r="C754" s="56" t="s">
        <v>793</v>
      </c>
    </row>
    <row r="755" spans="1:3" x14ac:dyDescent="0.2">
      <c r="A755" s="54">
        <v>981</v>
      </c>
      <c r="B755" s="55" t="s">
        <v>251</v>
      </c>
      <c r="C755" s="56" t="s">
        <v>786</v>
      </c>
    </row>
    <row r="756" spans="1:3" x14ac:dyDescent="0.2">
      <c r="A756" s="54">
        <v>982</v>
      </c>
      <c r="B756" s="55" t="s">
        <v>297</v>
      </c>
      <c r="C756" s="56" t="s">
        <v>793</v>
      </c>
    </row>
    <row r="757" spans="1:3" x14ac:dyDescent="0.2">
      <c r="A757" s="54">
        <v>983</v>
      </c>
      <c r="B757" s="55" t="s">
        <v>298</v>
      </c>
      <c r="C757" s="56" t="s">
        <v>793</v>
      </c>
    </row>
    <row r="758" spans="1:3" x14ac:dyDescent="0.2">
      <c r="A758" s="54">
        <v>984</v>
      </c>
      <c r="B758" s="55" t="s">
        <v>345</v>
      </c>
      <c r="C758" s="56" t="s">
        <v>793</v>
      </c>
    </row>
    <row r="759" spans="1:3" x14ac:dyDescent="0.2">
      <c r="A759" s="54">
        <v>985</v>
      </c>
      <c r="B759" s="55" t="s">
        <v>346</v>
      </c>
      <c r="C759" s="56" t="s">
        <v>793</v>
      </c>
    </row>
    <row r="760" spans="1:3" x14ac:dyDescent="0.2">
      <c r="A760" s="54">
        <v>989</v>
      </c>
      <c r="B760" s="55" t="s">
        <v>144</v>
      </c>
      <c r="C760" s="56" t="s">
        <v>793</v>
      </c>
    </row>
    <row r="761" spans="1:3" x14ac:dyDescent="0.2">
      <c r="A761" s="54">
        <v>990</v>
      </c>
      <c r="B761" s="55" t="s">
        <v>145</v>
      </c>
      <c r="C761" s="56" t="s">
        <v>786</v>
      </c>
    </row>
    <row r="762" spans="1:3" x14ac:dyDescent="0.2">
      <c r="A762" s="54">
        <v>991</v>
      </c>
      <c r="B762" s="55" t="s">
        <v>95</v>
      </c>
      <c r="C762" s="56" t="s">
        <v>786</v>
      </c>
    </row>
    <row r="763" spans="1:3" x14ac:dyDescent="0.2">
      <c r="A763" s="54">
        <v>996</v>
      </c>
      <c r="B763" s="55" t="s">
        <v>175</v>
      </c>
      <c r="C763" s="56" t="s">
        <v>793</v>
      </c>
    </row>
    <row r="764" spans="1:3" x14ac:dyDescent="0.2">
      <c r="A764" s="54">
        <v>997</v>
      </c>
      <c r="B764" s="55" t="s">
        <v>252</v>
      </c>
      <c r="C764" s="56" t="s">
        <v>793</v>
      </c>
    </row>
    <row r="765" spans="1:3" x14ac:dyDescent="0.2">
      <c r="A765" s="54"/>
      <c r="B765" s="55"/>
      <c r="C765" s="56"/>
    </row>
    <row r="766" spans="1:3" x14ac:dyDescent="0.2">
      <c r="A766" s="54"/>
      <c r="B766" s="55"/>
      <c r="C766" s="56"/>
    </row>
    <row r="767" spans="1:3" x14ac:dyDescent="0.2">
      <c r="A767" s="54"/>
      <c r="B767" s="55"/>
      <c r="C767" s="56"/>
    </row>
    <row r="768" spans="1:3" x14ac:dyDescent="0.2">
      <c r="A768" s="54"/>
      <c r="B768" s="55"/>
      <c r="C768" s="56"/>
    </row>
    <row r="769" spans="1:3" x14ac:dyDescent="0.2">
      <c r="A769" s="54"/>
      <c r="B769" s="55"/>
      <c r="C769" s="56"/>
    </row>
    <row r="770" spans="1:3" x14ac:dyDescent="0.2">
      <c r="A770" s="54"/>
      <c r="B770" s="55"/>
      <c r="C770" s="56"/>
    </row>
    <row r="771" spans="1:3" x14ac:dyDescent="0.2">
      <c r="A771" s="54"/>
      <c r="B771" s="55"/>
      <c r="C771" s="56"/>
    </row>
    <row r="772" spans="1:3" x14ac:dyDescent="0.2">
      <c r="A772" s="54"/>
      <c r="B772" s="55"/>
      <c r="C772" s="56"/>
    </row>
    <row r="773" spans="1:3" x14ac:dyDescent="0.2">
      <c r="A773" s="54"/>
      <c r="B773" s="55"/>
      <c r="C773" s="56"/>
    </row>
    <row r="774" spans="1:3" x14ac:dyDescent="0.2">
      <c r="A774" s="54"/>
      <c r="B774" s="55"/>
      <c r="C774" s="56"/>
    </row>
    <row r="775" spans="1:3" x14ac:dyDescent="0.2">
      <c r="A775" s="54"/>
      <c r="B775" s="55"/>
      <c r="C775" s="56"/>
    </row>
    <row r="776" spans="1:3" x14ac:dyDescent="0.2">
      <c r="A776" s="54"/>
      <c r="B776" s="55"/>
      <c r="C776" s="56"/>
    </row>
    <row r="777" spans="1:3" x14ac:dyDescent="0.2">
      <c r="A777" s="54"/>
      <c r="B777" s="55"/>
      <c r="C777" s="56"/>
    </row>
    <row r="778" spans="1:3" x14ac:dyDescent="0.2">
      <c r="A778" s="54"/>
      <c r="B778" s="55"/>
      <c r="C778" s="56"/>
    </row>
    <row r="779" spans="1:3" x14ac:dyDescent="0.2">
      <c r="A779" s="54"/>
      <c r="B779" s="55"/>
      <c r="C779" s="56"/>
    </row>
    <row r="780" spans="1:3" x14ac:dyDescent="0.2">
      <c r="A780" s="54"/>
      <c r="B780" s="55"/>
      <c r="C780" s="56"/>
    </row>
    <row r="781" spans="1:3" x14ac:dyDescent="0.2">
      <c r="A781" s="54"/>
      <c r="B781" s="55"/>
      <c r="C781" s="56"/>
    </row>
    <row r="782" spans="1:3" x14ac:dyDescent="0.2">
      <c r="A782" s="54"/>
      <c r="B782" s="55"/>
      <c r="C782" s="56"/>
    </row>
    <row r="783" spans="1:3" x14ac:dyDescent="0.2">
      <c r="A783" s="54"/>
      <c r="B783" s="55"/>
      <c r="C783" s="56"/>
    </row>
    <row r="784" spans="1:3" x14ac:dyDescent="0.2">
      <c r="A784" s="54"/>
      <c r="B784" s="55"/>
      <c r="C784" s="56"/>
    </row>
    <row r="785" spans="1:3" x14ac:dyDescent="0.2">
      <c r="A785" s="54"/>
      <c r="B785" s="55"/>
      <c r="C785" s="56"/>
    </row>
    <row r="786" spans="1:3" x14ac:dyDescent="0.2">
      <c r="A786" s="54"/>
      <c r="B786" s="55"/>
      <c r="C786" s="56"/>
    </row>
    <row r="787" spans="1:3" x14ac:dyDescent="0.2">
      <c r="A787" s="54"/>
      <c r="B787" s="55"/>
      <c r="C787" s="56"/>
    </row>
    <row r="788" spans="1:3" x14ac:dyDescent="0.2">
      <c r="A788" s="54"/>
      <c r="B788" s="55"/>
      <c r="C788" s="56"/>
    </row>
    <row r="789" spans="1:3" x14ac:dyDescent="0.2">
      <c r="A789" s="54"/>
      <c r="B789" s="55"/>
      <c r="C789" s="56"/>
    </row>
    <row r="790" spans="1:3" x14ac:dyDescent="0.2">
      <c r="A790" s="54"/>
      <c r="B790" s="55"/>
      <c r="C790" s="56"/>
    </row>
    <row r="791" spans="1:3" x14ac:dyDescent="0.2">
      <c r="A791" s="54"/>
      <c r="B791" s="55"/>
      <c r="C791" s="56"/>
    </row>
    <row r="792" spans="1:3" x14ac:dyDescent="0.2">
      <c r="A792" s="54"/>
      <c r="B792" s="55"/>
      <c r="C792" s="56"/>
    </row>
    <row r="793" spans="1:3" x14ac:dyDescent="0.2">
      <c r="A793" s="54"/>
      <c r="B793" s="55"/>
      <c r="C793" s="56"/>
    </row>
    <row r="794" spans="1:3" x14ac:dyDescent="0.2">
      <c r="A794" s="54"/>
      <c r="B794" s="55"/>
      <c r="C794" s="56"/>
    </row>
    <row r="795" spans="1:3" x14ac:dyDescent="0.2">
      <c r="A795" s="54"/>
      <c r="B795" s="55"/>
      <c r="C795" s="56"/>
    </row>
    <row r="796" spans="1:3" x14ac:dyDescent="0.2">
      <c r="A796" s="54"/>
      <c r="B796" s="55"/>
      <c r="C796" s="56"/>
    </row>
    <row r="797" spans="1:3" x14ac:dyDescent="0.2">
      <c r="A797" s="54"/>
      <c r="B797" s="55"/>
      <c r="C797" s="56"/>
    </row>
    <row r="798" spans="1:3" x14ac:dyDescent="0.2">
      <c r="A798" s="54"/>
      <c r="B798" s="55"/>
      <c r="C798" s="56"/>
    </row>
    <row r="799" spans="1:3" x14ac:dyDescent="0.2">
      <c r="A799" s="54"/>
      <c r="B799" s="55"/>
      <c r="C799" s="56"/>
    </row>
    <row r="800" spans="1:3" x14ac:dyDescent="0.2">
      <c r="A800" s="54"/>
      <c r="B800" s="55"/>
      <c r="C800" s="56"/>
    </row>
    <row r="801" spans="1:3" x14ac:dyDescent="0.2">
      <c r="A801" s="54"/>
      <c r="B801" s="55"/>
      <c r="C801" s="56"/>
    </row>
    <row r="802" spans="1:3" x14ac:dyDescent="0.2">
      <c r="A802" s="54"/>
      <c r="B802" s="55"/>
      <c r="C802" s="56"/>
    </row>
    <row r="803" spans="1:3" x14ac:dyDescent="0.2">
      <c r="A803" s="54"/>
      <c r="B803" s="55"/>
      <c r="C803" s="56"/>
    </row>
    <row r="804" spans="1:3" x14ac:dyDescent="0.2">
      <c r="A804" s="54"/>
      <c r="B804" s="55"/>
      <c r="C804" s="56"/>
    </row>
    <row r="805" spans="1:3" x14ac:dyDescent="0.2">
      <c r="A805" s="54"/>
      <c r="B805" s="55"/>
      <c r="C805" s="56"/>
    </row>
    <row r="806" spans="1:3" x14ac:dyDescent="0.2">
      <c r="A806" s="54"/>
      <c r="B806" s="55"/>
      <c r="C806" s="56"/>
    </row>
    <row r="807" spans="1:3" x14ac:dyDescent="0.2">
      <c r="A807" s="54"/>
      <c r="B807" s="55"/>
      <c r="C807" s="56"/>
    </row>
    <row r="808" spans="1:3" x14ac:dyDescent="0.2">
      <c r="A808" s="54"/>
      <c r="B808" s="55"/>
      <c r="C808" s="56"/>
    </row>
    <row r="809" spans="1:3" x14ac:dyDescent="0.2">
      <c r="A809" s="54"/>
      <c r="B809" s="55"/>
      <c r="C809" s="56"/>
    </row>
    <row r="810" spans="1:3" x14ac:dyDescent="0.2">
      <c r="A810" s="54"/>
      <c r="B810" s="55"/>
      <c r="C810" s="56"/>
    </row>
    <row r="811" spans="1:3" x14ac:dyDescent="0.2">
      <c r="A811" s="54"/>
      <c r="B811" s="55"/>
      <c r="C811" s="56"/>
    </row>
    <row r="812" spans="1:3" x14ac:dyDescent="0.2">
      <c r="A812" s="54"/>
      <c r="B812" s="55"/>
      <c r="C812" s="56"/>
    </row>
    <row r="813" spans="1:3" x14ac:dyDescent="0.2">
      <c r="A813" s="54"/>
      <c r="B813" s="55"/>
      <c r="C813" s="56"/>
    </row>
    <row r="814" spans="1:3" x14ac:dyDescent="0.2">
      <c r="A814" s="54"/>
      <c r="B814" s="55"/>
      <c r="C814" s="56"/>
    </row>
    <row r="815" spans="1:3" x14ac:dyDescent="0.2">
      <c r="A815" s="54"/>
      <c r="B815" s="55"/>
      <c r="C815" s="56"/>
    </row>
    <row r="816" spans="1:3" x14ac:dyDescent="0.2">
      <c r="A816" s="54"/>
      <c r="B816" s="55"/>
      <c r="C816" s="56"/>
    </row>
    <row r="817" spans="1:4" x14ac:dyDescent="0.2">
      <c r="A817" s="54"/>
      <c r="B817" s="55"/>
      <c r="C817" s="56"/>
    </row>
    <row r="818" spans="1:4" x14ac:dyDescent="0.2">
      <c r="A818" s="54"/>
      <c r="B818" s="55"/>
      <c r="C818" s="56"/>
    </row>
    <row r="819" spans="1:4" x14ac:dyDescent="0.2">
      <c r="A819" s="54"/>
      <c r="B819" s="55"/>
      <c r="C819" s="56"/>
    </row>
    <row r="820" spans="1:4" x14ac:dyDescent="0.2">
      <c r="A820" s="54"/>
      <c r="B820" s="55"/>
      <c r="C820" s="56"/>
    </row>
    <row r="821" spans="1:4" x14ac:dyDescent="0.2">
      <c r="A821" s="54"/>
      <c r="B821" s="55"/>
      <c r="C821" s="56"/>
    </row>
    <row r="822" spans="1:4" x14ac:dyDescent="0.2">
      <c r="A822" s="54"/>
      <c r="B822" s="55"/>
      <c r="C822" s="56"/>
    </row>
    <row r="823" spans="1:4" x14ac:dyDescent="0.2">
      <c r="A823" s="54"/>
      <c r="B823" s="55"/>
      <c r="C823" s="56"/>
    </row>
    <row r="824" spans="1:4" x14ac:dyDescent="0.2">
      <c r="A824" s="54"/>
      <c r="B824" s="55"/>
      <c r="C824" s="56"/>
    </row>
    <row r="825" spans="1:4" x14ac:dyDescent="0.2">
      <c r="A825" s="54"/>
      <c r="B825" s="55"/>
      <c r="C825" s="56"/>
    </row>
    <row r="826" spans="1:4" x14ac:dyDescent="0.2">
      <c r="A826" s="54"/>
      <c r="B826" s="55"/>
      <c r="C826" s="56"/>
    </row>
    <row r="827" spans="1:4" x14ac:dyDescent="0.2">
      <c r="A827" s="54"/>
      <c r="B827" s="55"/>
      <c r="C827" s="56"/>
    </row>
    <row r="828" spans="1:4" x14ac:dyDescent="0.2">
      <c r="A828" s="54"/>
      <c r="B828" s="55"/>
      <c r="C828" s="56"/>
    </row>
    <row r="829" spans="1:4" x14ac:dyDescent="0.2">
      <c r="A829" s="54"/>
      <c r="B829" s="55"/>
      <c r="C829" s="56"/>
    </row>
    <row r="830" spans="1:4" x14ac:dyDescent="0.2">
      <c r="A830" s="54"/>
      <c r="B830" s="55"/>
      <c r="C830" s="56"/>
    </row>
    <row r="831" spans="1:4" x14ac:dyDescent="0.2">
      <c r="A831" s="54">
        <v>740</v>
      </c>
      <c r="B831" s="55">
        <v>13052</v>
      </c>
      <c r="C831" s="56" t="s">
        <v>212</v>
      </c>
      <c r="D831" s="22">
        <v>2</v>
      </c>
    </row>
    <row r="832" spans="1:4" x14ac:dyDescent="0.2">
      <c r="A832" s="54">
        <v>741</v>
      </c>
      <c r="B832" s="55">
        <v>13053</v>
      </c>
      <c r="C832" s="56" t="s">
        <v>211</v>
      </c>
      <c r="D832" s="22">
        <v>2</v>
      </c>
    </row>
    <row r="833" spans="1:4" x14ac:dyDescent="0.2">
      <c r="A833" s="54">
        <v>741</v>
      </c>
      <c r="B833" s="55">
        <v>13054</v>
      </c>
      <c r="C833" s="56" t="s">
        <v>211</v>
      </c>
      <c r="D833" s="22">
        <v>1</v>
      </c>
    </row>
    <row r="834" spans="1:4" x14ac:dyDescent="0.2">
      <c r="A834" s="54">
        <v>742</v>
      </c>
      <c r="B834" s="55">
        <v>13055</v>
      </c>
      <c r="C834" s="56" t="s">
        <v>212</v>
      </c>
      <c r="D834" s="22">
        <v>2</v>
      </c>
    </row>
    <row r="835" spans="1:4" x14ac:dyDescent="0.2">
      <c r="A835" s="54">
        <v>743</v>
      </c>
      <c r="B835" s="55">
        <v>13056</v>
      </c>
      <c r="C835" s="56" t="s">
        <v>211</v>
      </c>
      <c r="D835" s="22">
        <v>2</v>
      </c>
    </row>
    <row r="836" spans="1:4" x14ac:dyDescent="0.2">
      <c r="A836" s="54">
        <v>743</v>
      </c>
      <c r="B836" s="55">
        <v>13057</v>
      </c>
      <c r="C836" s="56" t="s">
        <v>211</v>
      </c>
      <c r="D836" s="22">
        <v>1</v>
      </c>
    </row>
    <row r="837" spans="1:4" x14ac:dyDescent="0.2">
      <c r="A837" s="54">
        <v>744</v>
      </c>
      <c r="B837" s="55">
        <v>13058</v>
      </c>
      <c r="C837" s="56" t="s">
        <v>212</v>
      </c>
      <c r="D837" s="22">
        <v>2</v>
      </c>
    </row>
    <row r="838" spans="1:4" x14ac:dyDescent="0.2">
      <c r="A838" s="54">
        <v>745</v>
      </c>
      <c r="B838" s="55">
        <v>13059</v>
      </c>
      <c r="C838" s="56" t="s">
        <v>211</v>
      </c>
      <c r="D838" s="22">
        <v>2</v>
      </c>
    </row>
    <row r="839" spans="1:4" x14ac:dyDescent="0.2">
      <c r="A839" s="54">
        <v>745</v>
      </c>
      <c r="B839" s="55">
        <v>13060</v>
      </c>
      <c r="C839" s="56" t="s">
        <v>211</v>
      </c>
      <c r="D839" s="22">
        <v>1</v>
      </c>
    </row>
    <row r="840" spans="1:4" x14ac:dyDescent="0.2">
      <c r="A840" s="54">
        <v>746</v>
      </c>
      <c r="B840" s="55">
        <v>13061</v>
      </c>
      <c r="C840" s="56" t="s">
        <v>212</v>
      </c>
      <c r="D840" s="22">
        <v>2</v>
      </c>
    </row>
    <row r="841" spans="1:4" x14ac:dyDescent="0.2">
      <c r="A841" s="54">
        <v>747</v>
      </c>
      <c r="B841" s="55">
        <v>13062</v>
      </c>
      <c r="C841" s="56" t="s">
        <v>211</v>
      </c>
      <c r="D841" s="22">
        <v>2</v>
      </c>
    </row>
    <row r="842" spans="1:4" x14ac:dyDescent="0.2">
      <c r="A842" s="54">
        <v>747</v>
      </c>
      <c r="B842" s="55">
        <v>13063</v>
      </c>
      <c r="C842" s="56" t="s">
        <v>211</v>
      </c>
      <c r="D842" s="22">
        <v>1</v>
      </c>
    </row>
    <row r="843" spans="1:4" x14ac:dyDescent="0.2">
      <c r="A843" s="54">
        <v>748</v>
      </c>
      <c r="B843" s="55">
        <v>13064</v>
      </c>
      <c r="C843" s="56" t="s">
        <v>211</v>
      </c>
      <c r="D843" s="22">
        <v>2</v>
      </c>
    </row>
    <row r="844" spans="1:4" x14ac:dyDescent="0.2">
      <c r="A844" s="54">
        <v>748</v>
      </c>
      <c r="B844" s="55">
        <v>13065</v>
      </c>
      <c r="C844" s="56" t="s">
        <v>211</v>
      </c>
      <c r="D844" s="22">
        <v>1</v>
      </c>
    </row>
    <row r="845" spans="1:4" x14ac:dyDescent="0.2">
      <c r="A845" s="54">
        <v>749</v>
      </c>
      <c r="B845" s="55">
        <v>13066</v>
      </c>
      <c r="C845" s="56" t="s">
        <v>212</v>
      </c>
      <c r="D845" s="22">
        <v>2</v>
      </c>
    </row>
    <row r="846" spans="1:4" x14ac:dyDescent="0.2">
      <c r="A846" s="54">
        <v>752</v>
      </c>
      <c r="B846" s="55">
        <v>13011</v>
      </c>
      <c r="C846" s="56" t="s">
        <v>211</v>
      </c>
      <c r="D846" s="22">
        <v>2</v>
      </c>
    </row>
    <row r="847" spans="1:4" x14ac:dyDescent="0.2">
      <c r="A847" s="54">
        <v>752</v>
      </c>
      <c r="B847" s="55">
        <v>13012</v>
      </c>
      <c r="C847" s="56" t="s">
        <v>211</v>
      </c>
      <c r="D847" s="22">
        <v>1</v>
      </c>
    </row>
    <row r="848" spans="1:4" x14ac:dyDescent="0.2">
      <c r="A848" s="54">
        <v>753</v>
      </c>
      <c r="B848" s="55">
        <v>13013</v>
      </c>
      <c r="C848" s="56" t="s">
        <v>213</v>
      </c>
      <c r="D848" s="22">
        <v>2</v>
      </c>
    </row>
    <row r="849" spans="1:4" x14ac:dyDescent="0.2">
      <c r="A849" s="54">
        <v>754</v>
      </c>
      <c r="B849" s="55">
        <v>13014</v>
      </c>
      <c r="C849" s="56" t="s">
        <v>211</v>
      </c>
      <c r="D849" s="22">
        <v>2</v>
      </c>
    </row>
    <row r="850" spans="1:4" x14ac:dyDescent="0.2">
      <c r="A850" s="54">
        <v>754</v>
      </c>
      <c r="B850" s="55">
        <v>13015</v>
      </c>
      <c r="C850" s="56" t="s">
        <v>211</v>
      </c>
      <c r="D850" s="22">
        <v>1</v>
      </c>
    </row>
    <row r="851" spans="1:4" x14ac:dyDescent="0.2">
      <c r="A851" s="54">
        <v>755</v>
      </c>
      <c r="B851" s="55">
        <v>13016</v>
      </c>
      <c r="C851" s="56" t="s">
        <v>213</v>
      </c>
      <c r="D851" s="22">
        <v>2</v>
      </c>
    </row>
    <row r="852" spans="1:4" x14ac:dyDescent="0.2">
      <c r="A852" s="54">
        <v>756</v>
      </c>
      <c r="B852" s="55">
        <v>13017</v>
      </c>
      <c r="C852" s="56" t="s">
        <v>211</v>
      </c>
      <c r="D852" s="22">
        <v>2</v>
      </c>
    </row>
    <row r="853" spans="1:4" x14ac:dyDescent="0.2">
      <c r="A853" s="54">
        <v>756</v>
      </c>
      <c r="B853" s="55">
        <v>13018</v>
      </c>
      <c r="C853" s="56" t="s">
        <v>211</v>
      </c>
      <c r="D853" s="22">
        <v>1</v>
      </c>
    </row>
    <row r="854" spans="1:4" x14ac:dyDescent="0.2">
      <c r="A854" s="54">
        <v>757</v>
      </c>
      <c r="B854" s="55">
        <v>13019</v>
      </c>
      <c r="C854" s="56" t="s">
        <v>213</v>
      </c>
      <c r="D854" s="22">
        <v>2</v>
      </c>
    </row>
    <row r="855" spans="1:4" x14ac:dyDescent="0.2">
      <c r="A855" s="54">
        <v>758</v>
      </c>
      <c r="B855" s="55">
        <v>13020</v>
      </c>
      <c r="C855" s="56" t="s">
        <v>211</v>
      </c>
      <c r="D855" s="22">
        <v>2</v>
      </c>
    </row>
    <row r="856" spans="1:4" x14ac:dyDescent="0.2">
      <c r="A856" s="54">
        <v>758</v>
      </c>
      <c r="B856" s="55">
        <v>13021</v>
      </c>
      <c r="C856" s="56" t="s">
        <v>211</v>
      </c>
      <c r="D856" s="22">
        <v>1</v>
      </c>
    </row>
    <row r="857" spans="1:4" x14ac:dyDescent="0.2">
      <c r="A857" s="54">
        <v>759</v>
      </c>
      <c r="B857" s="55">
        <v>13022</v>
      </c>
      <c r="C857" s="56" t="s">
        <v>213</v>
      </c>
      <c r="D857" s="22">
        <v>2</v>
      </c>
    </row>
    <row r="858" spans="1:4" x14ac:dyDescent="0.2">
      <c r="A858" s="54">
        <v>760</v>
      </c>
      <c r="B858" s="55">
        <v>13023</v>
      </c>
      <c r="C858" s="56" t="s">
        <v>211</v>
      </c>
      <c r="D858" s="22">
        <v>2</v>
      </c>
    </row>
    <row r="859" spans="1:4" x14ac:dyDescent="0.2">
      <c r="A859" s="54">
        <v>760</v>
      </c>
      <c r="B859" s="55">
        <v>13024</v>
      </c>
      <c r="C859" s="56" t="s">
        <v>211</v>
      </c>
      <c r="D859" s="22">
        <v>1</v>
      </c>
    </row>
    <row r="860" spans="1:4" x14ac:dyDescent="0.2">
      <c r="A860" s="54">
        <v>761</v>
      </c>
      <c r="B860" s="55">
        <v>13025</v>
      </c>
      <c r="C860" s="56" t="s">
        <v>213</v>
      </c>
      <c r="D860" s="22">
        <v>2</v>
      </c>
    </row>
    <row r="861" spans="1:4" x14ac:dyDescent="0.2">
      <c r="A861" s="54">
        <v>762</v>
      </c>
      <c r="B861" s="55">
        <v>13026</v>
      </c>
      <c r="C861" s="56" t="s">
        <v>211</v>
      </c>
      <c r="D861" s="22">
        <v>2</v>
      </c>
    </row>
    <row r="862" spans="1:4" x14ac:dyDescent="0.2">
      <c r="A862" s="54">
        <v>762</v>
      </c>
      <c r="B862" s="55">
        <v>13027</v>
      </c>
      <c r="C862" s="56" t="s">
        <v>211</v>
      </c>
      <c r="D862" s="22">
        <v>1</v>
      </c>
    </row>
    <row r="863" spans="1:4" x14ac:dyDescent="0.2">
      <c r="A863" s="54">
        <v>763</v>
      </c>
      <c r="B863" s="55">
        <v>13028</v>
      </c>
      <c r="C863" s="56" t="s">
        <v>213</v>
      </c>
      <c r="D863" s="22">
        <v>2</v>
      </c>
    </row>
    <row r="864" spans="1:4" x14ac:dyDescent="0.2">
      <c r="A864" s="54">
        <v>764</v>
      </c>
      <c r="B864" s="55">
        <v>13002</v>
      </c>
      <c r="C864" s="56" t="s">
        <v>211</v>
      </c>
      <c r="D864" s="22">
        <v>2</v>
      </c>
    </row>
    <row r="865" spans="1:4" x14ac:dyDescent="0.2">
      <c r="A865" s="54">
        <v>764</v>
      </c>
      <c r="B865" s="55">
        <v>13003</v>
      </c>
      <c r="C865" s="56" t="s">
        <v>211</v>
      </c>
      <c r="D865" s="22">
        <v>1</v>
      </c>
    </row>
    <row r="866" spans="1:4" x14ac:dyDescent="0.2">
      <c r="A866" s="54">
        <v>765</v>
      </c>
      <c r="B866" s="55">
        <v>13004</v>
      </c>
      <c r="C866" s="56" t="s">
        <v>213</v>
      </c>
      <c r="D866" s="22">
        <v>2</v>
      </c>
    </row>
    <row r="867" spans="1:4" x14ac:dyDescent="0.2">
      <c r="A867" s="54">
        <v>766</v>
      </c>
      <c r="B867" s="55">
        <v>13005</v>
      </c>
      <c r="C867" s="56" t="s">
        <v>211</v>
      </c>
      <c r="D867" s="22">
        <v>2</v>
      </c>
    </row>
    <row r="868" spans="1:4" x14ac:dyDescent="0.2">
      <c r="A868" s="54">
        <v>766</v>
      </c>
      <c r="B868" s="55">
        <v>13006</v>
      </c>
      <c r="C868" s="56" t="s">
        <v>211</v>
      </c>
      <c r="D868" s="22">
        <v>1</v>
      </c>
    </row>
    <row r="869" spans="1:4" x14ac:dyDescent="0.2">
      <c r="A869" s="54">
        <v>767</v>
      </c>
      <c r="B869" s="55">
        <v>13007</v>
      </c>
      <c r="C869" s="56" t="s">
        <v>213</v>
      </c>
      <c r="D869" s="22">
        <v>2</v>
      </c>
    </row>
    <row r="870" spans="1:4" x14ac:dyDescent="0.2">
      <c r="A870" s="54">
        <v>768</v>
      </c>
      <c r="B870" s="55">
        <v>13008</v>
      </c>
      <c r="C870" s="56" t="s">
        <v>211</v>
      </c>
      <c r="D870" s="22">
        <v>2</v>
      </c>
    </row>
    <row r="871" spans="1:4" x14ac:dyDescent="0.2">
      <c r="A871" s="54">
        <v>768</v>
      </c>
      <c r="B871" s="55">
        <v>13009</v>
      </c>
      <c r="C871" s="56" t="s">
        <v>211</v>
      </c>
      <c r="D871" s="22">
        <v>1</v>
      </c>
    </row>
    <row r="872" spans="1:4" x14ac:dyDescent="0.2">
      <c r="A872" s="54">
        <v>769</v>
      </c>
      <c r="B872" s="55">
        <v>13010</v>
      </c>
      <c r="C872" s="56" t="s">
        <v>213</v>
      </c>
      <c r="D872" s="22">
        <v>2</v>
      </c>
    </row>
    <row r="873" spans="1:4" x14ac:dyDescent="0.2">
      <c r="A873" s="54">
        <v>770</v>
      </c>
      <c r="B873" s="55">
        <v>13001</v>
      </c>
      <c r="C873" s="56" t="s">
        <v>214</v>
      </c>
      <c r="D873" s="22">
        <v>2</v>
      </c>
    </row>
    <row r="874" spans="1:4" x14ac:dyDescent="0.2">
      <c r="A874" s="54">
        <v>775</v>
      </c>
      <c r="B874" s="55">
        <v>334</v>
      </c>
      <c r="C874" s="56" t="s">
        <v>215</v>
      </c>
      <c r="D874" s="22" t="s">
        <v>36</v>
      </c>
    </row>
    <row r="875" spans="1:4" x14ac:dyDescent="0.2">
      <c r="A875" s="54">
        <v>776</v>
      </c>
      <c r="B875" s="55">
        <v>335</v>
      </c>
      <c r="C875" s="56" t="s">
        <v>215</v>
      </c>
      <c r="D875" s="22" t="s">
        <v>36</v>
      </c>
    </row>
    <row r="876" spans="1:4" x14ac:dyDescent="0.2">
      <c r="A876" s="54">
        <v>781</v>
      </c>
      <c r="B876" s="55">
        <v>327</v>
      </c>
      <c r="C876" s="56" t="s">
        <v>211</v>
      </c>
      <c r="D876" s="22" t="s">
        <v>36</v>
      </c>
    </row>
    <row r="877" spans="1:4" x14ac:dyDescent="0.2">
      <c r="A877" s="54">
        <v>782</v>
      </c>
      <c r="B877" s="55">
        <v>13069</v>
      </c>
      <c r="C877" s="56" t="s">
        <v>211</v>
      </c>
      <c r="D877" s="22">
        <v>1</v>
      </c>
    </row>
    <row r="878" spans="1:4" x14ac:dyDescent="0.2">
      <c r="A878" s="54">
        <v>783</v>
      </c>
      <c r="B878" s="55">
        <v>13072</v>
      </c>
      <c r="C878" s="56" t="s">
        <v>211</v>
      </c>
      <c r="D878" s="22">
        <v>1</v>
      </c>
    </row>
    <row r="879" spans="1:4" x14ac:dyDescent="0.2">
      <c r="A879" s="54">
        <v>784</v>
      </c>
      <c r="B879" s="55">
        <v>13075</v>
      </c>
      <c r="C879" s="56" t="s">
        <v>211</v>
      </c>
      <c r="D879" s="22">
        <v>1</v>
      </c>
    </row>
    <row r="880" spans="1:4" x14ac:dyDescent="0.2">
      <c r="A880" s="54">
        <v>785</v>
      </c>
      <c r="B880" s="55">
        <v>13078</v>
      </c>
      <c r="C880" s="56" t="s">
        <v>211</v>
      </c>
      <c r="D880" s="22">
        <v>1</v>
      </c>
    </row>
    <row r="881" spans="1:4" x14ac:dyDescent="0.2">
      <c r="A881" s="54">
        <v>786</v>
      </c>
      <c r="B881" s="55">
        <v>13081</v>
      </c>
      <c r="C881" s="56" t="s">
        <v>211</v>
      </c>
      <c r="D881" s="22">
        <v>1</v>
      </c>
    </row>
    <row r="882" spans="1:4" x14ac:dyDescent="0.2">
      <c r="A882" s="54">
        <v>787</v>
      </c>
      <c r="B882" s="55">
        <v>13082</v>
      </c>
      <c r="C882" s="56" t="s">
        <v>216</v>
      </c>
      <c r="D882" s="22">
        <v>2</v>
      </c>
    </row>
    <row r="883" spans="1:4" x14ac:dyDescent="0.2">
      <c r="A883" s="54">
        <v>787</v>
      </c>
      <c r="B883" s="55">
        <v>13083</v>
      </c>
      <c r="C883" s="56" t="s">
        <v>216</v>
      </c>
      <c r="D883" s="22">
        <v>1</v>
      </c>
    </row>
    <row r="884" spans="1:4" x14ac:dyDescent="0.2">
      <c r="A884" s="54">
        <v>788</v>
      </c>
      <c r="B884" s="55">
        <v>13084</v>
      </c>
      <c r="C884" s="56" t="s">
        <v>217</v>
      </c>
      <c r="D884" s="22">
        <v>1</v>
      </c>
    </row>
    <row r="885" spans="1:4" x14ac:dyDescent="0.2">
      <c r="A885" s="54">
        <v>789</v>
      </c>
      <c r="B885" s="55">
        <v>13085</v>
      </c>
      <c r="C885" s="56" t="s">
        <v>218</v>
      </c>
      <c r="D885" s="22">
        <v>2</v>
      </c>
    </row>
    <row r="886" spans="1:4" x14ac:dyDescent="0.2">
      <c r="A886" s="54">
        <v>789</v>
      </c>
      <c r="B886" s="55">
        <v>13086</v>
      </c>
      <c r="C886" s="56" t="s">
        <v>218</v>
      </c>
      <c r="D886" s="22">
        <v>1</v>
      </c>
    </row>
    <row r="887" spans="1:4" x14ac:dyDescent="0.2">
      <c r="A887" s="54">
        <v>790</v>
      </c>
      <c r="B887" s="55">
        <v>13087</v>
      </c>
      <c r="C887" s="56" t="s">
        <v>219</v>
      </c>
      <c r="D887" s="22">
        <v>1</v>
      </c>
    </row>
    <row r="888" spans="1:4" x14ac:dyDescent="0.2">
      <c r="A888" s="54">
        <v>791</v>
      </c>
      <c r="B888" s="55">
        <v>13088</v>
      </c>
      <c r="C888" s="56" t="s">
        <v>220</v>
      </c>
      <c r="D888" s="22">
        <v>2</v>
      </c>
    </row>
    <row r="889" spans="1:4" x14ac:dyDescent="0.2">
      <c r="A889" s="54">
        <v>791</v>
      </c>
      <c r="B889" s="55">
        <v>13089</v>
      </c>
      <c r="C889" s="56" t="s">
        <v>220</v>
      </c>
      <c r="D889" s="22">
        <v>1</v>
      </c>
    </row>
    <row r="890" spans="1:4" x14ac:dyDescent="0.2">
      <c r="A890" s="54">
        <v>792</v>
      </c>
      <c r="B890" s="55">
        <v>13090</v>
      </c>
      <c r="C890" s="56" t="s">
        <v>221</v>
      </c>
      <c r="D890" s="22">
        <v>1</v>
      </c>
    </row>
    <row r="891" spans="1:4" x14ac:dyDescent="0.2">
      <c r="A891" s="54">
        <v>793</v>
      </c>
      <c r="B891" s="55">
        <v>13091</v>
      </c>
      <c r="C891" s="56" t="s">
        <v>211</v>
      </c>
      <c r="D891" s="22">
        <v>2</v>
      </c>
    </row>
    <row r="892" spans="1:4" x14ac:dyDescent="0.2">
      <c r="A892" s="54">
        <v>793</v>
      </c>
      <c r="B892" s="55">
        <v>13092</v>
      </c>
      <c r="C892" s="56" t="s">
        <v>211</v>
      </c>
      <c r="D892" s="22">
        <v>1</v>
      </c>
    </row>
    <row r="893" spans="1:4" x14ac:dyDescent="0.2">
      <c r="A893" s="54">
        <v>794</v>
      </c>
      <c r="B893" s="55">
        <v>13093</v>
      </c>
      <c r="C893" s="56" t="s">
        <v>212</v>
      </c>
      <c r="D893" s="22">
        <v>2</v>
      </c>
    </row>
    <row r="894" spans="1:4" x14ac:dyDescent="0.2">
      <c r="A894" s="54">
        <v>801</v>
      </c>
      <c r="B894" s="55">
        <v>306</v>
      </c>
      <c r="C894" s="56" t="s">
        <v>138</v>
      </c>
      <c r="D894" s="22">
        <v>1</v>
      </c>
    </row>
    <row r="895" spans="1:4" x14ac:dyDescent="0.2">
      <c r="A895" s="54">
        <v>802</v>
      </c>
      <c r="B895" s="55">
        <v>14005</v>
      </c>
      <c r="C895" s="56" t="s">
        <v>222</v>
      </c>
      <c r="D895" s="22">
        <v>2</v>
      </c>
    </row>
    <row r="896" spans="1:4" x14ac:dyDescent="0.2">
      <c r="A896" s="54">
        <v>802</v>
      </c>
      <c r="B896" s="55">
        <v>14006</v>
      </c>
      <c r="C896" s="56" t="s">
        <v>222</v>
      </c>
      <c r="D896" s="22">
        <v>1</v>
      </c>
    </row>
    <row r="897" spans="1:4" x14ac:dyDescent="0.2">
      <c r="A897" s="54">
        <v>803</v>
      </c>
      <c r="B897" s="55">
        <v>14007</v>
      </c>
      <c r="C897" s="56" t="s">
        <v>223</v>
      </c>
      <c r="D897" s="22" t="s">
        <v>36</v>
      </c>
    </row>
    <row r="898" spans="1:4" x14ac:dyDescent="0.2">
      <c r="A898" s="54">
        <v>804</v>
      </c>
      <c r="B898" s="55">
        <v>14008</v>
      </c>
      <c r="C898" s="56" t="s">
        <v>222</v>
      </c>
      <c r="D898" s="22">
        <v>2</v>
      </c>
    </row>
    <row r="899" spans="1:4" x14ac:dyDescent="0.2">
      <c r="A899" s="54">
        <v>804</v>
      </c>
      <c r="B899" s="55">
        <v>14009</v>
      </c>
      <c r="C899" s="56" t="s">
        <v>222</v>
      </c>
      <c r="D899" s="22">
        <v>1</v>
      </c>
    </row>
    <row r="900" spans="1:4" x14ac:dyDescent="0.2">
      <c r="A900" s="54">
        <v>805</v>
      </c>
      <c r="B900" s="55">
        <v>14010</v>
      </c>
      <c r="C900" s="56" t="s">
        <v>223</v>
      </c>
      <c r="D900" s="22" t="s">
        <v>36</v>
      </c>
    </row>
    <row r="901" spans="1:4" x14ac:dyDescent="0.2">
      <c r="A901" s="54">
        <v>806</v>
      </c>
      <c r="B901" s="55">
        <v>14011</v>
      </c>
      <c r="C901" s="56" t="s">
        <v>222</v>
      </c>
      <c r="D901" s="22">
        <v>2</v>
      </c>
    </row>
    <row r="902" spans="1:4" x14ac:dyDescent="0.2">
      <c r="A902" s="54">
        <v>806</v>
      </c>
      <c r="B902" s="55">
        <v>14012</v>
      </c>
      <c r="C902" s="56" t="s">
        <v>222</v>
      </c>
      <c r="D902" s="22">
        <v>1</v>
      </c>
    </row>
    <row r="903" spans="1:4" x14ac:dyDescent="0.2">
      <c r="A903" s="54">
        <v>807</v>
      </c>
      <c r="B903" s="55">
        <v>14013</v>
      </c>
      <c r="C903" s="56" t="s">
        <v>223</v>
      </c>
      <c r="D903" s="22" t="s">
        <v>36</v>
      </c>
    </row>
    <row r="904" spans="1:4" x14ac:dyDescent="0.2">
      <c r="A904" s="54">
        <v>808</v>
      </c>
      <c r="B904" s="55">
        <v>14017</v>
      </c>
      <c r="C904" s="56" t="s">
        <v>222</v>
      </c>
      <c r="D904" s="22">
        <v>2</v>
      </c>
    </row>
    <row r="905" spans="1:4" x14ac:dyDescent="0.2">
      <c r="A905" s="54">
        <v>808</v>
      </c>
      <c r="B905" s="55">
        <v>14018</v>
      </c>
      <c r="C905" s="56" t="s">
        <v>222</v>
      </c>
      <c r="D905" s="22">
        <v>1</v>
      </c>
    </row>
    <row r="906" spans="1:4" x14ac:dyDescent="0.2">
      <c r="A906" s="54">
        <v>809</v>
      </c>
      <c r="B906" s="55">
        <v>14019</v>
      </c>
      <c r="C906" s="56" t="s">
        <v>223</v>
      </c>
      <c r="D906" s="22" t="s">
        <v>36</v>
      </c>
    </row>
    <row r="907" spans="1:4" x14ac:dyDescent="0.2">
      <c r="A907" s="54">
        <v>810</v>
      </c>
      <c r="B907" s="55">
        <v>14020</v>
      </c>
      <c r="C907" s="56" t="s">
        <v>222</v>
      </c>
      <c r="D907" s="22">
        <v>2</v>
      </c>
    </row>
    <row r="908" spans="1:4" x14ac:dyDescent="0.2">
      <c r="A908" s="54">
        <v>810</v>
      </c>
      <c r="B908" s="55">
        <v>14021</v>
      </c>
      <c r="C908" s="56" t="s">
        <v>222</v>
      </c>
      <c r="D908" s="22">
        <v>1</v>
      </c>
    </row>
    <row r="909" spans="1:4" x14ac:dyDescent="0.2">
      <c r="A909" s="54">
        <v>811</v>
      </c>
      <c r="B909" s="55">
        <v>14022</v>
      </c>
      <c r="C909" s="56" t="s">
        <v>223</v>
      </c>
      <c r="D909" s="22" t="s">
        <v>36</v>
      </c>
    </row>
    <row r="910" spans="1:4" x14ac:dyDescent="0.2">
      <c r="A910" s="54">
        <v>812</v>
      </c>
      <c r="B910" s="55">
        <v>14023</v>
      </c>
      <c r="C910" s="56" t="s">
        <v>222</v>
      </c>
      <c r="D910" s="22">
        <v>2</v>
      </c>
    </row>
    <row r="911" spans="1:4" x14ac:dyDescent="0.2">
      <c r="A911" s="54">
        <v>812</v>
      </c>
      <c r="B911" s="55">
        <v>14024</v>
      </c>
      <c r="C911" s="56" t="s">
        <v>222</v>
      </c>
      <c r="D911" s="22">
        <v>1</v>
      </c>
    </row>
    <row r="912" spans="1:4" x14ac:dyDescent="0.2">
      <c r="A912" s="54">
        <v>813</v>
      </c>
      <c r="B912" s="55">
        <v>14025</v>
      </c>
      <c r="C912" s="56" t="s">
        <v>223</v>
      </c>
      <c r="D912" s="22" t="s">
        <v>36</v>
      </c>
    </row>
    <row r="913" spans="1:4" x14ac:dyDescent="0.2">
      <c r="A913" s="54">
        <v>814</v>
      </c>
      <c r="B913" s="55">
        <v>14029</v>
      </c>
      <c r="C913" s="56" t="s">
        <v>222</v>
      </c>
      <c r="D913" s="22">
        <v>2</v>
      </c>
    </row>
    <row r="914" spans="1:4" x14ac:dyDescent="0.2">
      <c r="A914" s="54">
        <v>814</v>
      </c>
      <c r="B914" s="55">
        <v>14030</v>
      </c>
      <c r="C914" s="56" t="s">
        <v>222</v>
      </c>
      <c r="D914" s="22">
        <v>1</v>
      </c>
    </row>
    <row r="915" spans="1:4" x14ac:dyDescent="0.2">
      <c r="A915" s="54">
        <v>815</v>
      </c>
      <c r="B915" s="55">
        <v>14031</v>
      </c>
      <c r="C915" s="56" t="s">
        <v>223</v>
      </c>
      <c r="D915" s="22" t="s">
        <v>36</v>
      </c>
    </row>
    <row r="916" spans="1:4" x14ac:dyDescent="0.2">
      <c r="A916" s="54">
        <v>816</v>
      </c>
      <c r="B916" s="55">
        <v>14032</v>
      </c>
      <c r="C916" s="56" t="s">
        <v>222</v>
      </c>
      <c r="D916" s="22">
        <v>2</v>
      </c>
    </row>
    <row r="917" spans="1:4" x14ac:dyDescent="0.2">
      <c r="A917" s="54">
        <v>816</v>
      </c>
      <c r="B917" s="55">
        <v>14033</v>
      </c>
      <c r="C917" s="56" t="s">
        <v>222</v>
      </c>
      <c r="D917" s="22">
        <v>1</v>
      </c>
    </row>
    <row r="918" spans="1:4" x14ac:dyDescent="0.2">
      <c r="A918" s="54">
        <v>817</v>
      </c>
      <c r="B918" s="55">
        <v>14034</v>
      </c>
      <c r="C918" s="56" t="s">
        <v>223</v>
      </c>
      <c r="D918" s="22" t="s">
        <v>36</v>
      </c>
    </row>
    <row r="919" spans="1:4" x14ac:dyDescent="0.2">
      <c r="A919" s="54">
        <v>818</v>
      </c>
      <c r="B919" s="55">
        <v>14035</v>
      </c>
      <c r="C919" s="56" t="s">
        <v>222</v>
      </c>
      <c r="D919" s="22">
        <v>2</v>
      </c>
    </row>
    <row r="920" spans="1:4" x14ac:dyDescent="0.2">
      <c r="A920" s="54">
        <v>818</v>
      </c>
      <c r="B920" s="55">
        <v>14036</v>
      </c>
      <c r="C920" s="56" t="s">
        <v>222</v>
      </c>
      <c r="D920" s="22">
        <v>1</v>
      </c>
    </row>
    <row r="921" spans="1:4" x14ac:dyDescent="0.2">
      <c r="A921" s="54">
        <v>819</v>
      </c>
      <c r="B921" s="55">
        <v>14037</v>
      </c>
      <c r="C921" s="56" t="s">
        <v>223</v>
      </c>
      <c r="D921" s="22" t="s">
        <v>36</v>
      </c>
    </row>
    <row r="922" spans="1:4" x14ac:dyDescent="0.2">
      <c r="A922" s="54">
        <v>820</v>
      </c>
      <c r="B922" s="55">
        <v>14042</v>
      </c>
      <c r="C922" s="56" t="s">
        <v>222</v>
      </c>
      <c r="D922" s="22">
        <v>2</v>
      </c>
    </row>
    <row r="923" spans="1:4" x14ac:dyDescent="0.2">
      <c r="A923" s="54">
        <v>820</v>
      </c>
      <c r="B923" s="55">
        <v>14043</v>
      </c>
      <c r="C923" s="56" t="s">
        <v>222</v>
      </c>
      <c r="D923" s="22">
        <v>1</v>
      </c>
    </row>
    <row r="924" spans="1:4" x14ac:dyDescent="0.2">
      <c r="A924" s="54">
        <v>821</v>
      </c>
      <c r="B924" s="55">
        <v>14044</v>
      </c>
      <c r="C924" s="56" t="s">
        <v>223</v>
      </c>
      <c r="D924" s="22" t="s">
        <v>36</v>
      </c>
    </row>
    <row r="925" spans="1:4" x14ac:dyDescent="0.2">
      <c r="A925" s="54">
        <v>822</v>
      </c>
      <c r="B925" s="55">
        <v>14045</v>
      </c>
      <c r="C925" s="56" t="s">
        <v>222</v>
      </c>
      <c r="D925" s="22">
        <v>2</v>
      </c>
    </row>
    <row r="926" spans="1:4" x14ac:dyDescent="0.2">
      <c r="A926" s="54">
        <v>822</v>
      </c>
      <c r="B926" s="55">
        <v>14046</v>
      </c>
      <c r="C926" s="56" t="s">
        <v>222</v>
      </c>
      <c r="D926" s="22">
        <v>1</v>
      </c>
    </row>
    <row r="927" spans="1:4" x14ac:dyDescent="0.2">
      <c r="A927" s="54">
        <v>823</v>
      </c>
      <c r="B927" s="55">
        <v>14047</v>
      </c>
      <c r="C927" s="56" t="s">
        <v>223</v>
      </c>
      <c r="D927" s="22" t="s">
        <v>36</v>
      </c>
    </row>
    <row r="928" spans="1:4" x14ac:dyDescent="0.2">
      <c r="A928" s="54">
        <v>824</v>
      </c>
      <c r="B928" s="55">
        <v>14048</v>
      </c>
      <c r="C928" s="56" t="s">
        <v>222</v>
      </c>
      <c r="D928" s="22">
        <v>2</v>
      </c>
    </row>
    <row r="929" spans="1:4" x14ac:dyDescent="0.2">
      <c r="A929" s="54">
        <v>824</v>
      </c>
      <c r="B929" s="55">
        <v>14049</v>
      </c>
      <c r="C929" s="56" t="s">
        <v>222</v>
      </c>
      <c r="D929" s="22">
        <v>1</v>
      </c>
    </row>
    <row r="930" spans="1:4" x14ac:dyDescent="0.2">
      <c r="A930" s="54">
        <v>825</v>
      </c>
      <c r="B930" s="55">
        <v>14050</v>
      </c>
      <c r="C930" s="56" t="s">
        <v>223</v>
      </c>
      <c r="D930" s="22" t="s">
        <v>36</v>
      </c>
    </row>
    <row r="931" spans="1:4" x14ac:dyDescent="0.2">
      <c r="A931" s="54">
        <v>826</v>
      </c>
      <c r="B931" s="55">
        <v>14069</v>
      </c>
      <c r="C931" s="56" t="s">
        <v>222</v>
      </c>
      <c r="D931" s="22">
        <v>2</v>
      </c>
    </row>
    <row r="932" spans="1:4" x14ac:dyDescent="0.2">
      <c r="A932" s="54">
        <v>826</v>
      </c>
      <c r="B932" s="55">
        <v>14070</v>
      </c>
      <c r="C932" s="56" t="s">
        <v>222</v>
      </c>
      <c r="D932" s="22">
        <v>1</v>
      </c>
    </row>
    <row r="933" spans="1:4" x14ac:dyDescent="0.2">
      <c r="A933" s="54">
        <v>827</v>
      </c>
      <c r="B933" s="55">
        <v>14071</v>
      </c>
      <c r="C933" s="56" t="s">
        <v>223</v>
      </c>
      <c r="D933" s="22" t="s">
        <v>36</v>
      </c>
    </row>
    <row r="934" spans="1:4" x14ac:dyDescent="0.2">
      <c r="A934" s="54">
        <v>828</v>
      </c>
      <c r="B934" s="55">
        <v>14072</v>
      </c>
      <c r="C934" s="56" t="s">
        <v>222</v>
      </c>
      <c r="D934" s="22">
        <v>2</v>
      </c>
    </row>
    <row r="935" spans="1:4" x14ac:dyDescent="0.2">
      <c r="A935" s="54">
        <v>828</v>
      </c>
      <c r="B935" s="55">
        <v>14073</v>
      </c>
      <c r="C935" s="56" t="s">
        <v>222</v>
      </c>
      <c r="D935" s="22">
        <v>1</v>
      </c>
    </row>
    <row r="936" spans="1:4" x14ac:dyDescent="0.2">
      <c r="A936" s="54">
        <v>829</v>
      </c>
      <c r="B936" s="55">
        <v>14074</v>
      </c>
      <c r="C936" s="56" t="s">
        <v>223</v>
      </c>
      <c r="D936" s="22" t="s">
        <v>36</v>
      </c>
    </row>
    <row r="937" spans="1:4" x14ac:dyDescent="0.2">
      <c r="A937" s="54">
        <v>830</v>
      </c>
      <c r="B937" s="55">
        <v>14075</v>
      </c>
      <c r="C937" s="56" t="s">
        <v>222</v>
      </c>
      <c r="D937" s="22">
        <v>2</v>
      </c>
    </row>
    <row r="938" spans="1:4" x14ac:dyDescent="0.2">
      <c r="A938" s="54">
        <v>830</v>
      </c>
      <c r="B938" s="55">
        <v>14076</v>
      </c>
      <c r="C938" s="56" t="s">
        <v>222</v>
      </c>
      <c r="D938" s="22">
        <v>1</v>
      </c>
    </row>
    <row r="939" spans="1:4" x14ac:dyDescent="0.2">
      <c r="A939" s="54">
        <v>831</v>
      </c>
      <c r="B939" s="55">
        <v>14077</v>
      </c>
      <c r="C939" s="56" t="s">
        <v>223</v>
      </c>
      <c r="D939" s="22" t="s">
        <v>36</v>
      </c>
    </row>
    <row r="940" spans="1:4" x14ac:dyDescent="0.2">
      <c r="A940" s="54">
        <v>832</v>
      </c>
      <c r="B940" s="55">
        <v>14085</v>
      </c>
      <c r="C940" s="56" t="s">
        <v>222</v>
      </c>
      <c r="D940" s="22">
        <v>2</v>
      </c>
    </row>
    <row r="941" spans="1:4" x14ac:dyDescent="0.2">
      <c r="A941" s="54">
        <v>832</v>
      </c>
      <c r="B941" s="55">
        <v>14086</v>
      </c>
      <c r="C941" s="56" t="s">
        <v>222</v>
      </c>
      <c r="D941" s="22">
        <v>1</v>
      </c>
    </row>
    <row r="942" spans="1:4" x14ac:dyDescent="0.2">
      <c r="A942" s="54">
        <v>833</v>
      </c>
      <c r="B942" s="55">
        <v>14087</v>
      </c>
      <c r="C942" s="56" t="s">
        <v>223</v>
      </c>
      <c r="D942" s="22" t="s">
        <v>36</v>
      </c>
    </row>
    <row r="943" spans="1:4" x14ac:dyDescent="0.2">
      <c r="A943" s="54">
        <v>834</v>
      </c>
      <c r="B943" s="55">
        <v>14088</v>
      </c>
      <c r="C943" s="56" t="s">
        <v>222</v>
      </c>
      <c r="D943" s="22">
        <v>2</v>
      </c>
    </row>
    <row r="944" spans="1:4" x14ac:dyDescent="0.2">
      <c r="A944" s="54">
        <v>834</v>
      </c>
      <c r="B944" s="55">
        <v>14089</v>
      </c>
      <c r="C944" s="56" t="s">
        <v>222</v>
      </c>
      <c r="D944" s="22">
        <v>1</v>
      </c>
    </row>
    <row r="945" spans="1:4" x14ac:dyDescent="0.2">
      <c r="A945" s="54">
        <v>835</v>
      </c>
      <c r="B945" s="55">
        <v>14090</v>
      </c>
      <c r="C945" s="56" t="s">
        <v>223</v>
      </c>
      <c r="D945" s="22" t="s">
        <v>36</v>
      </c>
    </row>
    <row r="946" spans="1:4" x14ac:dyDescent="0.2">
      <c r="A946" s="54">
        <v>836</v>
      </c>
      <c r="B946" s="55">
        <v>14091</v>
      </c>
      <c r="C946" s="56" t="s">
        <v>222</v>
      </c>
      <c r="D946" s="22">
        <v>2</v>
      </c>
    </row>
    <row r="947" spans="1:4" x14ac:dyDescent="0.2">
      <c r="A947" s="54">
        <v>836</v>
      </c>
      <c r="B947" s="55">
        <v>14092</v>
      </c>
      <c r="C947" s="56" t="s">
        <v>222</v>
      </c>
      <c r="D947" s="22">
        <v>1</v>
      </c>
    </row>
    <row r="948" spans="1:4" x14ac:dyDescent="0.2">
      <c r="A948" s="54">
        <v>837</v>
      </c>
      <c r="B948" s="55">
        <v>14093</v>
      </c>
      <c r="C948" s="56" t="s">
        <v>223</v>
      </c>
      <c r="D948" s="22" t="s">
        <v>36</v>
      </c>
    </row>
    <row r="949" spans="1:4" x14ac:dyDescent="0.2">
      <c r="A949" s="54">
        <v>838</v>
      </c>
      <c r="B949" s="55">
        <v>14094</v>
      </c>
      <c r="C949" s="56" t="s">
        <v>222</v>
      </c>
      <c r="D949" s="22">
        <v>2</v>
      </c>
    </row>
    <row r="950" spans="1:4" x14ac:dyDescent="0.2">
      <c r="A950" s="54">
        <v>838</v>
      </c>
      <c r="B950" s="55">
        <v>14095</v>
      </c>
      <c r="C950" s="56" t="s">
        <v>222</v>
      </c>
      <c r="D950" s="22">
        <v>1</v>
      </c>
    </row>
    <row r="951" spans="1:4" x14ac:dyDescent="0.2">
      <c r="A951" s="54">
        <v>839</v>
      </c>
      <c r="B951" s="55">
        <v>14096</v>
      </c>
      <c r="C951" s="56" t="s">
        <v>223</v>
      </c>
      <c r="D951" s="22" t="s">
        <v>36</v>
      </c>
    </row>
    <row r="952" spans="1:4" x14ac:dyDescent="0.2">
      <c r="A952" s="54">
        <v>840</v>
      </c>
      <c r="B952" s="55">
        <v>14110</v>
      </c>
      <c r="C952" s="56" t="s">
        <v>222</v>
      </c>
      <c r="D952" s="22">
        <v>2</v>
      </c>
    </row>
    <row r="953" spans="1:4" x14ac:dyDescent="0.2">
      <c r="A953" s="54">
        <v>840</v>
      </c>
      <c r="B953" s="55">
        <v>14111</v>
      </c>
      <c r="C953" s="56" t="s">
        <v>222</v>
      </c>
      <c r="D953" s="22">
        <v>1</v>
      </c>
    </row>
    <row r="954" spans="1:4" x14ac:dyDescent="0.2">
      <c r="A954" s="54">
        <v>841</v>
      </c>
      <c r="B954" s="55">
        <v>14112</v>
      </c>
      <c r="C954" s="56" t="s">
        <v>223</v>
      </c>
      <c r="D954" s="22" t="s">
        <v>36</v>
      </c>
    </row>
    <row r="955" spans="1:4" x14ac:dyDescent="0.2">
      <c r="A955" s="54">
        <v>842</v>
      </c>
      <c r="B955" s="55">
        <v>14113</v>
      </c>
      <c r="C955" s="56" t="s">
        <v>222</v>
      </c>
      <c r="D955" s="22">
        <v>2</v>
      </c>
    </row>
    <row r="956" spans="1:4" x14ac:dyDescent="0.2">
      <c r="A956" s="54">
        <v>842</v>
      </c>
      <c r="B956" s="55">
        <v>14114</v>
      </c>
      <c r="C956" s="56" t="s">
        <v>222</v>
      </c>
      <c r="D956" s="22">
        <v>1</v>
      </c>
    </row>
    <row r="957" spans="1:4" x14ac:dyDescent="0.2">
      <c r="A957" s="54">
        <v>843</v>
      </c>
      <c r="B957" s="55">
        <v>14115</v>
      </c>
      <c r="C957" s="56" t="s">
        <v>223</v>
      </c>
      <c r="D957" s="22" t="s">
        <v>36</v>
      </c>
    </row>
    <row r="958" spans="1:4" x14ac:dyDescent="0.2">
      <c r="A958" s="54">
        <v>844</v>
      </c>
      <c r="B958" s="55">
        <v>14116</v>
      </c>
      <c r="C958" s="56" t="s">
        <v>222</v>
      </c>
      <c r="D958" s="22">
        <v>2</v>
      </c>
    </row>
    <row r="959" spans="1:4" x14ac:dyDescent="0.2">
      <c r="A959" s="54">
        <v>844</v>
      </c>
      <c r="B959" s="55">
        <v>14117</v>
      </c>
      <c r="C959" s="56" t="s">
        <v>222</v>
      </c>
      <c r="D959" s="22">
        <v>1</v>
      </c>
    </row>
    <row r="960" spans="1:4" x14ac:dyDescent="0.2">
      <c r="A960" s="54">
        <v>845</v>
      </c>
      <c r="B960" s="55">
        <v>14118</v>
      </c>
      <c r="C960" s="56" t="s">
        <v>223</v>
      </c>
      <c r="D960" s="22" t="s">
        <v>36</v>
      </c>
    </row>
    <row r="961" spans="1:4" x14ac:dyDescent="0.2">
      <c r="A961" s="54">
        <v>846</v>
      </c>
      <c r="B961" s="55">
        <v>14138</v>
      </c>
      <c r="C961" s="56" t="s">
        <v>222</v>
      </c>
      <c r="D961" s="22">
        <v>2</v>
      </c>
    </row>
    <row r="962" spans="1:4" x14ac:dyDescent="0.2">
      <c r="A962" s="54">
        <v>846</v>
      </c>
      <c r="B962" s="55">
        <v>14139</v>
      </c>
      <c r="C962" s="56" t="s">
        <v>222</v>
      </c>
      <c r="D962" s="22">
        <v>1</v>
      </c>
    </row>
    <row r="963" spans="1:4" x14ac:dyDescent="0.2">
      <c r="A963" s="54">
        <v>847</v>
      </c>
      <c r="B963" s="55">
        <v>14140</v>
      </c>
      <c r="C963" s="56" t="s">
        <v>223</v>
      </c>
      <c r="D963" s="22" t="s">
        <v>36</v>
      </c>
    </row>
    <row r="964" spans="1:4" x14ac:dyDescent="0.2">
      <c r="A964" s="54">
        <v>848</v>
      </c>
      <c r="B964" s="55">
        <v>14141</v>
      </c>
      <c r="C964" s="56" t="s">
        <v>222</v>
      </c>
      <c r="D964" s="22">
        <v>2</v>
      </c>
    </row>
    <row r="965" spans="1:4" x14ac:dyDescent="0.2">
      <c r="A965" s="54">
        <v>848</v>
      </c>
      <c r="B965" s="55">
        <v>14142</v>
      </c>
      <c r="C965" s="56" t="s">
        <v>222</v>
      </c>
      <c r="D965" s="22">
        <v>1</v>
      </c>
    </row>
    <row r="966" spans="1:4" x14ac:dyDescent="0.2">
      <c r="A966" s="54">
        <v>849</v>
      </c>
      <c r="B966" s="55">
        <v>14143</v>
      </c>
      <c r="C966" s="56" t="s">
        <v>223</v>
      </c>
      <c r="D966" s="22" t="s">
        <v>36</v>
      </c>
    </row>
    <row r="967" spans="1:4" x14ac:dyDescent="0.2">
      <c r="A967" s="54">
        <v>850</v>
      </c>
      <c r="B967" s="55">
        <v>14014</v>
      </c>
      <c r="C967" s="56" t="s">
        <v>223</v>
      </c>
      <c r="D967" s="22" t="s">
        <v>36</v>
      </c>
    </row>
    <row r="968" spans="1:4" x14ac:dyDescent="0.2">
      <c r="A968" s="54">
        <v>851</v>
      </c>
      <c r="B968" s="55">
        <v>14038</v>
      </c>
      <c r="C968" s="56" t="s">
        <v>223</v>
      </c>
      <c r="D968" s="22" t="s">
        <v>36</v>
      </c>
    </row>
    <row r="969" spans="1:4" x14ac:dyDescent="0.2">
      <c r="A969" s="54">
        <v>852</v>
      </c>
      <c r="B969" s="55">
        <v>14001</v>
      </c>
      <c r="C969" s="56" t="s">
        <v>222</v>
      </c>
      <c r="D969" s="22">
        <v>2</v>
      </c>
    </row>
    <row r="970" spans="1:4" x14ac:dyDescent="0.2">
      <c r="A970" s="54">
        <v>852</v>
      </c>
      <c r="B970" s="55">
        <v>14002</v>
      </c>
      <c r="C970" s="56" t="s">
        <v>222</v>
      </c>
      <c r="D970" s="22">
        <v>1</v>
      </c>
    </row>
    <row r="971" spans="1:4" x14ac:dyDescent="0.2">
      <c r="A971" s="54">
        <v>853</v>
      </c>
      <c r="B971" s="55">
        <v>14081</v>
      </c>
      <c r="C971" s="56" t="s">
        <v>222</v>
      </c>
      <c r="D971" s="22">
        <v>2</v>
      </c>
    </row>
    <row r="972" spans="1:4" x14ac:dyDescent="0.2">
      <c r="A972" s="54">
        <v>853</v>
      </c>
      <c r="B972" s="55">
        <v>14082</v>
      </c>
      <c r="C972" s="56" t="s">
        <v>222</v>
      </c>
      <c r="D972" s="22">
        <v>1</v>
      </c>
    </row>
    <row r="973" spans="1:4" x14ac:dyDescent="0.2">
      <c r="A973" s="54">
        <v>854</v>
      </c>
      <c r="B973" s="55">
        <v>14083</v>
      </c>
      <c r="C973" s="56" t="s">
        <v>222</v>
      </c>
      <c r="D973" s="22">
        <v>2</v>
      </c>
    </row>
    <row r="974" spans="1:4" x14ac:dyDescent="0.2">
      <c r="A974" s="54">
        <v>854</v>
      </c>
      <c r="B974" s="55">
        <v>14084</v>
      </c>
      <c r="C974" s="56" t="s">
        <v>222</v>
      </c>
      <c r="D974" s="22">
        <v>1</v>
      </c>
    </row>
    <row r="975" spans="1:4" x14ac:dyDescent="0.2">
      <c r="A975" s="54">
        <v>855</v>
      </c>
      <c r="B975" s="55">
        <v>14103</v>
      </c>
      <c r="C975" s="56" t="s">
        <v>222</v>
      </c>
      <c r="D975" s="22">
        <v>2</v>
      </c>
    </row>
    <row r="976" spans="1:4" x14ac:dyDescent="0.2">
      <c r="A976" s="54">
        <v>855</v>
      </c>
      <c r="B976" s="55">
        <v>14104</v>
      </c>
      <c r="C976" s="56" t="s">
        <v>222</v>
      </c>
      <c r="D976" s="22">
        <v>1</v>
      </c>
    </row>
    <row r="977" spans="1:4" x14ac:dyDescent="0.2">
      <c r="A977" s="54">
        <v>856</v>
      </c>
      <c r="B977" s="55">
        <v>14105</v>
      </c>
      <c r="C977" s="56" t="s">
        <v>222</v>
      </c>
      <c r="D977" s="22">
        <v>2</v>
      </c>
    </row>
    <row r="978" spans="1:4" x14ac:dyDescent="0.2">
      <c r="A978" s="54">
        <v>856</v>
      </c>
      <c r="B978" s="55">
        <v>14106</v>
      </c>
      <c r="C978" s="56" t="s">
        <v>222</v>
      </c>
      <c r="D978" s="22">
        <v>1</v>
      </c>
    </row>
    <row r="979" spans="1:4" x14ac:dyDescent="0.2">
      <c r="A979" s="54">
        <v>857</v>
      </c>
      <c r="B979" s="55">
        <v>14015</v>
      </c>
      <c r="C979" s="56" t="s">
        <v>222</v>
      </c>
      <c r="D979" s="22">
        <v>2</v>
      </c>
    </row>
    <row r="980" spans="1:4" x14ac:dyDescent="0.2">
      <c r="A980" s="54">
        <v>857</v>
      </c>
      <c r="B980" s="55">
        <v>14016</v>
      </c>
      <c r="C980" s="56" t="s">
        <v>222</v>
      </c>
      <c r="D980" s="22">
        <v>1</v>
      </c>
    </row>
    <row r="981" spans="1:4" x14ac:dyDescent="0.2">
      <c r="A981" s="54">
        <v>858</v>
      </c>
      <c r="B981" s="55">
        <v>14039</v>
      </c>
      <c r="C981" s="56" t="s">
        <v>222</v>
      </c>
      <c r="D981" s="22">
        <v>2</v>
      </c>
    </row>
    <row r="982" spans="1:4" x14ac:dyDescent="0.2">
      <c r="A982" s="54">
        <v>858</v>
      </c>
      <c r="B982" s="55">
        <v>14040</v>
      </c>
      <c r="C982" s="56" t="s">
        <v>222</v>
      </c>
      <c r="D982" s="22">
        <v>1</v>
      </c>
    </row>
    <row r="983" spans="1:4" x14ac:dyDescent="0.2">
      <c r="A983" s="54">
        <v>859</v>
      </c>
      <c r="B983" s="55">
        <v>14003</v>
      </c>
      <c r="C983" s="56" t="s">
        <v>222</v>
      </c>
      <c r="D983" s="22">
        <v>2</v>
      </c>
    </row>
    <row r="984" spans="1:4" x14ac:dyDescent="0.2">
      <c r="A984" s="54">
        <v>859</v>
      </c>
      <c r="B984" s="55">
        <v>14004</v>
      </c>
      <c r="C984" s="56" t="s">
        <v>222</v>
      </c>
      <c r="D984" s="22">
        <v>1</v>
      </c>
    </row>
    <row r="985" spans="1:4" x14ac:dyDescent="0.2">
      <c r="A985" s="54">
        <v>860</v>
      </c>
      <c r="B985" s="55">
        <v>14026</v>
      </c>
      <c r="C985" s="56" t="s">
        <v>222</v>
      </c>
      <c r="D985" s="22">
        <v>2</v>
      </c>
    </row>
    <row r="986" spans="1:4" x14ac:dyDescent="0.2">
      <c r="A986" s="54">
        <v>860</v>
      </c>
      <c r="B986" s="55">
        <v>14027</v>
      </c>
      <c r="C986" s="56" t="s">
        <v>222</v>
      </c>
      <c r="D986" s="22">
        <v>1</v>
      </c>
    </row>
    <row r="987" spans="1:4" x14ac:dyDescent="0.2">
      <c r="A987" s="54">
        <v>861</v>
      </c>
      <c r="B987" s="55">
        <v>14051</v>
      </c>
      <c r="C987" s="56" t="s">
        <v>222</v>
      </c>
      <c r="D987" s="22">
        <v>2</v>
      </c>
    </row>
    <row r="988" spans="1:4" x14ac:dyDescent="0.2">
      <c r="A988" s="54">
        <v>861</v>
      </c>
      <c r="B988" s="55">
        <v>14052</v>
      </c>
      <c r="C988" s="56" t="s">
        <v>222</v>
      </c>
      <c r="D988" s="22">
        <v>1</v>
      </c>
    </row>
    <row r="989" spans="1:4" x14ac:dyDescent="0.2">
      <c r="A989" s="54">
        <v>862</v>
      </c>
      <c r="B989" s="55">
        <v>14107</v>
      </c>
      <c r="C989" s="56" t="s">
        <v>222</v>
      </c>
      <c r="D989" s="22">
        <v>2</v>
      </c>
    </row>
    <row r="990" spans="1:4" x14ac:dyDescent="0.2">
      <c r="A990" s="54">
        <v>862</v>
      </c>
      <c r="B990" s="55">
        <v>14108</v>
      </c>
      <c r="C990" s="56" t="s">
        <v>222</v>
      </c>
      <c r="D990" s="22">
        <v>1</v>
      </c>
    </row>
    <row r="991" spans="1:4" x14ac:dyDescent="0.2">
      <c r="A991" s="54">
        <v>863</v>
      </c>
      <c r="B991" s="55">
        <v>14054</v>
      </c>
      <c r="C991" s="56" t="s">
        <v>222</v>
      </c>
      <c r="D991" s="22">
        <v>2</v>
      </c>
    </row>
    <row r="992" spans="1:4" x14ac:dyDescent="0.2">
      <c r="A992" s="54">
        <v>863</v>
      </c>
      <c r="B992" s="55">
        <v>14055</v>
      </c>
      <c r="C992" s="56" t="s">
        <v>222</v>
      </c>
      <c r="D992" s="22">
        <v>1</v>
      </c>
    </row>
    <row r="993" spans="1:4" x14ac:dyDescent="0.2">
      <c r="A993" s="54">
        <v>864</v>
      </c>
      <c r="B993" s="55">
        <v>14121</v>
      </c>
      <c r="C993" s="56" t="s">
        <v>222</v>
      </c>
      <c r="D993" s="22">
        <v>2</v>
      </c>
    </row>
    <row r="994" spans="1:4" x14ac:dyDescent="0.2">
      <c r="A994" s="54">
        <v>864</v>
      </c>
      <c r="B994" s="55">
        <v>14122</v>
      </c>
      <c r="C994" s="56" t="s">
        <v>222</v>
      </c>
      <c r="D994" s="22">
        <v>1</v>
      </c>
    </row>
    <row r="995" spans="1:4" x14ac:dyDescent="0.2">
      <c r="A995" s="54">
        <v>865</v>
      </c>
      <c r="B995" s="55">
        <v>14057</v>
      </c>
      <c r="C995" s="56" t="s">
        <v>222</v>
      </c>
      <c r="D995" s="22">
        <v>2</v>
      </c>
    </row>
    <row r="996" spans="1:4" x14ac:dyDescent="0.2">
      <c r="A996" s="54">
        <v>865</v>
      </c>
      <c r="B996" s="55">
        <v>14058</v>
      </c>
      <c r="C996" s="56" t="s">
        <v>222</v>
      </c>
      <c r="D996" s="22">
        <v>1</v>
      </c>
    </row>
    <row r="997" spans="1:4" x14ac:dyDescent="0.2">
      <c r="A997" s="54">
        <v>866</v>
      </c>
      <c r="B997" s="55">
        <v>14059</v>
      </c>
      <c r="C997" s="56" t="s">
        <v>223</v>
      </c>
      <c r="D997" s="22" t="s">
        <v>36</v>
      </c>
    </row>
    <row r="998" spans="1:4" x14ac:dyDescent="0.2">
      <c r="A998" s="54">
        <v>867</v>
      </c>
      <c r="B998" s="55">
        <v>14060</v>
      </c>
      <c r="C998" s="56" t="s">
        <v>222</v>
      </c>
      <c r="D998" s="22">
        <v>2</v>
      </c>
    </row>
    <row r="999" spans="1:4" x14ac:dyDescent="0.2">
      <c r="A999" s="54">
        <v>867</v>
      </c>
      <c r="B999" s="55">
        <v>14061</v>
      </c>
      <c r="C999" s="56" t="s">
        <v>222</v>
      </c>
      <c r="D999" s="22">
        <v>1</v>
      </c>
    </row>
    <row r="1000" spans="1:4" x14ac:dyDescent="0.2">
      <c r="A1000" s="54">
        <v>868</v>
      </c>
      <c r="B1000" s="55">
        <v>14062</v>
      </c>
      <c r="C1000" s="56" t="s">
        <v>223</v>
      </c>
      <c r="D1000" s="22" t="s">
        <v>36</v>
      </c>
    </row>
    <row r="1001" spans="1:4" x14ac:dyDescent="0.2">
      <c r="A1001" s="54">
        <v>869</v>
      </c>
      <c r="B1001" s="55">
        <v>14063</v>
      </c>
      <c r="C1001" s="56" t="s">
        <v>222</v>
      </c>
      <c r="D1001" s="22">
        <v>2</v>
      </c>
    </row>
    <row r="1002" spans="1:4" x14ac:dyDescent="0.2">
      <c r="A1002" s="54">
        <v>869</v>
      </c>
      <c r="B1002" s="55">
        <v>14064</v>
      </c>
      <c r="C1002" s="56" t="s">
        <v>222</v>
      </c>
      <c r="D1002" s="22">
        <v>1</v>
      </c>
    </row>
    <row r="1003" spans="1:4" x14ac:dyDescent="0.2">
      <c r="A1003" s="54">
        <v>870</v>
      </c>
      <c r="B1003" s="55">
        <v>14065</v>
      </c>
      <c r="C1003" s="56" t="s">
        <v>223</v>
      </c>
      <c r="D1003" s="22" t="s">
        <v>36</v>
      </c>
    </row>
    <row r="1004" spans="1:4" x14ac:dyDescent="0.2">
      <c r="A1004" s="54">
        <v>871</v>
      </c>
      <c r="B1004" s="55">
        <v>14066</v>
      </c>
      <c r="C1004" s="56" t="s">
        <v>222</v>
      </c>
      <c r="D1004" s="22">
        <v>2</v>
      </c>
    </row>
    <row r="1005" spans="1:4" x14ac:dyDescent="0.2">
      <c r="A1005" s="54">
        <v>871</v>
      </c>
      <c r="B1005" s="55">
        <v>14067</v>
      </c>
      <c r="C1005" s="56" t="s">
        <v>222</v>
      </c>
      <c r="D1005" s="22">
        <v>1</v>
      </c>
    </row>
    <row r="1006" spans="1:4" x14ac:dyDescent="0.2">
      <c r="A1006" s="54">
        <v>872</v>
      </c>
      <c r="B1006" s="55">
        <v>14068</v>
      </c>
      <c r="C1006" s="56" t="s">
        <v>223</v>
      </c>
      <c r="D1006" s="22" t="s">
        <v>36</v>
      </c>
    </row>
    <row r="1007" spans="1:4" x14ac:dyDescent="0.2">
      <c r="A1007" s="54">
        <v>873</v>
      </c>
      <c r="B1007" s="55">
        <v>14078</v>
      </c>
      <c r="C1007" s="56" t="s">
        <v>222</v>
      </c>
      <c r="D1007" s="22">
        <v>2</v>
      </c>
    </row>
    <row r="1008" spans="1:4" x14ac:dyDescent="0.2">
      <c r="A1008" s="54">
        <v>873</v>
      </c>
      <c r="B1008" s="55">
        <v>14079</v>
      </c>
      <c r="C1008" s="56" t="s">
        <v>222</v>
      </c>
      <c r="D1008" s="22">
        <v>1</v>
      </c>
    </row>
    <row r="1009" spans="1:4" x14ac:dyDescent="0.2">
      <c r="A1009" s="54">
        <v>874</v>
      </c>
      <c r="B1009" s="55">
        <v>14080</v>
      </c>
      <c r="C1009" s="56" t="s">
        <v>223</v>
      </c>
      <c r="D1009" s="22" t="s">
        <v>36</v>
      </c>
    </row>
    <row r="1010" spans="1:4" x14ac:dyDescent="0.2">
      <c r="A1010" s="54">
        <v>875</v>
      </c>
      <c r="B1010" s="55">
        <v>14100</v>
      </c>
      <c r="C1010" s="56" t="s">
        <v>222</v>
      </c>
      <c r="D1010" s="22">
        <v>2</v>
      </c>
    </row>
    <row r="1011" spans="1:4" x14ac:dyDescent="0.2">
      <c r="A1011" s="54">
        <v>875</v>
      </c>
      <c r="B1011" s="55">
        <v>14101</v>
      </c>
      <c r="C1011" s="56" t="s">
        <v>222</v>
      </c>
      <c r="D1011" s="22">
        <v>1</v>
      </c>
    </row>
    <row r="1012" spans="1:4" x14ac:dyDescent="0.2">
      <c r="A1012" s="54">
        <v>876</v>
      </c>
      <c r="B1012" s="55">
        <v>14102</v>
      </c>
      <c r="C1012" s="56" t="s">
        <v>223</v>
      </c>
      <c r="D1012" s="22" t="s">
        <v>36</v>
      </c>
    </row>
    <row r="1013" spans="1:4" x14ac:dyDescent="0.2">
      <c r="A1013" s="54">
        <v>877</v>
      </c>
      <c r="B1013" s="55">
        <v>14123</v>
      </c>
      <c r="C1013" s="56" t="s">
        <v>222</v>
      </c>
      <c r="D1013" s="22">
        <v>2</v>
      </c>
    </row>
    <row r="1014" spans="1:4" x14ac:dyDescent="0.2">
      <c r="A1014" s="54">
        <v>877</v>
      </c>
      <c r="B1014" s="55">
        <v>14124</v>
      </c>
      <c r="C1014" s="56" t="s">
        <v>222</v>
      </c>
      <c r="D1014" s="22">
        <v>1</v>
      </c>
    </row>
    <row r="1015" spans="1:4" x14ac:dyDescent="0.2">
      <c r="A1015" s="54">
        <v>878</v>
      </c>
      <c r="B1015" s="55">
        <v>14125</v>
      </c>
      <c r="C1015" s="56" t="s">
        <v>223</v>
      </c>
      <c r="D1015" s="22" t="s">
        <v>36</v>
      </c>
    </row>
    <row r="1016" spans="1:4" x14ac:dyDescent="0.2">
      <c r="A1016" s="54">
        <v>879</v>
      </c>
      <c r="B1016" s="55">
        <v>14126</v>
      </c>
      <c r="C1016" s="56" t="s">
        <v>222</v>
      </c>
      <c r="D1016" s="22">
        <v>2</v>
      </c>
    </row>
    <row r="1017" spans="1:4" x14ac:dyDescent="0.2">
      <c r="A1017" s="54">
        <v>879</v>
      </c>
      <c r="B1017" s="55">
        <v>14127</v>
      </c>
      <c r="C1017" s="56" t="s">
        <v>222</v>
      </c>
      <c r="D1017" s="22">
        <v>1</v>
      </c>
    </row>
    <row r="1018" spans="1:4" x14ac:dyDescent="0.2">
      <c r="A1018" s="54">
        <v>880</v>
      </c>
      <c r="B1018" s="55">
        <v>14128</v>
      </c>
      <c r="C1018" s="56" t="s">
        <v>223</v>
      </c>
      <c r="D1018" s="22" t="s">
        <v>36</v>
      </c>
    </row>
    <row r="1019" spans="1:4" x14ac:dyDescent="0.2">
      <c r="A1019" s="54">
        <v>881</v>
      </c>
      <c r="B1019" s="55">
        <v>14129</v>
      </c>
      <c r="C1019" s="56" t="s">
        <v>222</v>
      </c>
      <c r="D1019" s="22">
        <v>2</v>
      </c>
    </row>
    <row r="1020" spans="1:4" x14ac:dyDescent="0.2">
      <c r="A1020" s="54">
        <v>881</v>
      </c>
      <c r="B1020" s="55">
        <v>14130</v>
      </c>
      <c r="C1020" s="56" t="s">
        <v>222</v>
      </c>
      <c r="D1020" s="22">
        <v>1</v>
      </c>
    </row>
    <row r="1021" spans="1:4" x14ac:dyDescent="0.2">
      <c r="A1021" s="54">
        <v>882</v>
      </c>
      <c r="B1021" s="55">
        <v>14131</v>
      </c>
      <c r="C1021" s="56" t="s">
        <v>223</v>
      </c>
      <c r="D1021" s="22" t="s">
        <v>36</v>
      </c>
    </row>
    <row r="1022" spans="1:4" x14ac:dyDescent="0.2">
      <c r="A1022" s="54">
        <v>883</v>
      </c>
      <c r="B1022" s="55">
        <v>14132</v>
      </c>
      <c r="C1022" s="56" t="s">
        <v>222</v>
      </c>
      <c r="D1022" s="22">
        <v>2</v>
      </c>
    </row>
    <row r="1023" spans="1:4" x14ac:dyDescent="0.2">
      <c r="A1023" s="54">
        <v>883</v>
      </c>
      <c r="B1023" s="55">
        <v>14133</v>
      </c>
      <c r="C1023" s="56" t="s">
        <v>222</v>
      </c>
      <c r="D1023" s="22">
        <v>1</v>
      </c>
    </row>
    <row r="1024" spans="1:4" x14ac:dyDescent="0.2">
      <c r="A1024" s="54">
        <v>884</v>
      </c>
      <c r="B1024" s="55">
        <v>14134</v>
      </c>
      <c r="C1024" s="56" t="s">
        <v>223</v>
      </c>
      <c r="D1024" s="22" t="s">
        <v>36</v>
      </c>
    </row>
    <row r="1025" spans="1:4" x14ac:dyDescent="0.2">
      <c r="A1025" s="54">
        <v>885</v>
      </c>
      <c r="B1025" s="55">
        <v>14135</v>
      </c>
      <c r="C1025" s="56" t="s">
        <v>222</v>
      </c>
      <c r="D1025" s="22">
        <v>2</v>
      </c>
    </row>
    <row r="1026" spans="1:4" x14ac:dyDescent="0.2">
      <c r="A1026" s="54">
        <v>885</v>
      </c>
      <c r="B1026" s="55">
        <v>14136</v>
      </c>
      <c r="C1026" s="56" t="s">
        <v>222</v>
      </c>
      <c r="D1026" s="22">
        <v>1</v>
      </c>
    </row>
    <row r="1027" spans="1:4" x14ac:dyDescent="0.2">
      <c r="A1027" s="54">
        <v>886</v>
      </c>
      <c r="B1027" s="55">
        <v>14137</v>
      </c>
      <c r="C1027" s="56" t="s">
        <v>223</v>
      </c>
      <c r="D1027" s="22" t="s">
        <v>36</v>
      </c>
    </row>
    <row r="1028" spans="1:4" x14ac:dyDescent="0.2">
      <c r="A1028" s="54">
        <v>887</v>
      </c>
      <c r="B1028" s="55">
        <v>14144</v>
      </c>
      <c r="C1028" s="56" t="s">
        <v>222</v>
      </c>
      <c r="D1028" s="22">
        <v>2</v>
      </c>
    </row>
    <row r="1029" spans="1:4" x14ac:dyDescent="0.2">
      <c r="A1029" s="54">
        <v>887</v>
      </c>
      <c r="B1029" s="55">
        <v>14145</v>
      </c>
      <c r="C1029" s="56" t="s">
        <v>222</v>
      </c>
      <c r="D1029" s="22">
        <v>1</v>
      </c>
    </row>
    <row r="1030" spans="1:4" x14ac:dyDescent="0.2">
      <c r="A1030" s="54">
        <v>888</v>
      </c>
      <c r="B1030" s="55">
        <v>14146</v>
      </c>
      <c r="C1030" s="56" t="s">
        <v>223</v>
      </c>
      <c r="D1030" s="22" t="s">
        <v>36</v>
      </c>
    </row>
    <row r="1031" spans="1:4" x14ac:dyDescent="0.2">
      <c r="A1031" s="54">
        <v>889</v>
      </c>
      <c r="B1031" s="55">
        <v>278</v>
      </c>
      <c r="C1031" s="56" t="s">
        <v>222</v>
      </c>
      <c r="D1031" s="22">
        <v>2</v>
      </c>
    </row>
    <row r="1032" spans="1:4" x14ac:dyDescent="0.2">
      <c r="A1032" s="54">
        <v>889</v>
      </c>
      <c r="B1032" s="55">
        <v>289</v>
      </c>
      <c r="C1032" s="56" t="s">
        <v>222</v>
      </c>
      <c r="D1032" s="22">
        <v>1</v>
      </c>
    </row>
    <row r="1033" spans="1:4" x14ac:dyDescent="0.2">
      <c r="A1033" s="54">
        <v>890</v>
      </c>
      <c r="B1033" s="55">
        <v>14028</v>
      </c>
      <c r="C1033" s="56" t="s">
        <v>223</v>
      </c>
      <c r="D1033" s="22" t="s">
        <v>36</v>
      </c>
    </row>
    <row r="1034" spans="1:4" x14ac:dyDescent="0.2">
      <c r="A1034" s="54">
        <v>891</v>
      </c>
      <c r="B1034" s="55">
        <v>14099</v>
      </c>
      <c r="C1034" s="56" t="s">
        <v>223</v>
      </c>
      <c r="D1034" s="22" t="s">
        <v>36</v>
      </c>
    </row>
    <row r="1035" spans="1:4" x14ac:dyDescent="0.2">
      <c r="A1035" s="54">
        <v>892</v>
      </c>
      <c r="B1035" s="55">
        <v>14119</v>
      </c>
      <c r="C1035" s="56" t="s">
        <v>223</v>
      </c>
      <c r="D1035" s="22" t="s">
        <v>36</v>
      </c>
    </row>
    <row r="1036" spans="1:4" x14ac:dyDescent="0.2">
      <c r="A1036" s="54">
        <v>893</v>
      </c>
      <c r="B1036" s="55">
        <v>14120</v>
      </c>
      <c r="C1036" s="56" t="s">
        <v>223</v>
      </c>
      <c r="D1036" s="22" t="s">
        <v>36</v>
      </c>
    </row>
    <row r="1037" spans="1:4" x14ac:dyDescent="0.2">
      <c r="A1037" s="54">
        <v>894</v>
      </c>
      <c r="B1037" s="55">
        <v>300</v>
      </c>
      <c r="C1037" s="56" t="s">
        <v>180</v>
      </c>
      <c r="D1037" s="22" t="s">
        <v>36</v>
      </c>
    </row>
    <row r="1038" spans="1:4" x14ac:dyDescent="0.2">
      <c r="A1038" s="54">
        <v>895</v>
      </c>
      <c r="B1038" s="55">
        <v>311</v>
      </c>
      <c r="C1038" s="56" t="s">
        <v>180</v>
      </c>
      <c r="D1038" s="22" t="s">
        <v>36</v>
      </c>
    </row>
    <row r="1039" spans="1:4" x14ac:dyDescent="0.2">
      <c r="A1039" s="54">
        <v>896</v>
      </c>
      <c r="B1039" s="55">
        <v>312</v>
      </c>
      <c r="C1039" s="56" t="s">
        <v>180</v>
      </c>
      <c r="D1039" s="22" t="s">
        <v>36</v>
      </c>
    </row>
    <row r="1040" spans="1:4" x14ac:dyDescent="0.2">
      <c r="A1040" s="54">
        <v>897</v>
      </c>
      <c r="B1040" s="55">
        <v>14097</v>
      </c>
      <c r="C1040" s="56" t="s">
        <v>223</v>
      </c>
      <c r="D1040" s="22" t="s">
        <v>36</v>
      </c>
    </row>
    <row r="1041" spans="1:4" x14ac:dyDescent="0.2">
      <c r="A1041" s="54">
        <v>898</v>
      </c>
      <c r="B1041" s="55">
        <v>14098</v>
      </c>
      <c r="C1041" s="56" t="s">
        <v>223</v>
      </c>
      <c r="D1041" s="22" t="s">
        <v>36</v>
      </c>
    </row>
    <row r="1042" spans="1:4" x14ac:dyDescent="0.2">
      <c r="A1042" s="54">
        <v>899</v>
      </c>
      <c r="B1042" s="55">
        <v>281</v>
      </c>
      <c r="C1042" s="56" t="s">
        <v>224</v>
      </c>
      <c r="D1042" s="22" t="s">
        <v>36</v>
      </c>
    </row>
    <row r="1043" spans="1:4" x14ac:dyDescent="0.2">
      <c r="A1043" s="54">
        <v>900</v>
      </c>
      <c r="B1043" s="55">
        <v>282</v>
      </c>
      <c r="C1043" s="56" t="s">
        <v>224</v>
      </c>
      <c r="D1043" s="22" t="s">
        <v>36</v>
      </c>
    </row>
    <row r="1044" spans="1:4" x14ac:dyDescent="0.2">
      <c r="A1044" s="54">
        <v>901</v>
      </c>
      <c r="B1044" s="55">
        <v>283</v>
      </c>
      <c r="C1044" s="56" t="s">
        <v>224</v>
      </c>
      <c r="D1044" s="22" t="s">
        <v>36</v>
      </c>
    </row>
    <row r="1045" spans="1:4" x14ac:dyDescent="0.2">
      <c r="A1045" s="54">
        <v>902</v>
      </c>
      <c r="B1045" s="55">
        <v>284</v>
      </c>
      <c r="C1045" s="56" t="s">
        <v>224</v>
      </c>
      <c r="D1045" s="22" t="s">
        <v>36</v>
      </c>
    </row>
    <row r="1046" spans="1:4" x14ac:dyDescent="0.2">
      <c r="A1046" s="54">
        <v>903</v>
      </c>
      <c r="B1046" s="55">
        <v>285</v>
      </c>
      <c r="C1046" s="56" t="s">
        <v>224</v>
      </c>
      <c r="D1046" s="22" t="s">
        <v>36</v>
      </c>
    </row>
    <row r="1047" spans="1:4" x14ac:dyDescent="0.2">
      <c r="A1047" s="54">
        <v>904</v>
      </c>
      <c r="B1047" s="55">
        <v>286</v>
      </c>
      <c r="C1047" s="56" t="s">
        <v>225</v>
      </c>
      <c r="D1047" s="22" t="s">
        <v>36</v>
      </c>
    </row>
    <row r="1048" spans="1:4" x14ac:dyDescent="0.2">
      <c r="A1048" s="54">
        <v>905</v>
      </c>
      <c r="B1048" s="55">
        <v>287</v>
      </c>
      <c r="C1048" s="56" t="s">
        <v>225</v>
      </c>
      <c r="D1048" s="22" t="s">
        <v>36</v>
      </c>
    </row>
    <row r="1049" spans="1:4" x14ac:dyDescent="0.2">
      <c r="A1049" s="54">
        <v>906</v>
      </c>
      <c r="B1049" s="55">
        <v>288</v>
      </c>
      <c r="C1049" s="56" t="s">
        <v>225</v>
      </c>
      <c r="D1049" s="22" t="s">
        <v>36</v>
      </c>
    </row>
    <row r="1050" spans="1:4" x14ac:dyDescent="0.2">
      <c r="A1050" s="54">
        <v>907</v>
      </c>
      <c r="B1050" s="55">
        <v>292</v>
      </c>
      <c r="C1050" s="56" t="s">
        <v>226</v>
      </c>
      <c r="D1050" s="22" t="s">
        <v>36</v>
      </c>
    </row>
    <row r="1051" spans="1:4" x14ac:dyDescent="0.2">
      <c r="A1051" s="54">
        <v>908</v>
      </c>
      <c r="B1051" s="55">
        <v>293</v>
      </c>
      <c r="C1051" s="56" t="s">
        <v>226</v>
      </c>
      <c r="D1051" s="22" t="s">
        <v>36</v>
      </c>
    </row>
    <row r="1052" spans="1:4" x14ac:dyDescent="0.2">
      <c r="A1052" s="54">
        <v>909</v>
      </c>
      <c r="B1052" s="55">
        <v>294</v>
      </c>
      <c r="C1052" s="56" t="s">
        <v>226</v>
      </c>
      <c r="D1052" s="22" t="s">
        <v>36</v>
      </c>
    </row>
    <row r="1053" spans="1:4" x14ac:dyDescent="0.2">
      <c r="A1053" s="54">
        <v>910</v>
      </c>
      <c r="B1053" s="55">
        <v>295</v>
      </c>
      <c r="C1053" s="56" t="s">
        <v>226</v>
      </c>
      <c r="D1053" s="22" t="s">
        <v>36</v>
      </c>
    </row>
    <row r="1054" spans="1:4" x14ac:dyDescent="0.2">
      <c r="A1054" s="54">
        <v>911</v>
      </c>
      <c r="B1054" s="55">
        <v>296</v>
      </c>
      <c r="C1054" s="56" t="s">
        <v>226</v>
      </c>
      <c r="D1054" s="22" t="s">
        <v>36</v>
      </c>
    </row>
    <row r="1055" spans="1:4" x14ac:dyDescent="0.2">
      <c r="A1055" s="54">
        <v>912</v>
      </c>
      <c r="B1055" s="55">
        <v>297</v>
      </c>
      <c r="C1055" s="56" t="s">
        <v>226</v>
      </c>
      <c r="D1055" s="22" t="s">
        <v>36</v>
      </c>
    </row>
    <row r="1056" spans="1:4" x14ac:dyDescent="0.2">
      <c r="A1056" s="54">
        <v>913</v>
      </c>
      <c r="B1056" s="55">
        <v>298</v>
      </c>
      <c r="C1056" s="56" t="s">
        <v>226</v>
      </c>
      <c r="D1056" s="22" t="s">
        <v>36</v>
      </c>
    </row>
    <row r="1057" spans="1:4" x14ac:dyDescent="0.2">
      <c r="A1057" s="54">
        <v>914</v>
      </c>
      <c r="B1057" s="55">
        <v>299</v>
      </c>
      <c r="C1057" s="56" t="s">
        <v>227</v>
      </c>
      <c r="D1057" s="22">
        <v>1</v>
      </c>
    </row>
    <row r="1058" spans="1:4" x14ac:dyDescent="0.2">
      <c r="A1058" s="54">
        <v>915</v>
      </c>
      <c r="B1058" s="55">
        <v>313</v>
      </c>
      <c r="C1058" s="56" t="s">
        <v>180</v>
      </c>
      <c r="D1058" s="22">
        <v>2</v>
      </c>
    </row>
    <row r="1059" spans="1:4" x14ac:dyDescent="0.2">
      <c r="A1059" s="54">
        <v>915</v>
      </c>
      <c r="B1059" s="55">
        <v>314</v>
      </c>
      <c r="C1059" s="56" t="s">
        <v>180</v>
      </c>
      <c r="D1059" s="22">
        <v>1</v>
      </c>
    </row>
    <row r="1060" spans="1:4" x14ac:dyDescent="0.2">
      <c r="A1060" s="54">
        <v>916</v>
      </c>
      <c r="B1060" s="55">
        <v>315</v>
      </c>
      <c r="C1060" s="56" t="s">
        <v>180</v>
      </c>
      <c r="D1060" s="22">
        <v>2</v>
      </c>
    </row>
    <row r="1061" spans="1:4" x14ac:dyDescent="0.2">
      <c r="A1061" s="54">
        <v>916</v>
      </c>
      <c r="B1061" s="55">
        <v>316</v>
      </c>
      <c r="C1061" s="56" t="s">
        <v>180</v>
      </c>
      <c r="D1061" s="22">
        <v>1</v>
      </c>
    </row>
    <row r="1062" spans="1:4" x14ac:dyDescent="0.2">
      <c r="A1062" s="54">
        <v>917</v>
      </c>
      <c r="B1062" s="55">
        <v>279</v>
      </c>
      <c r="C1062" s="56" t="s">
        <v>180</v>
      </c>
      <c r="D1062" s="22">
        <v>2</v>
      </c>
    </row>
    <row r="1063" spans="1:4" x14ac:dyDescent="0.2">
      <c r="A1063" s="54">
        <v>917</v>
      </c>
      <c r="B1063" s="55">
        <v>280</v>
      </c>
      <c r="C1063" s="56" t="s">
        <v>180</v>
      </c>
      <c r="D1063" s="22">
        <v>1</v>
      </c>
    </row>
    <row r="1064" spans="1:4" x14ac:dyDescent="0.2">
      <c r="A1064" s="54">
        <v>918</v>
      </c>
      <c r="B1064" s="55">
        <v>290</v>
      </c>
      <c r="C1064" s="56" t="s">
        <v>115</v>
      </c>
      <c r="D1064" s="22">
        <v>1</v>
      </c>
    </row>
    <row r="1065" spans="1:4" x14ac:dyDescent="0.2">
      <c r="A1065" s="54">
        <v>918</v>
      </c>
      <c r="B1065" s="55">
        <v>291</v>
      </c>
      <c r="C1065" s="56" t="s">
        <v>115</v>
      </c>
      <c r="D1065" s="22">
        <v>1</v>
      </c>
    </row>
    <row r="1066" spans="1:4" x14ac:dyDescent="0.2">
      <c r="A1066" s="54">
        <v>919</v>
      </c>
      <c r="B1066" s="55">
        <v>57</v>
      </c>
      <c r="C1066" s="56" t="s">
        <v>228</v>
      </c>
      <c r="D1066" s="22">
        <v>1</v>
      </c>
    </row>
    <row r="1067" spans="1:4" x14ac:dyDescent="0.2">
      <c r="A1067" s="54">
        <v>919</v>
      </c>
      <c r="B1067" s="55">
        <v>278</v>
      </c>
      <c r="C1067" s="56" t="s">
        <v>228</v>
      </c>
      <c r="D1067" s="22">
        <v>2</v>
      </c>
    </row>
    <row r="1068" spans="1:4" x14ac:dyDescent="0.2">
      <c r="A1068" s="54">
        <v>920</v>
      </c>
      <c r="B1068" s="55">
        <v>57</v>
      </c>
      <c r="C1068" s="56" t="s">
        <v>228</v>
      </c>
      <c r="D1068" s="22">
        <v>1</v>
      </c>
    </row>
    <row r="1069" spans="1:4" x14ac:dyDescent="0.2">
      <c r="A1069" s="54">
        <v>920</v>
      </c>
      <c r="B1069" s="55">
        <v>278</v>
      </c>
      <c r="C1069" s="56" t="s">
        <v>228</v>
      </c>
      <c r="D1069" s="22">
        <v>2</v>
      </c>
    </row>
    <row r="1070" spans="1:4" x14ac:dyDescent="0.2">
      <c r="A1070" s="54">
        <v>922</v>
      </c>
      <c r="B1070" s="55">
        <v>301</v>
      </c>
      <c r="C1070" s="56" t="s">
        <v>138</v>
      </c>
      <c r="D1070" s="22">
        <v>1</v>
      </c>
    </row>
    <row r="1071" spans="1:4" x14ac:dyDescent="0.2">
      <c r="A1071" s="54">
        <v>923</v>
      </c>
      <c r="B1071" s="55">
        <v>302</v>
      </c>
      <c r="C1071" s="56" t="s">
        <v>138</v>
      </c>
      <c r="D1071" s="22">
        <v>1</v>
      </c>
    </row>
    <row r="1072" spans="1:4" x14ac:dyDescent="0.2">
      <c r="A1072" s="54">
        <v>924</v>
      </c>
      <c r="B1072" s="55">
        <v>303</v>
      </c>
      <c r="C1072" s="56" t="s">
        <v>138</v>
      </c>
      <c r="D1072" s="22">
        <v>1</v>
      </c>
    </row>
    <row r="1073" spans="1:4" x14ac:dyDescent="0.2">
      <c r="A1073" s="54">
        <v>925</v>
      </c>
      <c r="B1073" s="55">
        <v>259</v>
      </c>
      <c r="C1073" s="56" t="s">
        <v>229</v>
      </c>
      <c r="D1073" s="22" t="s">
        <v>168</v>
      </c>
    </row>
    <row r="1074" spans="1:4" x14ac:dyDescent="0.2">
      <c r="A1074" s="54">
        <v>925</v>
      </c>
      <c r="B1074" s="55">
        <v>307</v>
      </c>
      <c r="C1074" s="56" t="s">
        <v>229</v>
      </c>
      <c r="D1074" s="22" t="s">
        <v>168</v>
      </c>
    </row>
    <row r="1075" spans="1:4" x14ac:dyDescent="0.2">
      <c r="A1075" s="54">
        <v>926</v>
      </c>
      <c r="B1075" s="55">
        <v>261</v>
      </c>
      <c r="C1075" s="56" t="s">
        <v>169</v>
      </c>
      <c r="D1075" s="22" t="s">
        <v>168</v>
      </c>
    </row>
    <row r="1076" spans="1:4" x14ac:dyDescent="0.2">
      <c r="A1076" s="54">
        <v>926</v>
      </c>
      <c r="B1076" s="55">
        <v>308</v>
      </c>
      <c r="C1076" s="56" t="s">
        <v>169</v>
      </c>
      <c r="D1076" s="22" t="s">
        <v>168</v>
      </c>
    </row>
    <row r="1077" spans="1:4" x14ac:dyDescent="0.2">
      <c r="A1077" s="54">
        <v>927</v>
      </c>
      <c r="B1077" s="55">
        <v>263</v>
      </c>
      <c r="C1077" s="56" t="s">
        <v>171</v>
      </c>
      <c r="D1077" s="22" t="s">
        <v>168</v>
      </c>
    </row>
    <row r="1078" spans="1:4" x14ac:dyDescent="0.2">
      <c r="A1078" s="54">
        <v>927</v>
      </c>
      <c r="B1078" s="55">
        <v>309</v>
      </c>
      <c r="C1078" s="56" t="s">
        <v>171</v>
      </c>
      <c r="D1078" s="22" t="s">
        <v>168</v>
      </c>
    </row>
    <row r="1079" spans="1:4" x14ac:dyDescent="0.2">
      <c r="A1079" s="54">
        <v>928</v>
      </c>
      <c r="B1079" s="55">
        <v>265</v>
      </c>
      <c r="C1079" s="56" t="s">
        <v>170</v>
      </c>
      <c r="D1079" s="22" t="s">
        <v>168</v>
      </c>
    </row>
    <row r="1080" spans="1:4" x14ac:dyDescent="0.2">
      <c r="A1080" s="54">
        <v>928</v>
      </c>
      <c r="B1080" s="55">
        <v>310</v>
      </c>
      <c r="C1080" s="56" t="s">
        <v>170</v>
      </c>
      <c r="D1080" s="22" t="s">
        <v>168</v>
      </c>
    </row>
    <row r="1081" spans="1:4" x14ac:dyDescent="0.2">
      <c r="A1081" s="54">
        <v>929</v>
      </c>
      <c r="B1081" s="55">
        <v>14041</v>
      </c>
      <c r="C1081" s="56" t="s">
        <v>224</v>
      </c>
      <c r="D1081" s="22" t="s">
        <v>36</v>
      </c>
    </row>
    <row r="1082" spans="1:4" x14ac:dyDescent="0.2">
      <c r="A1082" s="54">
        <v>930</v>
      </c>
      <c r="B1082" s="55">
        <v>14053</v>
      </c>
      <c r="C1082" s="56" t="s">
        <v>224</v>
      </c>
      <c r="D1082" s="22" t="s">
        <v>36</v>
      </c>
    </row>
    <row r="1083" spans="1:4" x14ac:dyDescent="0.2">
      <c r="A1083" s="54">
        <v>931</v>
      </c>
      <c r="B1083" s="55">
        <v>14056</v>
      </c>
      <c r="C1083" s="56" t="s">
        <v>224</v>
      </c>
      <c r="D1083" s="22" t="s">
        <v>36</v>
      </c>
    </row>
    <row r="1084" spans="1:4" x14ac:dyDescent="0.2">
      <c r="A1084" s="54">
        <v>932</v>
      </c>
      <c r="B1084" s="55">
        <v>191</v>
      </c>
      <c r="C1084" s="56" t="s">
        <v>230</v>
      </c>
      <c r="D1084" s="22">
        <v>2</v>
      </c>
    </row>
    <row r="1085" spans="1:4" x14ac:dyDescent="0.2">
      <c r="A1085" s="54">
        <v>932</v>
      </c>
      <c r="B1085" s="55">
        <v>353</v>
      </c>
      <c r="C1085" s="56" t="s">
        <v>230</v>
      </c>
      <c r="D1085" s="22">
        <v>1</v>
      </c>
    </row>
    <row r="1086" spans="1:4" x14ac:dyDescent="0.2">
      <c r="A1086" s="54">
        <v>932</v>
      </c>
      <c r="B1086" s="55">
        <v>354</v>
      </c>
      <c r="C1086" s="56" t="s">
        <v>230</v>
      </c>
      <c r="D1086" s="22">
        <v>1</v>
      </c>
    </row>
    <row r="1087" spans="1:4" x14ac:dyDescent="0.2">
      <c r="A1087" s="54">
        <v>932</v>
      </c>
      <c r="B1087" s="55">
        <v>355</v>
      </c>
      <c r="C1087" s="56" t="s">
        <v>230</v>
      </c>
      <c r="D1087" s="22">
        <v>1</v>
      </c>
    </row>
    <row r="1088" spans="1:4" x14ac:dyDescent="0.2">
      <c r="A1088" s="54">
        <v>933</v>
      </c>
      <c r="B1088" s="55">
        <v>14147</v>
      </c>
      <c r="C1088" s="56" t="s">
        <v>222</v>
      </c>
      <c r="D1088" s="22">
        <v>2</v>
      </c>
    </row>
    <row r="1089" spans="1:4" x14ac:dyDescent="0.2">
      <c r="A1089" s="54">
        <v>933</v>
      </c>
      <c r="B1089" s="55">
        <v>14148</v>
      </c>
      <c r="C1089" s="56" t="s">
        <v>222</v>
      </c>
      <c r="D1089" s="22">
        <v>1</v>
      </c>
    </row>
    <row r="1090" spans="1:4" x14ac:dyDescent="0.2">
      <c r="A1090" s="54">
        <v>934</v>
      </c>
      <c r="B1090" s="55">
        <v>14149</v>
      </c>
      <c r="C1090" s="56" t="s">
        <v>223</v>
      </c>
      <c r="D1090" s="22" t="s">
        <v>36</v>
      </c>
    </row>
    <row r="1091" spans="1:4" x14ac:dyDescent="0.2">
      <c r="A1091" s="54">
        <v>935</v>
      </c>
      <c r="B1091" s="55">
        <v>374</v>
      </c>
      <c r="C1091" s="56" t="s">
        <v>231</v>
      </c>
      <c r="D1091" s="22" t="s">
        <v>266</v>
      </c>
    </row>
    <row r="1092" spans="1:4" x14ac:dyDescent="0.2">
      <c r="A1092" s="54">
        <v>935</v>
      </c>
      <c r="B1092" s="55">
        <v>375</v>
      </c>
      <c r="C1092" s="56" t="s">
        <v>231</v>
      </c>
      <c r="D1092" s="22" t="s">
        <v>265</v>
      </c>
    </row>
    <row r="1093" spans="1:4" x14ac:dyDescent="0.2">
      <c r="A1093" s="54">
        <v>936</v>
      </c>
      <c r="B1093" s="55">
        <v>1422</v>
      </c>
      <c r="C1093" s="56" t="s">
        <v>231</v>
      </c>
      <c r="D1093" s="22">
        <v>1</v>
      </c>
    </row>
    <row r="1094" spans="1:4" x14ac:dyDescent="0.2">
      <c r="A1094" s="54">
        <v>936</v>
      </c>
      <c r="B1094" s="55">
        <v>1423</v>
      </c>
      <c r="C1094" s="56" t="s">
        <v>231</v>
      </c>
      <c r="D1094" s="22">
        <v>2</v>
      </c>
    </row>
    <row r="1095" spans="1:4" x14ac:dyDescent="0.2">
      <c r="A1095" s="54">
        <v>937</v>
      </c>
      <c r="B1095" s="55">
        <v>14150</v>
      </c>
      <c r="C1095" s="56" t="s">
        <v>231</v>
      </c>
      <c r="D1095" s="22">
        <v>2</v>
      </c>
    </row>
    <row r="1096" spans="1:4" x14ac:dyDescent="0.2">
      <c r="A1096" s="54">
        <v>937</v>
      </c>
      <c r="B1096" s="55">
        <v>14151</v>
      </c>
      <c r="C1096" s="56" t="s">
        <v>231</v>
      </c>
      <c r="D1096" s="22">
        <v>1</v>
      </c>
    </row>
    <row r="1097" spans="1:4" x14ac:dyDescent="0.2">
      <c r="A1097" s="54">
        <v>938</v>
      </c>
      <c r="B1097" s="55">
        <v>376</v>
      </c>
      <c r="C1097" s="56" t="s">
        <v>231</v>
      </c>
      <c r="D1097" s="22">
        <v>2</v>
      </c>
    </row>
    <row r="1098" spans="1:4" x14ac:dyDescent="0.2">
      <c r="A1098" s="54">
        <v>938</v>
      </c>
      <c r="B1098" s="55">
        <v>377</v>
      </c>
      <c r="C1098" s="56" t="s">
        <v>231</v>
      </c>
      <c r="D1098" s="22">
        <v>1</v>
      </c>
    </row>
    <row r="1099" spans="1:4" x14ac:dyDescent="0.2">
      <c r="A1099" s="54">
        <v>939</v>
      </c>
      <c r="B1099" s="55">
        <v>395</v>
      </c>
      <c r="C1099" s="56" t="s">
        <v>231</v>
      </c>
      <c r="D1099" s="22">
        <v>2</v>
      </c>
    </row>
    <row r="1100" spans="1:4" x14ac:dyDescent="0.2">
      <c r="A1100" s="54">
        <v>939</v>
      </c>
      <c r="B1100" s="55">
        <v>396</v>
      </c>
      <c r="C1100" s="56" t="s">
        <v>231</v>
      </c>
      <c r="D1100" s="22">
        <v>1</v>
      </c>
    </row>
    <row r="1101" spans="1:4" x14ac:dyDescent="0.2">
      <c r="A1101" s="54">
        <v>940</v>
      </c>
      <c r="B1101" s="55">
        <v>397</v>
      </c>
      <c r="C1101" s="56" t="s">
        <v>232</v>
      </c>
      <c r="D1101" s="22" t="s">
        <v>190</v>
      </c>
    </row>
    <row r="1102" spans="1:4" x14ac:dyDescent="0.2">
      <c r="A1102" s="54">
        <v>941</v>
      </c>
      <c r="B1102" s="55">
        <v>398</v>
      </c>
      <c r="C1102" s="56" t="s">
        <v>233</v>
      </c>
      <c r="D1102" s="22" t="s">
        <v>190</v>
      </c>
    </row>
    <row r="1103" spans="1:4" x14ac:dyDescent="0.2">
      <c r="A1103" s="54">
        <v>942</v>
      </c>
      <c r="B1103" s="55">
        <v>400</v>
      </c>
      <c r="C1103" s="56" t="s">
        <v>83</v>
      </c>
      <c r="D1103" s="22">
        <v>1</v>
      </c>
    </row>
    <row r="1104" spans="1:4" x14ac:dyDescent="0.2">
      <c r="A1104" s="54">
        <v>942</v>
      </c>
      <c r="B1104" s="55">
        <v>401</v>
      </c>
      <c r="C1104" s="56" t="s">
        <v>83</v>
      </c>
      <c r="D1104" s="22">
        <v>2</v>
      </c>
    </row>
    <row r="1105" spans="1:4" x14ac:dyDescent="0.2">
      <c r="A1105" s="54">
        <v>943</v>
      </c>
      <c r="B1105" s="55">
        <v>404</v>
      </c>
      <c r="C1105" s="56" t="s">
        <v>74</v>
      </c>
      <c r="D1105" s="22">
        <v>1</v>
      </c>
    </row>
    <row r="1106" spans="1:4" x14ac:dyDescent="0.2">
      <c r="A1106" s="54">
        <v>943</v>
      </c>
      <c r="B1106" s="55">
        <v>405</v>
      </c>
      <c r="C1106" s="56" t="s">
        <v>74</v>
      </c>
      <c r="D1106" s="22">
        <v>2</v>
      </c>
    </row>
    <row r="1107" spans="1:4" x14ac:dyDescent="0.2">
      <c r="A1107" s="54">
        <v>944</v>
      </c>
      <c r="B1107" s="55">
        <v>406</v>
      </c>
      <c r="C1107" s="56" t="s">
        <v>74</v>
      </c>
      <c r="D1107" s="22">
        <v>1</v>
      </c>
    </row>
    <row r="1108" spans="1:4" x14ac:dyDescent="0.2">
      <c r="A1108" s="54">
        <v>944</v>
      </c>
      <c r="B1108" s="55">
        <v>407</v>
      </c>
      <c r="C1108" s="56" t="s">
        <v>74</v>
      </c>
      <c r="D1108" s="22">
        <v>2</v>
      </c>
    </row>
    <row r="1109" spans="1:4" x14ac:dyDescent="0.2">
      <c r="A1109" s="54">
        <v>945</v>
      </c>
      <c r="B1109" s="55">
        <v>408</v>
      </c>
      <c r="C1109" s="56" t="s">
        <v>74</v>
      </c>
      <c r="D1109" s="22">
        <v>1</v>
      </c>
    </row>
    <row r="1110" spans="1:4" x14ac:dyDescent="0.2">
      <c r="A1110" s="54">
        <v>945</v>
      </c>
      <c r="B1110" s="55">
        <v>409</v>
      </c>
      <c r="C1110" s="56" t="s">
        <v>74</v>
      </c>
      <c r="D1110" s="22">
        <v>2</v>
      </c>
    </row>
    <row r="1111" spans="1:4" x14ac:dyDescent="0.2">
      <c r="A1111" s="54">
        <v>946</v>
      </c>
      <c r="B1111" s="55">
        <v>410</v>
      </c>
      <c r="C1111" s="56" t="s">
        <v>74</v>
      </c>
      <c r="D1111" s="22">
        <v>1</v>
      </c>
    </row>
    <row r="1112" spans="1:4" x14ac:dyDescent="0.2">
      <c r="A1112" s="54">
        <v>946</v>
      </c>
      <c r="B1112" s="55">
        <v>411</v>
      </c>
      <c r="C1112" s="56" t="s">
        <v>74</v>
      </c>
      <c r="D1112" s="22">
        <v>2</v>
      </c>
    </row>
    <row r="1113" spans="1:4" x14ac:dyDescent="0.2">
      <c r="A1113" s="54">
        <v>947</v>
      </c>
      <c r="B1113" s="55">
        <v>412</v>
      </c>
      <c r="C1113" s="56" t="s">
        <v>234</v>
      </c>
      <c r="D1113" s="22">
        <v>2</v>
      </c>
    </row>
    <row r="1114" spans="1:4" x14ac:dyDescent="0.2">
      <c r="A1114" s="54">
        <v>947</v>
      </c>
      <c r="B1114" s="55">
        <v>413</v>
      </c>
      <c r="C1114" s="56" t="s">
        <v>234</v>
      </c>
      <c r="D1114" s="22">
        <v>1</v>
      </c>
    </row>
    <row r="1115" spans="1:4" x14ac:dyDescent="0.2">
      <c r="A1115" s="54">
        <v>947</v>
      </c>
      <c r="B1115" s="55">
        <v>414</v>
      </c>
      <c r="C1115" s="56" t="s">
        <v>234</v>
      </c>
      <c r="D1115" s="22">
        <v>1</v>
      </c>
    </row>
    <row r="1116" spans="1:4" x14ac:dyDescent="0.2">
      <c r="A1116" s="54">
        <v>948</v>
      </c>
      <c r="B1116" s="55">
        <v>415</v>
      </c>
      <c r="C1116" s="56" t="s">
        <v>235</v>
      </c>
      <c r="D1116" s="22" t="s">
        <v>266</v>
      </c>
    </row>
    <row r="1117" spans="1:4" x14ac:dyDescent="0.2">
      <c r="A1117" s="54">
        <v>948</v>
      </c>
      <c r="B1117" s="55">
        <v>416</v>
      </c>
      <c r="C1117" s="56" t="s">
        <v>235</v>
      </c>
      <c r="D1117" s="22">
        <v>1</v>
      </c>
    </row>
    <row r="1118" spans="1:4" x14ac:dyDescent="0.2">
      <c r="A1118" s="54">
        <v>949</v>
      </c>
      <c r="B1118" s="55">
        <v>417</v>
      </c>
      <c r="C1118" s="56" t="s">
        <v>291</v>
      </c>
      <c r="D1118" s="22">
        <v>1</v>
      </c>
    </row>
    <row r="1119" spans="1:4" x14ac:dyDescent="0.2">
      <c r="A1119" s="54">
        <v>949</v>
      </c>
      <c r="B1119" s="55">
        <v>418</v>
      </c>
      <c r="C1119" s="56" t="s">
        <v>291</v>
      </c>
      <c r="D1119" s="22">
        <v>2</v>
      </c>
    </row>
    <row r="1120" spans="1:4" x14ac:dyDescent="0.2">
      <c r="A1120" s="54">
        <v>950</v>
      </c>
      <c r="B1120" s="55">
        <v>419</v>
      </c>
      <c r="C1120" s="56" t="s">
        <v>292</v>
      </c>
      <c r="D1120" s="22" t="s">
        <v>36</v>
      </c>
    </row>
    <row r="1121" spans="1:4" x14ac:dyDescent="0.2">
      <c r="A1121" s="54">
        <v>951</v>
      </c>
      <c r="B1121" s="55">
        <v>420</v>
      </c>
      <c r="C1121" s="56" t="s">
        <v>293</v>
      </c>
      <c r="D1121" s="22" t="s">
        <v>36</v>
      </c>
    </row>
    <row r="1122" spans="1:4" x14ac:dyDescent="0.2">
      <c r="A1122" s="54">
        <v>952</v>
      </c>
      <c r="B1122" s="55">
        <v>421</v>
      </c>
      <c r="C1122" s="56" t="s">
        <v>294</v>
      </c>
      <c r="D1122" s="22">
        <v>1</v>
      </c>
    </row>
    <row r="1123" spans="1:4" x14ac:dyDescent="0.2">
      <c r="A1123" s="54">
        <v>952</v>
      </c>
      <c r="B1123" s="55">
        <v>422</v>
      </c>
      <c r="C1123" s="56" t="s">
        <v>294</v>
      </c>
      <c r="D1123" s="22">
        <v>2</v>
      </c>
    </row>
    <row r="1124" spans="1:4" x14ac:dyDescent="0.2">
      <c r="A1124" s="54">
        <v>953</v>
      </c>
      <c r="B1124" s="55">
        <v>423</v>
      </c>
      <c r="C1124" s="56" t="s">
        <v>236</v>
      </c>
      <c r="D1124" s="22">
        <v>1</v>
      </c>
    </row>
    <row r="1125" spans="1:4" x14ac:dyDescent="0.2">
      <c r="A1125" s="54">
        <v>953</v>
      </c>
      <c r="B1125" s="55">
        <v>424</v>
      </c>
      <c r="C1125" s="56" t="s">
        <v>236</v>
      </c>
      <c r="D1125" s="22" t="s">
        <v>265</v>
      </c>
    </row>
    <row r="1126" spans="1:4" x14ac:dyDescent="0.2">
      <c r="A1126" s="54">
        <v>954</v>
      </c>
      <c r="B1126" s="55">
        <v>425</v>
      </c>
      <c r="C1126" s="56" t="s">
        <v>237</v>
      </c>
      <c r="D1126" s="22" t="s">
        <v>266</v>
      </c>
    </row>
    <row r="1127" spans="1:4" x14ac:dyDescent="0.2">
      <c r="A1127" s="54">
        <v>954</v>
      </c>
      <c r="B1127" s="55">
        <v>426</v>
      </c>
      <c r="C1127" s="56" t="s">
        <v>237</v>
      </c>
      <c r="D1127" s="22" t="s">
        <v>265</v>
      </c>
    </row>
    <row r="1128" spans="1:4" x14ac:dyDescent="0.2">
      <c r="A1128" s="54">
        <v>954</v>
      </c>
      <c r="B1128" s="55">
        <v>427</v>
      </c>
      <c r="C1128" s="56" t="s">
        <v>237</v>
      </c>
      <c r="D1128" s="22" t="s">
        <v>265</v>
      </c>
    </row>
    <row r="1129" spans="1:4" x14ac:dyDescent="0.2">
      <c r="A1129" s="54">
        <v>955</v>
      </c>
      <c r="B1129" s="55">
        <v>206</v>
      </c>
      <c r="C1129" s="56" t="s">
        <v>238</v>
      </c>
      <c r="D1129" s="22">
        <v>2</v>
      </c>
    </row>
    <row r="1130" spans="1:4" x14ac:dyDescent="0.2">
      <c r="A1130" s="54">
        <v>955</v>
      </c>
      <c r="B1130" s="55">
        <v>428</v>
      </c>
      <c r="C1130" s="56" t="s">
        <v>238</v>
      </c>
      <c r="D1130" s="22">
        <v>1</v>
      </c>
    </row>
    <row r="1131" spans="1:4" x14ac:dyDescent="0.2">
      <c r="A1131" s="54">
        <v>955</v>
      </c>
      <c r="B1131" s="55">
        <v>429</v>
      </c>
      <c r="C1131" s="56" t="s">
        <v>238</v>
      </c>
      <c r="D1131" s="22">
        <v>2</v>
      </c>
    </row>
    <row r="1132" spans="1:4" x14ac:dyDescent="0.2">
      <c r="A1132" s="54">
        <v>955</v>
      </c>
      <c r="B1132" s="55">
        <v>430</v>
      </c>
      <c r="C1132" s="56" t="s">
        <v>238</v>
      </c>
      <c r="D1132" s="22">
        <v>1</v>
      </c>
    </row>
    <row r="1133" spans="1:4" x14ac:dyDescent="0.2">
      <c r="A1133" s="54">
        <v>956</v>
      </c>
      <c r="B1133" s="55">
        <v>160</v>
      </c>
      <c r="C1133" s="56" t="s">
        <v>239</v>
      </c>
      <c r="D1133" s="22">
        <v>2</v>
      </c>
    </row>
    <row r="1134" spans="1:4" x14ac:dyDescent="0.2">
      <c r="A1134" s="54">
        <v>956</v>
      </c>
      <c r="B1134" s="55">
        <v>427</v>
      </c>
      <c r="C1134" s="56" t="s">
        <v>239</v>
      </c>
      <c r="D1134" s="22">
        <v>1</v>
      </c>
    </row>
    <row r="1135" spans="1:4" x14ac:dyDescent="0.2">
      <c r="A1135" s="54">
        <v>956</v>
      </c>
      <c r="B1135" s="55">
        <v>431</v>
      </c>
      <c r="C1135" s="56" t="s">
        <v>239</v>
      </c>
      <c r="D1135" s="22">
        <v>2</v>
      </c>
    </row>
    <row r="1136" spans="1:4" x14ac:dyDescent="0.2">
      <c r="A1136" s="54">
        <v>956</v>
      </c>
      <c r="B1136" s="55">
        <v>432</v>
      </c>
      <c r="C1136" s="56" t="s">
        <v>239</v>
      </c>
      <c r="D1136" s="22">
        <v>1</v>
      </c>
    </row>
    <row r="1137" spans="1:4" x14ac:dyDescent="0.2">
      <c r="A1137" s="54">
        <v>957</v>
      </c>
      <c r="B1137" s="55">
        <v>432</v>
      </c>
      <c r="C1137" s="56" t="s">
        <v>240</v>
      </c>
      <c r="D1137" s="22">
        <v>1</v>
      </c>
    </row>
    <row r="1138" spans="1:4" x14ac:dyDescent="0.2">
      <c r="A1138" s="54">
        <v>957</v>
      </c>
      <c r="B1138" s="55">
        <v>433</v>
      </c>
      <c r="C1138" s="56" t="s">
        <v>240</v>
      </c>
      <c r="D1138" s="22">
        <v>2</v>
      </c>
    </row>
    <row r="1139" spans="1:4" x14ac:dyDescent="0.2">
      <c r="A1139" s="54">
        <v>958</v>
      </c>
      <c r="B1139" s="55">
        <v>434</v>
      </c>
      <c r="C1139" s="56" t="s">
        <v>241</v>
      </c>
      <c r="D1139" s="22">
        <v>2</v>
      </c>
    </row>
    <row r="1140" spans="1:4" x14ac:dyDescent="0.2">
      <c r="A1140" s="54">
        <v>958</v>
      </c>
      <c r="B1140" s="55">
        <v>435</v>
      </c>
      <c r="C1140" s="56" t="s">
        <v>241</v>
      </c>
      <c r="D1140" s="22">
        <v>1</v>
      </c>
    </row>
    <row r="1141" spans="1:4" x14ac:dyDescent="0.2">
      <c r="A1141" s="54">
        <v>959</v>
      </c>
      <c r="B1141" s="55">
        <v>160</v>
      </c>
      <c r="C1141" s="56" t="s">
        <v>242</v>
      </c>
      <c r="D1141" s="22">
        <v>2</v>
      </c>
    </row>
    <row r="1142" spans="1:4" x14ac:dyDescent="0.2">
      <c r="A1142" s="54">
        <v>959</v>
      </c>
      <c r="B1142" s="55">
        <v>432</v>
      </c>
      <c r="C1142" s="56" t="s">
        <v>242</v>
      </c>
      <c r="D1142" s="22">
        <v>1</v>
      </c>
    </row>
    <row r="1143" spans="1:4" x14ac:dyDescent="0.2">
      <c r="A1143" s="54">
        <v>959</v>
      </c>
      <c r="B1143" s="55">
        <v>436</v>
      </c>
      <c r="C1143" s="56" t="s">
        <v>242</v>
      </c>
      <c r="D1143" s="22">
        <v>2</v>
      </c>
    </row>
    <row r="1144" spans="1:4" x14ac:dyDescent="0.2">
      <c r="A1144" s="54">
        <v>960</v>
      </c>
      <c r="B1144" s="55">
        <v>160</v>
      </c>
      <c r="C1144" s="56" t="s">
        <v>243</v>
      </c>
      <c r="D1144" s="22">
        <v>2</v>
      </c>
    </row>
    <row r="1145" spans="1:4" x14ac:dyDescent="0.2">
      <c r="A1145" s="54">
        <v>960</v>
      </c>
      <c r="B1145" s="55">
        <v>435</v>
      </c>
      <c r="C1145" s="56" t="s">
        <v>243</v>
      </c>
      <c r="D1145" s="22">
        <v>1</v>
      </c>
    </row>
    <row r="1146" spans="1:4" x14ac:dyDescent="0.2">
      <c r="A1146" s="54">
        <v>960</v>
      </c>
      <c r="B1146" s="55">
        <v>441</v>
      </c>
      <c r="C1146" s="56" t="s">
        <v>243</v>
      </c>
      <c r="D1146" s="22">
        <v>1</v>
      </c>
    </row>
    <row r="1147" spans="1:4" x14ac:dyDescent="0.2">
      <c r="A1147" s="54">
        <v>961</v>
      </c>
      <c r="B1147" s="55">
        <v>427</v>
      </c>
      <c r="C1147" s="56" t="s">
        <v>244</v>
      </c>
      <c r="D1147" s="22">
        <v>1</v>
      </c>
    </row>
    <row r="1148" spans="1:4" x14ac:dyDescent="0.2">
      <c r="A1148" s="54">
        <v>961</v>
      </c>
      <c r="B1148" s="55">
        <v>432</v>
      </c>
      <c r="C1148" s="56" t="s">
        <v>244</v>
      </c>
      <c r="D1148" s="22">
        <v>1</v>
      </c>
    </row>
    <row r="1149" spans="1:4" x14ac:dyDescent="0.2">
      <c r="A1149" s="54">
        <v>961</v>
      </c>
      <c r="B1149" s="55">
        <v>437</v>
      </c>
      <c r="C1149" s="56" t="s">
        <v>244</v>
      </c>
      <c r="D1149" s="22">
        <v>2</v>
      </c>
    </row>
    <row r="1150" spans="1:4" x14ac:dyDescent="0.2">
      <c r="A1150" s="54">
        <v>962</v>
      </c>
      <c r="B1150" s="55">
        <v>427</v>
      </c>
      <c r="C1150" s="56" t="s">
        <v>245</v>
      </c>
      <c r="D1150" s="22">
        <v>1</v>
      </c>
    </row>
    <row r="1151" spans="1:4" x14ac:dyDescent="0.2">
      <c r="A1151" s="54">
        <v>962</v>
      </c>
      <c r="B1151" s="55">
        <v>435</v>
      </c>
      <c r="C1151" s="56" t="s">
        <v>245</v>
      </c>
      <c r="D1151" s="22">
        <v>1</v>
      </c>
    </row>
    <row r="1152" spans="1:4" x14ac:dyDescent="0.2">
      <c r="A1152" s="54">
        <v>962</v>
      </c>
      <c r="B1152" s="55">
        <v>438</v>
      </c>
      <c r="C1152" s="56" t="s">
        <v>245</v>
      </c>
      <c r="D1152" s="22">
        <v>2</v>
      </c>
    </row>
    <row r="1153" spans="1:4" x14ac:dyDescent="0.2">
      <c r="A1153" s="54">
        <v>963</v>
      </c>
      <c r="B1153" s="55">
        <v>160</v>
      </c>
      <c r="C1153" s="56" t="s">
        <v>246</v>
      </c>
      <c r="D1153" s="22">
        <v>2</v>
      </c>
    </row>
    <row r="1154" spans="1:4" x14ac:dyDescent="0.2">
      <c r="A1154" s="54">
        <v>963</v>
      </c>
      <c r="B1154" s="55">
        <v>427</v>
      </c>
      <c r="C1154" s="56" t="s">
        <v>246</v>
      </c>
      <c r="D1154" s="22">
        <v>1</v>
      </c>
    </row>
    <row r="1155" spans="1:4" x14ac:dyDescent="0.2">
      <c r="A1155" s="54">
        <v>963</v>
      </c>
      <c r="B1155" s="55">
        <v>435</v>
      </c>
      <c r="C1155" s="56" t="s">
        <v>246</v>
      </c>
      <c r="D1155" s="22">
        <v>1</v>
      </c>
    </row>
    <row r="1156" spans="1:4" x14ac:dyDescent="0.2">
      <c r="A1156" s="54">
        <v>963</v>
      </c>
      <c r="B1156" s="55">
        <v>439</v>
      </c>
      <c r="C1156" s="56" t="s">
        <v>246</v>
      </c>
      <c r="D1156" s="22">
        <v>2</v>
      </c>
    </row>
    <row r="1157" spans="1:4" x14ac:dyDescent="0.2">
      <c r="A1157" s="54">
        <v>964</v>
      </c>
      <c r="B1157" s="55">
        <v>160</v>
      </c>
      <c r="C1157" s="56" t="s">
        <v>247</v>
      </c>
      <c r="D1157" s="22">
        <v>2</v>
      </c>
    </row>
    <row r="1158" spans="1:4" x14ac:dyDescent="0.2">
      <c r="A1158" s="54">
        <v>964</v>
      </c>
      <c r="B1158" s="55">
        <v>431</v>
      </c>
      <c r="C1158" s="56" t="s">
        <v>247</v>
      </c>
      <c r="D1158" s="22">
        <v>2</v>
      </c>
    </row>
    <row r="1159" spans="1:4" x14ac:dyDescent="0.2">
      <c r="A1159" s="54">
        <v>964</v>
      </c>
      <c r="B1159" s="55">
        <v>440</v>
      </c>
      <c r="C1159" s="56" t="s">
        <v>247</v>
      </c>
      <c r="D1159" s="22">
        <v>1</v>
      </c>
    </row>
    <row r="1160" spans="1:4" x14ac:dyDescent="0.2">
      <c r="A1160" s="54">
        <v>965</v>
      </c>
      <c r="B1160" s="55">
        <v>194</v>
      </c>
      <c r="C1160" s="56" t="s">
        <v>248</v>
      </c>
      <c r="D1160" s="22">
        <v>2</v>
      </c>
    </row>
    <row r="1161" spans="1:4" x14ac:dyDescent="0.2">
      <c r="A1161" s="54">
        <v>965</v>
      </c>
      <c r="B1161" s="55">
        <v>489</v>
      </c>
      <c r="C1161" s="56" t="s">
        <v>248</v>
      </c>
      <c r="D1161" s="22">
        <v>1</v>
      </c>
    </row>
    <row r="1162" spans="1:4" x14ac:dyDescent="0.2">
      <c r="A1162" s="54">
        <v>965</v>
      </c>
      <c r="B1162" s="55">
        <v>500</v>
      </c>
      <c r="C1162" s="56" t="s">
        <v>248</v>
      </c>
      <c r="D1162" s="22">
        <v>2</v>
      </c>
    </row>
    <row r="1163" spans="1:4" x14ac:dyDescent="0.2">
      <c r="A1163" s="54">
        <v>966</v>
      </c>
      <c r="B1163" s="55">
        <v>488</v>
      </c>
      <c r="C1163" s="56" t="s">
        <v>95</v>
      </c>
      <c r="D1163" s="22" t="s">
        <v>36</v>
      </c>
    </row>
    <row r="1164" spans="1:4" x14ac:dyDescent="0.2">
      <c r="A1164" s="54">
        <v>967</v>
      </c>
      <c r="B1164" s="55">
        <v>442</v>
      </c>
      <c r="C1164" s="56" t="s">
        <v>107</v>
      </c>
      <c r="D1164" s="22">
        <v>1</v>
      </c>
    </row>
    <row r="1165" spans="1:4" x14ac:dyDescent="0.2">
      <c r="A1165" s="54">
        <v>967</v>
      </c>
      <c r="B1165" s="55">
        <v>443</v>
      </c>
      <c r="C1165" s="56" t="s">
        <v>107</v>
      </c>
      <c r="D1165" s="22">
        <v>2</v>
      </c>
    </row>
    <row r="1166" spans="1:4" x14ac:dyDescent="0.2">
      <c r="A1166" s="54">
        <v>968</v>
      </c>
      <c r="B1166" s="55">
        <v>444</v>
      </c>
      <c r="C1166" s="56" t="s">
        <v>107</v>
      </c>
      <c r="D1166" s="22">
        <v>1</v>
      </c>
    </row>
    <row r="1167" spans="1:4" x14ac:dyDescent="0.2">
      <c r="A1167" s="54">
        <v>969</v>
      </c>
      <c r="B1167" s="55">
        <v>443</v>
      </c>
      <c r="C1167" s="56" t="s">
        <v>248</v>
      </c>
      <c r="D1167" s="22">
        <v>2</v>
      </c>
    </row>
    <row r="1168" spans="1:4" x14ac:dyDescent="0.2">
      <c r="A1168" s="54">
        <v>969</v>
      </c>
      <c r="B1168" s="55">
        <v>489</v>
      </c>
      <c r="C1168" s="56" t="s">
        <v>248</v>
      </c>
      <c r="D1168" s="22">
        <v>1</v>
      </c>
    </row>
    <row r="1169" spans="1:4" x14ac:dyDescent="0.2">
      <c r="A1169" s="54">
        <v>969</v>
      </c>
      <c r="B1169" s="55">
        <v>501</v>
      </c>
      <c r="C1169" s="56" t="s">
        <v>248</v>
      </c>
      <c r="D1169" s="22">
        <v>1</v>
      </c>
    </row>
    <row r="1170" spans="1:4" x14ac:dyDescent="0.2">
      <c r="A1170" s="54">
        <v>970</v>
      </c>
      <c r="B1170" s="55">
        <v>447</v>
      </c>
      <c r="C1170" s="56" t="s">
        <v>62</v>
      </c>
      <c r="D1170" s="22">
        <v>2</v>
      </c>
    </row>
    <row r="1171" spans="1:4" x14ac:dyDescent="0.2">
      <c r="A1171" s="54">
        <v>970</v>
      </c>
      <c r="B1171" s="55">
        <v>448</v>
      </c>
      <c r="C1171" s="56" t="s">
        <v>62</v>
      </c>
      <c r="D1171" s="22">
        <v>1</v>
      </c>
    </row>
    <row r="1172" spans="1:4" x14ac:dyDescent="0.2">
      <c r="A1172" s="54">
        <v>971</v>
      </c>
      <c r="B1172" s="55">
        <v>492</v>
      </c>
      <c r="C1172" s="56" t="s">
        <v>249</v>
      </c>
      <c r="D1172" s="22">
        <v>2</v>
      </c>
    </row>
    <row r="1173" spans="1:4" x14ac:dyDescent="0.2">
      <c r="A1173" s="54">
        <v>971</v>
      </c>
      <c r="B1173" s="55">
        <v>493</v>
      </c>
      <c r="C1173" s="56" t="s">
        <v>249</v>
      </c>
      <c r="D1173" s="22">
        <v>1</v>
      </c>
    </row>
    <row r="1174" spans="1:4" x14ac:dyDescent="0.2">
      <c r="A1174" s="54">
        <v>971</v>
      </c>
      <c r="B1174" s="55">
        <v>494</v>
      </c>
      <c r="C1174" s="56" t="s">
        <v>249</v>
      </c>
      <c r="D1174" s="22">
        <v>1</v>
      </c>
    </row>
    <row r="1175" spans="1:4" x14ac:dyDescent="0.2">
      <c r="A1175" s="54">
        <v>972</v>
      </c>
      <c r="B1175" s="55">
        <v>502</v>
      </c>
      <c r="C1175" s="56" t="s">
        <v>267</v>
      </c>
      <c r="D1175" s="22">
        <v>1</v>
      </c>
    </row>
    <row r="1176" spans="1:4" x14ac:dyDescent="0.2">
      <c r="A1176" s="54">
        <v>972</v>
      </c>
      <c r="B1176" s="55">
        <v>503</v>
      </c>
      <c r="C1176" s="56" t="s">
        <v>267</v>
      </c>
      <c r="D1176" s="22" t="s">
        <v>266</v>
      </c>
    </row>
    <row r="1177" spans="1:4" x14ac:dyDescent="0.2">
      <c r="A1177" s="54">
        <v>973</v>
      </c>
      <c r="B1177" s="55">
        <v>453</v>
      </c>
      <c r="C1177" s="56" t="s">
        <v>105</v>
      </c>
      <c r="D1177" s="22">
        <v>1</v>
      </c>
    </row>
    <row r="1178" spans="1:4" x14ac:dyDescent="0.2">
      <c r="A1178" s="54">
        <v>973</v>
      </c>
      <c r="B1178" s="55">
        <v>454</v>
      </c>
      <c r="C1178" s="56" t="s">
        <v>105</v>
      </c>
      <c r="D1178" s="22">
        <v>2</v>
      </c>
    </row>
    <row r="1179" spans="1:4" x14ac:dyDescent="0.2">
      <c r="A1179" s="54">
        <v>974</v>
      </c>
      <c r="B1179" s="55">
        <v>455</v>
      </c>
      <c r="C1179" s="56" t="s">
        <v>131</v>
      </c>
      <c r="D1179" s="22">
        <v>2</v>
      </c>
    </row>
    <row r="1180" spans="1:4" x14ac:dyDescent="0.2">
      <c r="A1180" s="54">
        <v>975</v>
      </c>
      <c r="B1180" s="55">
        <v>504</v>
      </c>
      <c r="C1180" s="56" t="s">
        <v>295</v>
      </c>
      <c r="D1180" s="22">
        <v>1</v>
      </c>
    </row>
    <row r="1181" spans="1:4" x14ac:dyDescent="0.2">
      <c r="A1181" s="54">
        <v>975</v>
      </c>
      <c r="B1181" s="55">
        <v>505</v>
      </c>
      <c r="C1181" s="56" t="s">
        <v>295</v>
      </c>
      <c r="D1181" s="22">
        <v>2</v>
      </c>
    </row>
    <row r="1182" spans="1:4" x14ac:dyDescent="0.2">
      <c r="A1182" s="54">
        <v>976</v>
      </c>
      <c r="B1182" s="55">
        <v>506</v>
      </c>
      <c r="C1182" s="56" t="s">
        <v>296</v>
      </c>
      <c r="D1182" s="22">
        <v>1</v>
      </c>
    </row>
    <row r="1183" spans="1:4" x14ac:dyDescent="0.2">
      <c r="A1183" s="54">
        <v>976</v>
      </c>
      <c r="B1183" s="55">
        <v>507</v>
      </c>
      <c r="C1183" s="56" t="s">
        <v>296</v>
      </c>
      <c r="D1183" s="22">
        <v>2</v>
      </c>
    </row>
    <row r="1184" spans="1:4" x14ac:dyDescent="0.2">
      <c r="A1184" s="54">
        <v>978</v>
      </c>
      <c r="B1184" s="55">
        <v>462</v>
      </c>
      <c r="C1184" s="56" t="s">
        <v>89</v>
      </c>
      <c r="D1184" s="22" t="s">
        <v>36</v>
      </c>
    </row>
    <row r="1185" spans="1:4" x14ac:dyDescent="0.2">
      <c r="A1185" s="54">
        <v>979</v>
      </c>
      <c r="B1185" s="55">
        <v>463</v>
      </c>
      <c r="C1185" s="56" t="s">
        <v>128</v>
      </c>
      <c r="D1185" s="22" t="s">
        <v>264</v>
      </c>
    </row>
    <row r="1186" spans="1:4" x14ac:dyDescent="0.2">
      <c r="A1186" s="54">
        <v>980</v>
      </c>
      <c r="B1186" s="55">
        <v>466</v>
      </c>
      <c r="C1186" s="56" t="s">
        <v>250</v>
      </c>
      <c r="D1186" s="22">
        <v>2</v>
      </c>
    </row>
    <row r="1187" spans="1:4" x14ac:dyDescent="0.2">
      <c r="A1187" s="54">
        <v>980</v>
      </c>
      <c r="B1187" s="55">
        <v>467</v>
      </c>
      <c r="C1187" s="56" t="s">
        <v>250</v>
      </c>
      <c r="D1187" s="22">
        <v>1</v>
      </c>
    </row>
    <row r="1188" spans="1:4" x14ac:dyDescent="0.2">
      <c r="A1188" s="54">
        <v>981</v>
      </c>
      <c r="B1188" s="55">
        <v>468</v>
      </c>
      <c r="C1188" s="56" t="s">
        <v>251</v>
      </c>
      <c r="D1188" s="22" t="s">
        <v>36</v>
      </c>
    </row>
    <row r="1189" spans="1:4" x14ac:dyDescent="0.2">
      <c r="A1189" s="54">
        <v>982</v>
      </c>
      <c r="B1189" s="55">
        <v>508</v>
      </c>
      <c r="C1189" s="56" t="s">
        <v>297</v>
      </c>
      <c r="D1189" s="22">
        <v>2</v>
      </c>
    </row>
    <row r="1190" spans="1:4" x14ac:dyDescent="0.2">
      <c r="A1190" s="54">
        <v>982</v>
      </c>
      <c r="B1190" s="55">
        <v>509</v>
      </c>
      <c r="C1190" s="56" t="s">
        <v>297</v>
      </c>
      <c r="D1190" s="22">
        <v>1</v>
      </c>
    </row>
    <row r="1191" spans="1:4" x14ac:dyDescent="0.2">
      <c r="A1191" s="54">
        <v>983</v>
      </c>
      <c r="B1191" s="55">
        <v>510</v>
      </c>
      <c r="C1191" s="56" t="s">
        <v>298</v>
      </c>
      <c r="D1191" s="22">
        <v>2</v>
      </c>
    </row>
    <row r="1192" spans="1:4" x14ac:dyDescent="0.2">
      <c r="A1192" s="54">
        <v>983</v>
      </c>
      <c r="B1192" s="55">
        <v>511</v>
      </c>
      <c r="C1192" s="56" t="s">
        <v>298</v>
      </c>
      <c r="D1192" s="22">
        <v>1</v>
      </c>
    </row>
    <row r="1193" spans="1:4" s="83" customFormat="1" x14ac:dyDescent="0.2">
      <c r="A1193" s="54">
        <v>984</v>
      </c>
      <c r="B1193" s="55">
        <v>512</v>
      </c>
      <c r="C1193" s="56" t="s">
        <v>345</v>
      </c>
      <c r="D1193" s="83">
        <v>1</v>
      </c>
    </row>
    <row r="1194" spans="1:4" s="83" customFormat="1" x14ac:dyDescent="0.2">
      <c r="A1194" s="54">
        <v>984</v>
      </c>
      <c r="B1194" s="55">
        <v>513</v>
      </c>
      <c r="C1194" s="56" t="s">
        <v>345</v>
      </c>
      <c r="D1194" s="83">
        <v>2</v>
      </c>
    </row>
    <row r="1195" spans="1:4" s="83" customFormat="1" x14ac:dyDescent="0.2">
      <c r="A1195" s="54">
        <v>985</v>
      </c>
      <c r="B1195" s="55">
        <v>514</v>
      </c>
      <c r="C1195" s="56" t="s">
        <v>346</v>
      </c>
      <c r="D1195" s="83">
        <v>1</v>
      </c>
    </row>
    <row r="1196" spans="1:4" s="83" customFormat="1" x14ac:dyDescent="0.2">
      <c r="A1196" s="54">
        <v>985</v>
      </c>
      <c r="B1196" s="55">
        <v>515</v>
      </c>
      <c r="C1196" s="56" t="s">
        <v>346</v>
      </c>
      <c r="D1196" s="83">
        <v>2</v>
      </c>
    </row>
    <row r="1197" spans="1:4" x14ac:dyDescent="0.2">
      <c r="A1197" s="54">
        <v>989</v>
      </c>
      <c r="B1197" s="55">
        <v>475</v>
      </c>
      <c r="C1197" s="56" t="s">
        <v>144</v>
      </c>
      <c r="D1197" s="22">
        <v>2</v>
      </c>
    </row>
    <row r="1198" spans="1:4" x14ac:dyDescent="0.2">
      <c r="A1198" s="54">
        <v>989</v>
      </c>
      <c r="B1198" s="55">
        <v>476</v>
      </c>
      <c r="C1198" s="56" t="s">
        <v>144</v>
      </c>
      <c r="D1198" s="22">
        <v>1</v>
      </c>
    </row>
    <row r="1199" spans="1:4" x14ac:dyDescent="0.2">
      <c r="A1199" s="54">
        <v>990</v>
      </c>
      <c r="B1199" s="55">
        <v>477</v>
      </c>
      <c r="C1199" s="56" t="s">
        <v>145</v>
      </c>
      <c r="D1199" s="22" t="s">
        <v>36</v>
      </c>
    </row>
    <row r="1200" spans="1:4" x14ac:dyDescent="0.2">
      <c r="A1200" s="54">
        <v>991</v>
      </c>
      <c r="B1200" s="55">
        <v>478</v>
      </c>
      <c r="C1200" s="56" t="s">
        <v>95</v>
      </c>
      <c r="D1200" s="22" t="s">
        <v>36</v>
      </c>
    </row>
    <row r="1201" spans="1:4" x14ac:dyDescent="0.2">
      <c r="A1201" s="54">
        <v>996</v>
      </c>
      <c r="B1201" s="55">
        <v>485</v>
      </c>
      <c r="C1201" s="56" t="s">
        <v>175</v>
      </c>
      <c r="D1201" s="22">
        <v>2</v>
      </c>
    </row>
    <row r="1202" spans="1:4" x14ac:dyDescent="0.2">
      <c r="A1202" s="54">
        <v>996</v>
      </c>
      <c r="B1202" s="55">
        <v>486</v>
      </c>
      <c r="C1202" s="56" t="s">
        <v>175</v>
      </c>
      <c r="D1202" s="22">
        <v>1</v>
      </c>
    </row>
    <row r="1203" spans="1:4" x14ac:dyDescent="0.2">
      <c r="A1203" s="54">
        <v>996</v>
      </c>
      <c r="B1203" s="55">
        <v>487</v>
      </c>
      <c r="C1203" s="56" t="s">
        <v>175</v>
      </c>
      <c r="D1203" s="22">
        <v>2</v>
      </c>
    </row>
    <row r="1204" spans="1:4" x14ac:dyDescent="0.2">
      <c r="A1204" s="54">
        <v>997</v>
      </c>
      <c r="B1204" s="55">
        <v>490</v>
      </c>
      <c r="C1204" s="56" t="s">
        <v>252</v>
      </c>
      <c r="D1204" s="22" t="s">
        <v>266</v>
      </c>
    </row>
    <row r="1205" spans="1:4" x14ac:dyDescent="0.2">
      <c r="A1205" s="54">
        <v>997</v>
      </c>
      <c r="B1205" s="55">
        <v>491</v>
      </c>
      <c r="C1205" s="56" t="s">
        <v>252</v>
      </c>
      <c r="D1205" s="22">
        <v>1</v>
      </c>
    </row>
  </sheetData>
  <autoFilter ref="A28:D1205" xr:uid="{00000000-0009-0000-0000-000031000000}"/>
  <mergeCells count="1">
    <mergeCell ref="A1:B1"/>
  </mergeCells>
  <hyperlinks>
    <hyperlink ref="A1" location="Overview!A1" display="Back to Overview" xr:uid="{00000000-0004-0000-3100-000000000000}"/>
    <hyperlink ref="A1:B1" location="Overview!A1" display="Back to Overview" xr:uid="{00000000-0004-0000-3100-000001000000}"/>
  </hyperlinks>
  <pageMargins left="0.74803149606299213" right="0.74803149606299213" top="0.98425196850393704" bottom="0.98425196850393704" header="0.51181102362204722" footer="0.51181102362204722"/>
  <pageSetup paperSize="9" scale="41" fitToHeight="0" orientation="portrait" r:id="rId1"/>
  <headerFooter differentFirst="1" scaleWithDoc="0">
    <oddFooter>&amp;C&amp;P of &amp;N</oddFooter>
    <firstHeader>&amp;LSSC TPP Unit Rate Lookup Table</firstHeader>
    <firstFooter>&amp;C&amp;P of &amp;N</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0CB1-A508-401A-AD5F-EE7C6865DF7B}">
  <dimension ref="A1:F22"/>
  <sheetViews>
    <sheetView workbookViewId="0">
      <selection activeCell="A22" sqref="A22"/>
    </sheetView>
  </sheetViews>
  <sheetFormatPr defaultRowHeight="12.75" x14ac:dyDescent="0.2"/>
  <cols>
    <col min="1" max="1" width="32.140625" style="22" bestFit="1" customWidth="1"/>
    <col min="2" max="2" width="11.85546875" style="22" bestFit="1" customWidth="1"/>
    <col min="3" max="3" width="5.42578125" style="22" bestFit="1" customWidth="1"/>
    <col min="4" max="4" width="16.42578125" style="22" customWidth="1"/>
    <col min="5" max="6" width="16.140625" style="22" bestFit="1" customWidth="1"/>
    <col min="7" max="9" width="9.140625" style="22"/>
    <col min="10" max="10" width="12.42578125" style="22" bestFit="1" customWidth="1"/>
    <col min="11" max="16384" width="9.140625" style="22"/>
  </cols>
  <sheetData>
    <row r="1" spans="1:6" x14ac:dyDescent="0.2">
      <c r="A1" s="87" t="s">
        <v>19</v>
      </c>
      <c r="B1" s="87"/>
    </row>
    <row r="2" spans="1:6" ht="36.75" customHeight="1" x14ac:dyDescent="0.2">
      <c r="A2" s="537" t="str">
        <f>"Effective from "&amp;Overview!C4&amp;" - "&amp;Overview!E4&amp;" Residual Charging Bands"</f>
        <v>Effective from 2027/28 - Final Residual Charging Bands</v>
      </c>
      <c r="B2" s="538"/>
      <c r="C2" s="538"/>
      <c r="D2" s="538"/>
      <c r="E2" s="538"/>
      <c r="F2" s="538"/>
    </row>
    <row r="4" spans="1:6" x14ac:dyDescent="0.2">
      <c r="A4" s="356" t="s">
        <v>751</v>
      </c>
      <c r="B4" s="356" t="s">
        <v>750</v>
      </c>
      <c r="C4" s="356" t="s">
        <v>749</v>
      </c>
      <c r="D4" s="356" t="s">
        <v>748</v>
      </c>
      <c r="E4" s="356" t="s">
        <v>747</v>
      </c>
    </row>
    <row r="5" spans="1:6" ht="14.25" x14ac:dyDescent="0.2">
      <c r="A5" s="355" t="s">
        <v>746</v>
      </c>
      <c r="B5" s="353" t="s">
        <v>745</v>
      </c>
      <c r="C5" s="353" t="s">
        <v>744</v>
      </c>
      <c r="D5" s="354" t="s">
        <v>744</v>
      </c>
      <c r="E5" s="354" t="s">
        <v>744</v>
      </c>
    </row>
    <row r="6" spans="1:6" ht="14.25" customHeight="1" x14ac:dyDescent="0.2">
      <c r="A6" s="531" t="s">
        <v>743</v>
      </c>
      <c r="B6" s="353">
        <v>1</v>
      </c>
      <c r="C6" s="353" t="s">
        <v>742</v>
      </c>
      <c r="D6" s="352">
        <v>0</v>
      </c>
      <c r="E6" s="352">
        <v>3986</v>
      </c>
    </row>
    <row r="7" spans="1:6" ht="14.25" x14ac:dyDescent="0.2">
      <c r="A7" s="532"/>
      <c r="B7" s="353">
        <v>2</v>
      </c>
      <c r="C7" s="353" t="s">
        <v>742</v>
      </c>
      <c r="D7" s="352">
        <v>3986</v>
      </c>
      <c r="E7" s="352">
        <v>13677</v>
      </c>
    </row>
    <row r="8" spans="1:6" ht="14.25" x14ac:dyDescent="0.2">
      <c r="A8" s="532"/>
      <c r="B8" s="353">
        <v>3</v>
      </c>
      <c r="C8" s="353" t="s">
        <v>742</v>
      </c>
      <c r="D8" s="352">
        <v>13677</v>
      </c>
      <c r="E8" s="352">
        <v>27543</v>
      </c>
    </row>
    <row r="9" spans="1:6" ht="14.25" x14ac:dyDescent="0.2">
      <c r="A9" s="533"/>
      <c r="B9" s="353">
        <v>4</v>
      </c>
      <c r="C9" s="353" t="s">
        <v>742</v>
      </c>
      <c r="D9" s="352">
        <v>27543</v>
      </c>
      <c r="E9" s="352" t="s">
        <v>737</v>
      </c>
    </row>
    <row r="10" spans="1:6" ht="14.25" x14ac:dyDescent="0.2">
      <c r="A10" s="531" t="s">
        <v>741</v>
      </c>
      <c r="B10" s="353">
        <v>1</v>
      </c>
      <c r="C10" s="353" t="s">
        <v>738</v>
      </c>
      <c r="D10" s="352">
        <v>0</v>
      </c>
      <c r="E10" s="352">
        <v>90</v>
      </c>
    </row>
    <row r="11" spans="1:6" ht="14.25" x14ac:dyDescent="0.2">
      <c r="A11" s="532"/>
      <c r="B11" s="353">
        <v>2</v>
      </c>
      <c r="C11" s="353" t="s">
        <v>738</v>
      </c>
      <c r="D11" s="352">
        <v>90</v>
      </c>
      <c r="E11" s="352">
        <v>150</v>
      </c>
    </row>
    <row r="12" spans="1:6" ht="14.25" x14ac:dyDescent="0.2">
      <c r="A12" s="532"/>
      <c r="B12" s="353">
        <v>3</v>
      </c>
      <c r="C12" s="353" t="s">
        <v>738</v>
      </c>
      <c r="D12" s="352">
        <v>150</v>
      </c>
      <c r="E12" s="352">
        <v>250</v>
      </c>
    </row>
    <row r="13" spans="1:6" ht="14.25" x14ac:dyDescent="0.2">
      <c r="A13" s="533"/>
      <c r="B13" s="353">
        <v>4</v>
      </c>
      <c r="C13" s="353" t="s">
        <v>738</v>
      </c>
      <c r="D13" s="352">
        <v>250</v>
      </c>
      <c r="E13" s="352" t="s">
        <v>737</v>
      </c>
    </row>
    <row r="14" spans="1:6" ht="14.25" x14ac:dyDescent="0.2">
      <c r="A14" s="531" t="s">
        <v>740</v>
      </c>
      <c r="B14" s="353">
        <v>1</v>
      </c>
      <c r="C14" s="353" t="s">
        <v>738</v>
      </c>
      <c r="D14" s="352">
        <v>0</v>
      </c>
      <c r="E14" s="352">
        <v>500</v>
      </c>
    </row>
    <row r="15" spans="1:6" ht="14.25" x14ac:dyDescent="0.2">
      <c r="A15" s="532"/>
      <c r="B15" s="353">
        <v>2</v>
      </c>
      <c r="C15" s="353" t="s">
        <v>738</v>
      </c>
      <c r="D15" s="352">
        <v>500</v>
      </c>
      <c r="E15" s="352">
        <v>1100</v>
      </c>
    </row>
    <row r="16" spans="1:6" ht="14.25" x14ac:dyDescent="0.2">
      <c r="A16" s="532"/>
      <c r="B16" s="353">
        <v>3</v>
      </c>
      <c r="C16" s="353" t="s">
        <v>738</v>
      </c>
      <c r="D16" s="352">
        <v>1100</v>
      </c>
      <c r="E16" s="352">
        <v>2000</v>
      </c>
    </row>
    <row r="17" spans="1:5" ht="14.25" x14ac:dyDescent="0.2">
      <c r="A17" s="533"/>
      <c r="B17" s="353">
        <v>4</v>
      </c>
      <c r="C17" s="353" t="s">
        <v>738</v>
      </c>
      <c r="D17" s="352">
        <v>2000</v>
      </c>
      <c r="E17" s="352" t="s">
        <v>737</v>
      </c>
    </row>
    <row r="18" spans="1:5" ht="14.25" x14ac:dyDescent="0.2">
      <c r="A18" s="534" t="s">
        <v>739</v>
      </c>
      <c r="B18" s="353">
        <v>1</v>
      </c>
      <c r="C18" s="353" t="s">
        <v>738</v>
      </c>
      <c r="D18" s="352">
        <v>0</v>
      </c>
      <c r="E18" s="352">
        <v>3500</v>
      </c>
    </row>
    <row r="19" spans="1:5" ht="14.25" x14ac:dyDescent="0.2">
      <c r="A19" s="535"/>
      <c r="B19" s="353">
        <v>2</v>
      </c>
      <c r="C19" s="353" t="s">
        <v>738</v>
      </c>
      <c r="D19" s="352">
        <v>3500</v>
      </c>
      <c r="E19" s="352">
        <v>11000</v>
      </c>
    </row>
    <row r="20" spans="1:5" ht="14.25" x14ac:dyDescent="0.2">
      <c r="A20" s="535"/>
      <c r="B20" s="353">
        <v>3</v>
      </c>
      <c r="C20" s="353" t="s">
        <v>738</v>
      </c>
      <c r="D20" s="352">
        <v>11000</v>
      </c>
      <c r="E20" s="352">
        <v>20000</v>
      </c>
    </row>
    <row r="21" spans="1:5" ht="14.25" x14ac:dyDescent="0.2">
      <c r="A21" s="536"/>
      <c r="B21" s="353">
        <v>4</v>
      </c>
      <c r="C21" s="353" t="s">
        <v>738</v>
      </c>
      <c r="D21" s="352">
        <v>20000</v>
      </c>
      <c r="E21" s="352" t="s">
        <v>737</v>
      </c>
    </row>
    <row r="22" spans="1:5" x14ac:dyDescent="0.2">
      <c r="A22" s="22" t="s">
        <v>736</v>
      </c>
    </row>
  </sheetData>
  <mergeCells count="5">
    <mergeCell ref="A10:A13"/>
    <mergeCell ref="A14:A17"/>
    <mergeCell ref="A18:A21"/>
    <mergeCell ref="A6:A9"/>
    <mergeCell ref="A2:F2"/>
  </mergeCells>
  <hyperlinks>
    <hyperlink ref="A1" location="Overview!A1" display="Back to Overview" xr:uid="{37F8175C-2D6D-4DB0-98CC-AF4B0B3FB123}"/>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C28A-BB19-4D9B-8DE6-6AACBEA7F4F9}">
  <dimension ref="A1:B41"/>
  <sheetViews>
    <sheetView showGridLines="0" zoomScale="90" zoomScaleNormal="90" workbookViewId="0">
      <selection activeCell="A22" sqref="A22"/>
    </sheetView>
  </sheetViews>
  <sheetFormatPr defaultRowHeight="12.75" x14ac:dyDescent="0.2"/>
  <cols>
    <col min="1" max="1" width="44.85546875" style="22" customWidth="1"/>
    <col min="2" max="2" width="38.28515625" style="22" customWidth="1"/>
    <col min="3" max="3" width="0.140625" style="22" customWidth="1"/>
    <col min="4" max="16384" width="9.140625" style="22"/>
  </cols>
  <sheetData>
    <row r="1" spans="1:2" x14ac:dyDescent="0.2">
      <c r="A1" s="87" t="s">
        <v>19</v>
      </c>
    </row>
    <row r="2" spans="1:2" ht="33" customHeight="1" x14ac:dyDescent="0.2">
      <c r="A2" s="396" t="str">
        <f>Overview!C4&amp;" - Effective from "&amp;TEXT(Overview!D4,"dd/mm/yyyy")&amp;" - "&amp;Overview!F4&amp;" TNUoS Mapping"</f>
        <v>2027/28 - Effective from 01/04/2027 -  TNUoS Mapping</v>
      </c>
      <c r="B2" s="398"/>
    </row>
    <row r="3" spans="1:2" ht="8.25" customHeight="1" x14ac:dyDescent="0.2"/>
    <row r="4" spans="1:2" ht="20.25" customHeight="1" x14ac:dyDescent="0.2">
      <c r="A4" s="356" t="s">
        <v>785</v>
      </c>
      <c r="B4" s="356" t="s">
        <v>784</v>
      </c>
    </row>
    <row r="5" spans="1:2" ht="15.75" customHeight="1" x14ac:dyDescent="0.2">
      <c r="A5" s="357" t="s">
        <v>674</v>
      </c>
      <c r="B5" s="357" t="s">
        <v>783</v>
      </c>
    </row>
    <row r="6" spans="1:2" ht="15.75" customHeight="1" x14ac:dyDescent="0.2">
      <c r="A6" s="358" t="s">
        <v>495</v>
      </c>
      <c r="B6" s="358" t="s">
        <v>782</v>
      </c>
    </row>
    <row r="7" spans="1:2" ht="15.75" customHeight="1" x14ac:dyDescent="0.2">
      <c r="A7" s="358" t="s">
        <v>675</v>
      </c>
      <c r="B7" s="358" t="str">
        <f>$B$6</f>
        <v>n/a (Non-Final Demand Site)</v>
      </c>
    </row>
    <row r="8" spans="1:2" ht="15.75" customHeight="1" x14ac:dyDescent="0.2">
      <c r="A8" s="357" t="s">
        <v>676</v>
      </c>
      <c r="B8" s="357" t="s">
        <v>781</v>
      </c>
    </row>
    <row r="9" spans="1:2" ht="15.75" customHeight="1" x14ac:dyDescent="0.2">
      <c r="A9" s="357" t="s">
        <v>677</v>
      </c>
      <c r="B9" s="357" t="s">
        <v>780</v>
      </c>
    </row>
    <row r="10" spans="1:2" ht="15.75" customHeight="1" x14ac:dyDescent="0.2">
      <c r="A10" s="357" t="s">
        <v>678</v>
      </c>
      <c r="B10" s="357" t="s">
        <v>779</v>
      </c>
    </row>
    <row r="11" spans="1:2" ht="15.75" customHeight="1" x14ac:dyDescent="0.2">
      <c r="A11" s="357" t="s">
        <v>679</v>
      </c>
      <c r="B11" s="357" t="s">
        <v>778</v>
      </c>
    </row>
    <row r="12" spans="1:2" ht="15.75" customHeight="1" x14ac:dyDescent="0.2">
      <c r="A12" s="358" t="s">
        <v>476</v>
      </c>
      <c r="B12" s="358" t="str">
        <f>$B$6</f>
        <v>n/a (Non-Final Demand Site)</v>
      </c>
    </row>
    <row r="13" spans="1:2" ht="15.75" customHeight="1" x14ac:dyDescent="0.2">
      <c r="A13" s="358" t="s">
        <v>496</v>
      </c>
      <c r="B13" s="358" t="str">
        <f>$B$6</f>
        <v>n/a (Non-Final Demand Site)</v>
      </c>
    </row>
    <row r="14" spans="1:2" ht="15.75" customHeight="1" x14ac:dyDescent="0.2">
      <c r="A14" s="357" t="s">
        <v>497</v>
      </c>
      <c r="B14" s="357" t="s">
        <v>777</v>
      </c>
    </row>
    <row r="15" spans="1:2" ht="15.75" customHeight="1" x14ac:dyDescent="0.2">
      <c r="A15" s="357" t="s">
        <v>498</v>
      </c>
      <c r="B15" s="357" t="s">
        <v>776</v>
      </c>
    </row>
    <row r="16" spans="1:2" ht="15.75" customHeight="1" x14ac:dyDescent="0.2">
      <c r="A16" s="357" t="s">
        <v>499</v>
      </c>
      <c r="B16" s="357" t="s">
        <v>775</v>
      </c>
    </row>
    <row r="17" spans="1:2" ht="15.75" customHeight="1" x14ac:dyDescent="0.2">
      <c r="A17" s="357" t="s">
        <v>500</v>
      </c>
      <c r="B17" s="357" t="s">
        <v>774</v>
      </c>
    </row>
    <row r="18" spans="1:2" ht="15.75" customHeight="1" x14ac:dyDescent="0.2">
      <c r="A18" s="358" t="s">
        <v>501</v>
      </c>
      <c r="B18" s="358" t="str">
        <f>$B$6</f>
        <v>n/a (Non-Final Demand Site)</v>
      </c>
    </row>
    <row r="19" spans="1:2" ht="15.75" customHeight="1" x14ac:dyDescent="0.2">
      <c r="A19" s="357" t="s">
        <v>502</v>
      </c>
      <c r="B19" s="357" t="s">
        <v>777</v>
      </c>
    </row>
    <row r="20" spans="1:2" ht="15.75" customHeight="1" x14ac:dyDescent="0.2">
      <c r="A20" s="357" t="s">
        <v>503</v>
      </c>
      <c r="B20" s="357" t="s">
        <v>776</v>
      </c>
    </row>
    <row r="21" spans="1:2" ht="15.75" customHeight="1" x14ac:dyDescent="0.2">
      <c r="A21" s="357" t="s">
        <v>504</v>
      </c>
      <c r="B21" s="357" t="s">
        <v>775</v>
      </c>
    </row>
    <row r="22" spans="1:2" ht="15.75" customHeight="1" x14ac:dyDescent="0.2">
      <c r="A22" s="357" t="s">
        <v>505</v>
      </c>
      <c r="B22" s="357" t="s">
        <v>774</v>
      </c>
    </row>
    <row r="23" spans="1:2" ht="15.75" customHeight="1" x14ac:dyDescent="0.2">
      <c r="A23" s="358" t="s">
        <v>506</v>
      </c>
      <c r="B23" s="358" t="str">
        <f>$B$6</f>
        <v>n/a (Non-Final Demand Site)</v>
      </c>
    </row>
    <row r="24" spans="1:2" ht="15.75" customHeight="1" x14ac:dyDescent="0.2">
      <c r="A24" s="357" t="s">
        <v>507</v>
      </c>
      <c r="B24" s="357" t="s">
        <v>773</v>
      </c>
    </row>
    <row r="25" spans="1:2" ht="15.75" customHeight="1" x14ac:dyDescent="0.2">
      <c r="A25" s="357" t="s">
        <v>508</v>
      </c>
      <c r="B25" s="357" t="s">
        <v>772</v>
      </c>
    </row>
    <row r="26" spans="1:2" ht="15.75" customHeight="1" x14ac:dyDescent="0.2">
      <c r="A26" s="357" t="s">
        <v>509</v>
      </c>
      <c r="B26" s="357" t="s">
        <v>771</v>
      </c>
    </row>
    <row r="27" spans="1:2" ht="15.75" customHeight="1" x14ac:dyDescent="0.2">
      <c r="A27" s="357" t="s">
        <v>510</v>
      </c>
      <c r="B27" s="357" t="s">
        <v>770</v>
      </c>
    </row>
    <row r="28" spans="1:2" ht="15.75" customHeight="1" x14ac:dyDescent="0.2">
      <c r="A28" s="358" t="s">
        <v>477</v>
      </c>
      <c r="B28" s="358" t="s">
        <v>769</v>
      </c>
    </row>
    <row r="29" spans="1:2" ht="15.75" customHeight="1" x14ac:dyDescent="0.2">
      <c r="A29" s="358" t="s">
        <v>768</v>
      </c>
      <c r="B29" s="358" t="str">
        <f t="shared" ref="B29:B37" si="0">$B$6</f>
        <v>n/a (Non-Final Demand Site)</v>
      </c>
    </row>
    <row r="30" spans="1:2" ht="15.75" customHeight="1" x14ac:dyDescent="0.2">
      <c r="A30" s="358" t="s">
        <v>767</v>
      </c>
      <c r="B30" s="358" t="str">
        <f t="shared" si="0"/>
        <v>n/a (Non-Final Demand Site)</v>
      </c>
    </row>
    <row r="31" spans="1:2" ht="15.75" customHeight="1" x14ac:dyDescent="0.2">
      <c r="A31" s="358" t="s">
        <v>766</v>
      </c>
      <c r="B31" s="358" t="str">
        <f t="shared" si="0"/>
        <v>n/a (Non-Final Demand Site)</v>
      </c>
    </row>
    <row r="32" spans="1:2" ht="15.75" customHeight="1" x14ac:dyDescent="0.2">
      <c r="A32" s="358" t="s">
        <v>765</v>
      </c>
      <c r="B32" s="358" t="str">
        <f t="shared" si="0"/>
        <v>n/a (Non-Final Demand Site)</v>
      </c>
    </row>
    <row r="33" spans="1:2" ht="15.75" customHeight="1" x14ac:dyDescent="0.2">
      <c r="A33" s="358" t="s">
        <v>764</v>
      </c>
      <c r="B33" s="358" t="str">
        <f t="shared" si="0"/>
        <v>n/a (Non-Final Demand Site)</v>
      </c>
    </row>
    <row r="34" spans="1:2" ht="15.75" customHeight="1" x14ac:dyDescent="0.2">
      <c r="A34" s="358" t="s">
        <v>763</v>
      </c>
      <c r="B34" s="358" t="str">
        <f t="shared" si="0"/>
        <v>n/a (Non-Final Demand Site)</v>
      </c>
    </row>
    <row r="35" spans="1:2" ht="15.75" customHeight="1" x14ac:dyDescent="0.2">
      <c r="A35" s="358" t="s">
        <v>762</v>
      </c>
      <c r="B35" s="358" t="str">
        <f t="shared" si="0"/>
        <v>n/a (Non-Final Demand Site)</v>
      </c>
    </row>
    <row r="36" spans="1:2" ht="15.75" customHeight="1" x14ac:dyDescent="0.2">
      <c r="A36" s="358" t="s">
        <v>761</v>
      </c>
      <c r="B36" s="358" t="str">
        <f t="shared" si="0"/>
        <v>n/a (Non-Final Demand Site)</v>
      </c>
    </row>
    <row r="37" spans="1:2" ht="15.75" customHeight="1" x14ac:dyDescent="0.2">
      <c r="A37" s="358" t="s">
        <v>760</v>
      </c>
      <c r="B37" s="358" t="str">
        <f t="shared" si="0"/>
        <v>n/a (Non-Final Demand Site)</v>
      </c>
    </row>
    <row r="38" spans="1:2" ht="15.75" customHeight="1" x14ac:dyDescent="0.2">
      <c r="A38" s="357" t="s">
        <v>759</v>
      </c>
      <c r="B38" s="357" t="s">
        <v>758</v>
      </c>
    </row>
    <row r="39" spans="1:2" ht="15.75" customHeight="1" x14ac:dyDescent="0.2">
      <c r="A39" s="357" t="s">
        <v>757</v>
      </c>
      <c r="B39" s="357" t="s">
        <v>756</v>
      </c>
    </row>
    <row r="40" spans="1:2" ht="15.75" customHeight="1" x14ac:dyDescent="0.2">
      <c r="A40" s="357" t="s">
        <v>755</v>
      </c>
      <c r="B40" s="357" t="s">
        <v>754</v>
      </c>
    </row>
    <row r="41" spans="1:2" ht="15.75" customHeight="1" x14ac:dyDescent="0.2">
      <c r="A41" s="357" t="s">
        <v>753</v>
      </c>
      <c r="B41" s="357" t="s">
        <v>752</v>
      </c>
    </row>
  </sheetData>
  <mergeCells count="1">
    <mergeCell ref="A2:B2"/>
  </mergeCells>
  <hyperlinks>
    <hyperlink ref="A1" location="Overview!A1" display="Back to Overview" xr:uid="{B4CCB68D-953E-4F0D-B602-568CEF6E2975}"/>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
    <pageSetUpPr fitToPage="1"/>
  </sheetPr>
  <dimension ref="A1:EZ24"/>
  <sheetViews>
    <sheetView zoomScale="80" zoomScaleNormal="80" workbookViewId="0">
      <selection activeCell="A22" sqref="A22"/>
    </sheetView>
  </sheetViews>
  <sheetFormatPr defaultRowHeight="12.75" x14ac:dyDescent="0.2"/>
  <cols>
    <col min="1" max="1" width="2.42578125" customWidth="1"/>
    <col min="2" max="2" width="33.7109375" customWidth="1"/>
    <col min="3" max="4" width="14.140625" customWidth="1"/>
    <col min="5" max="9" width="12.140625" customWidth="1"/>
    <col min="10" max="10" width="5.5703125" customWidth="1"/>
    <col min="11" max="11" width="5.28515625" customWidth="1"/>
    <col min="12" max="12" width="35.28515625" customWidth="1"/>
    <col min="13" max="20" width="11.7109375" customWidth="1"/>
  </cols>
  <sheetData>
    <row r="1" spans="1:156" x14ac:dyDescent="0.2">
      <c r="B1" s="53" t="s">
        <v>19</v>
      </c>
    </row>
    <row r="2" spans="1:156" s="1" customFormat="1" ht="21.75" customHeight="1" x14ac:dyDescent="0.2">
      <c r="B2" s="539" t="str">
        <f>Overview!B4&amp; " - Effective from "&amp;TEXT(Overview!$D$4,"d mmmm yyyy")&amp;" - "&amp;Overview!E4</f>
        <v>Leep Electricity Networks Limited - Effective from 1 April 2027 - Final</v>
      </c>
      <c r="C2" s="540"/>
      <c r="D2" s="540"/>
      <c r="E2" s="540"/>
      <c r="F2" s="540"/>
      <c r="G2" s="540"/>
      <c r="H2" s="540"/>
      <c r="I2" s="540"/>
      <c r="J2" s="540"/>
      <c r="K2" s="540"/>
      <c r="L2" s="540"/>
      <c r="M2" s="540"/>
      <c r="N2" s="540"/>
      <c r="O2" s="540"/>
      <c r="P2" s="540"/>
      <c r="Q2" s="540"/>
      <c r="R2" s="540"/>
      <c r="S2" s="540"/>
      <c r="T2" s="541"/>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row>
    <row r="3" spans="1:156" s="64" customFormat="1" ht="9" customHeight="1" x14ac:dyDescent="0.2">
      <c r="A3" s="63"/>
      <c r="B3" s="63"/>
      <c r="C3" s="63"/>
      <c r="D3" s="63"/>
      <c r="E3" s="63"/>
      <c r="F3" s="63"/>
      <c r="G3" s="63"/>
      <c r="H3" s="63"/>
      <c r="I3" s="63"/>
      <c r="J3" s="63"/>
      <c r="K3" s="6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row>
    <row r="4" spans="1:156" ht="26.25" customHeight="1" x14ac:dyDescent="0.2">
      <c r="B4" s="545" t="s">
        <v>300</v>
      </c>
      <c r="C4" s="546"/>
      <c r="D4" s="546"/>
      <c r="E4" s="546"/>
      <c r="F4" s="546"/>
      <c r="G4" s="546"/>
      <c r="H4" s="546"/>
      <c r="I4" s="547"/>
      <c r="L4" s="545" t="s">
        <v>316</v>
      </c>
      <c r="M4" s="546"/>
      <c r="N4" s="546"/>
      <c r="O4" s="546"/>
      <c r="P4" s="546"/>
      <c r="Q4" s="546"/>
      <c r="R4" s="546"/>
      <c r="S4" s="546"/>
      <c r="T4" s="547"/>
    </row>
    <row r="5" spans="1:156" ht="18" customHeight="1" x14ac:dyDescent="0.2">
      <c r="B5" s="549" t="s">
        <v>337</v>
      </c>
      <c r="C5" s="549"/>
      <c r="D5" s="549"/>
      <c r="E5" s="549"/>
      <c r="F5" s="549"/>
      <c r="G5" s="549"/>
      <c r="H5" s="549"/>
      <c r="I5" s="549"/>
      <c r="L5" s="549" t="s">
        <v>339</v>
      </c>
      <c r="M5" s="549"/>
      <c r="N5" s="549"/>
      <c r="O5" s="549"/>
      <c r="P5" s="549"/>
      <c r="Q5" s="549"/>
      <c r="R5" s="549"/>
      <c r="S5" s="549"/>
      <c r="T5" s="549"/>
    </row>
    <row r="6" spans="1:156" s="65" customFormat="1" ht="27.75" customHeight="1" x14ac:dyDescent="0.2">
      <c r="B6" s="548" t="s">
        <v>343</v>
      </c>
      <c r="C6" s="548"/>
      <c r="D6" s="548"/>
      <c r="E6" s="548"/>
      <c r="F6" s="548"/>
      <c r="G6" s="548"/>
      <c r="H6" s="548"/>
      <c r="I6" s="548"/>
      <c r="L6" s="548" t="s">
        <v>344</v>
      </c>
      <c r="M6" s="548"/>
      <c r="N6" s="548"/>
      <c r="O6" s="548"/>
      <c r="P6" s="548"/>
      <c r="Q6" s="548"/>
      <c r="R6" s="548"/>
      <c r="S6" s="548"/>
      <c r="T6" s="548"/>
    </row>
    <row r="7" spans="1:156" ht="18" customHeight="1" x14ac:dyDescent="0.2">
      <c r="B7" s="549" t="s">
        <v>338</v>
      </c>
      <c r="C7" s="549"/>
      <c r="D7" s="549"/>
      <c r="E7" s="549"/>
      <c r="F7" s="549"/>
      <c r="G7" s="549"/>
      <c r="H7" s="549"/>
      <c r="I7" s="549"/>
      <c r="L7" s="549" t="s">
        <v>340</v>
      </c>
      <c r="M7" s="549"/>
      <c r="N7" s="549"/>
      <c r="O7" s="549"/>
      <c r="P7" s="549"/>
      <c r="Q7" s="549"/>
      <c r="R7" s="549"/>
      <c r="S7" s="549"/>
      <c r="T7" s="549"/>
    </row>
    <row r="8" spans="1:156" ht="8.25" customHeight="1" x14ac:dyDescent="0.2"/>
    <row r="9" spans="1:156" ht="72" customHeight="1" x14ac:dyDescent="0.2">
      <c r="B9" s="66" t="s">
        <v>341</v>
      </c>
      <c r="C9" s="67" t="e">
        <f>#REF!</f>
        <v>#REF!</v>
      </c>
      <c r="D9" s="67" t="e">
        <f>#REF!</f>
        <v>#REF!</v>
      </c>
      <c r="E9" s="67" t="e">
        <f>#REF!</f>
        <v>#REF!</v>
      </c>
      <c r="F9" s="67" t="e">
        <f>#REF!</f>
        <v>#REF!</v>
      </c>
      <c r="G9" s="67" t="e">
        <f>#REF!</f>
        <v>#REF!</v>
      </c>
      <c r="H9" s="67" t="e">
        <f>#REF!</f>
        <v>#REF!</v>
      </c>
      <c r="I9" s="67" t="e">
        <f>#REF!</f>
        <v>#REF!</v>
      </c>
      <c r="L9" s="66" t="s">
        <v>342</v>
      </c>
      <c r="M9" s="84" t="e">
        <f>#REF!</f>
        <v>#REF!</v>
      </c>
      <c r="N9" s="84" t="e">
        <f>#REF!</f>
        <v>#REF!</v>
      </c>
      <c r="O9" s="84" t="e">
        <f>#REF!</f>
        <v>#REF!</v>
      </c>
      <c r="P9" s="84" t="e">
        <f>#REF!</f>
        <v>#REF!</v>
      </c>
      <c r="Q9" s="85" t="e">
        <f>#REF!</f>
        <v>#REF!</v>
      </c>
      <c r="R9" s="85" t="e">
        <f>#REF!</f>
        <v>#REF!</v>
      </c>
      <c r="S9" s="85" t="e">
        <f>#REF!</f>
        <v>#REF!</v>
      </c>
      <c r="T9" s="85" t="e">
        <f>#REF!</f>
        <v>#REF!</v>
      </c>
    </row>
    <row r="10" spans="1:156" ht="30" customHeight="1" x14ac:dyDescent="0.2">
      <c r="B10" s="57"/>
      <c r="C10" s="81" t="str">
        <f>IFERROR(VLOOKUP($B$10,#REF!,4,FALSE),"")</f>
        <v/>
      </c>
      <c r="D10" s="82" t="str">
        <f>IFERROR(VLOOKUP($B$10,#REF!,5,FALSE),"")</f>
        <v/>
      </c>
      <c r="E10" s="82" t="str">
        <f>IFERROR(VLOOKUP($B$10,#REF!,6,FALSE),"")</f>
        <v/>
      </c>
      <c r="F10" s="59" t="str">
        <f>IFERROR(VLOOKUP($B$10,#REF!,7,FALSE),"")</f>
        <v/>
      </c>
      <c r="G10" s="59" t="str">
        <f>IFERROR(VLOOKUP($B$10,#REF!,8,FALSE),"")</f>
        <v/>
      </c>
      <c r="H10" s="59" t="str">
        <f>IFERROR(VLOOKUP($B$10,#REF!,9,FALSE),"")</f>
        <v/>
      </c>
      <c r="I10" s="59" t="str">
        <f>IFERROR(VLOOKUP($B$10,#REF!,10,FALSE),"")</f>
        <v/>
      </c>
      <c r="L10" s="57"/>
      <c r="M10" s="59" t="str">
        <f>IFERROR(VLOOKUP($L$10,#REF!,2,FALSE),"")</f>
        <v/>
      </c>
      <c r="N10" s="59" t="str">
        <f>IFERROR(VLOOKUP($L$10,#REF!,3,FALSE),"")</f>
        <v/>
      </c>
      <c r="O10" s="59" t="str">
        <f>IFERROR(VLOOKUP($L$10,#REF!,4,FALSE),"")</f>
        <v/>
      </c>
      <c r="P10" s="59" t="str">
        <f>IFERROR(VLOOKUP($L$10,#REF!,5,FALSE),"")</f>
        <v/>
      </c>
      <c r="Q10" s="69" t="str">
        <f>IFERROR(VLOOKUP($L$10,#REF!,6,FALSE),"")</f>
        <v/>
      </c>
      <c r="R10" s="69" t="str">
        <f>IFERROR(VLOOKUP($L$10,#REF!,7,FALSE),"")</f>
        <v/>
      </c>
      <c r="S10" s="69" t="str">
        <f>IFERROR(VLOOKUP($L$10,#REF!,8,FALSE),"")</f>
        <v/>
      </c>
      <c r="T10" s="69" t="str">
        <f>IFERROR(VLOOKUP($L$10,#REF!,9,FALSE),"")</f>
        <v/>
      </c>
    </row>
    <row r="11" spans="1:156" ht="7.5" customHeight="1" x14ac:dyDescent="0.2"/>
    <row r="12" spans="1:156" ht="88.5" customHeight="1" x14ac:dyDescent="0.2">
      <c r="B12" s="70" t="s">
        <v>303</v>
      </c>
      <c r="C12" s="67" t="s">
        <v>317</v>
      </c>
      <c r="D12" s="67" t="s">
        <v>318</v>
      </c>
      <c r="E12" s="67" t="s">
        <v>319</v>
      </c>
      <c r="F12" s="67" t="s">
        <v>304</v>
      </c>
      <c r="G12" s="67" t="s">
        <v>301</v>
      </c>
      <c r="H12" s="67" t="s">
        <v>363</v>
      </c>
      <c r="I12" s="67" t="s">
        <v>302</v>
      </c>
      <c r="L12" s="70" t="s">
        <v>303</v>
      </c>
      <c r="M12" s="67" t="s">
        <v>327</v>
      </c>
      <c r="N12" s="67" t="s">
        <v>304</v>
      </c>
      <c r="O12" s="67" t="s">
        <v>323</v>
      </c>
      <c r="P12" s="67" t="s">
        <v>363</v>
      </c>
      <c r="Q12" s="68" t="s">
        <v>325</v>
      </c>
      <c r="R12" s="68" t="s">
        <v>304</v>
      </c>
      <c r="S12" s="68" t="s">
        <v>324</v>
      </c>
      <c r="T12" s="68" t="s">
        <v>363</v>
      </c>
    </row>
    <row r="13" spans="1:156" ht="30" customHeight="1" x14ac:dyDescent="0.2">
      <c r="B13" s="71" t="s">
        <v>305</v>
      </c>
      <c r="C13" s="76"/>
      <c r="D13" s="76"/>
      <c r="E13" s="76"/>
      <c r="F13" s="76"/>
      <c r="G13" s="76"/>
      <c r="H13" s="76"/>
      <c r="I13" s="76"/>
      <c r="L13" s="71" t="s">
        <v>305</v>
      </c>
      <c r="M13" s="60"/>
      <c r="N13" s="60"/>
      <c r="O13" s="60"/>
      <c r="P13" s="60"/>
      <c r="Q13" s="61"/>
      <c r="R13" s="61">
        <f>N13</f>
        <v>0</v>
      </c>
      <c r="S13" s="61"/>
      <c r="T13" s="61"/>
    </row>
    <row r="14" spans="1:156" ht="30" customHeight="1" x14ac:dyDescent="0.2">
      <c r="B14" s="72" t="s">
        <v>307</v>
      </c>
      <c r="C14" s="58">
        <f>C13</f>
        <v>0</v>
      </c>
      <c r="D14" s="58">
        <f t="shared" ref="D14:G14" si="0">D13</f>
        <v>0</v>
      </c>
      <c r="E14" s="58">
        <f t="shared" si="0"/>
        <v>0</v>
      </c>
      <c r="F14" s="58">
        <f t="shared" si="0"/>
        <v>0</v>
      </c>
      <c r="G14" s="58">
        <f t="shared" si="0"/>
        <v>0</v>
      </c>
      <c r="H14" s="58">
        <f>H13</f>
        <v>0</v>
      </c>
      <c r="I14" s="58">
        <f>I13</f>
        <v>0</v>
      </c>
      <c r="L14" s="72" t="s">
        <v>307</v>
      </c>
      <c r="M14" s="58">
        <f>M13</f>
        <v>0</v>
      </c>
      <c r="N14" s="58">
        <f t="shared" ref="N14:T14" si="1">N13</f>
        <v>0</v>
      </c>
      <c r="O14" s="58">
        <f t="shared" si="1"/>
        <v>0</v>
      </c>
      <c r="P14" s="58">
        <f t="shared" si="1"/>
        <v>0</v>
      </c>
      <c r="Q14" s="62">
        <f t="shared" si="1"/>
        <v>0</v>
      </c>
      <c r="R14" s="62">
        <f t="shared" si="1"/>
        <v>0</v>
      </c>
      <c r="S14" s="62">
        <f t="shared" si="1"/>
        <v>0</v>
      </c>
      <c r="T14" s="62">
        <f t="shared" si="1"/>
        <v>0</v>
      </c>
    </row>
    <row r="15" spans="1:156" ht="7.5" customHeight="1" x14ac:dyDescent="0.2"/>
    <row r="16" spans="1:156" ht="63.75" customHeight="1" x14ac:dyDescent="0.2">
      <c r="B16" s="70" t="s">
        <v>306</v>
      </c>
      <c r="C16" s="67" t="s">
        <v>320</v>
      </c>
      <c r="D16" s="67" t="s">
        <v>321</v>
      </c>
      <c r="E16" s="67" t="s">
        <v>322</v>
      </c>
      <c r="F16" s="67" t="s">
        <v>312</v>
      </c>
      <c r="G16" s="67" t="s">
        <v>311</v>
      </c>
      <c r="H16" s="67" t="s">
        <v>364</v>
      </c>
      <c r="I16" s="67" t="s">
        <v>310</v>
      </c>
      <c r="L16" s="70" t="s">
        <v>306</v>
      </c>
      <c r="M16" s="67" t="s">
        <v>328</v>
      </c>
      <c r="N16" s="67" t="s">
        <v>326</v>
      </c>
      <c r="O16" s="67" t="s">
        <v>331</v>
      </c>
      <c r="P16" s="67" t="s">
        <v>365</v>
      </c>
      <c r="Q16" s="68" t="s">
        <v>329</v>
      </c>
      <c r="R16" s="68" t="s">
        <v>330</v>
      </c>
      <c r="S16" s="68" t="s">
        <v>332</v>
      </c>
      <c r="T16" s="68" t="s">
        <v>366</v>
      </c>
    </row>
    <row r="17" spans="2:20" ht="30" customHeight="1" x14ac:dyDescent="0.2">
      <c r="B17" s="71" t="s">
        <v>308</v>
      </c>
      <c r="C17" s="77" t="str">
        <f>IFERROR(C10*C13/100,"")</f>
        <v/>
      </c>
      <c r="D17" s="77" t="str">
        <f t="shared" ref="D17:I17" si="2">IFERROR(D10*D13/100,"")</f>
        <v/>
      </c>
      <c r="E17" s="77" t="str">
        <f t="shared" si="2"/>
        <v/>
      </c>
      <c r="F17" s="77" t="str">
        <f t="shared" si="2"/>
        <v/>
      </c>
      <c r="G17" s="77" t="str">
        <f>IFERROR(G10*G13*F13/100,"")</f>
        <v/>
      </c>
      <c r="H17" s="77" t="str">
        <f>IFERROR(H10*H13*F13/100,"")</f>
        <v/>
      </c>
      <c r="I17" s="77" t="str">
        <f t="shared" si="2"/>
        <v/>
      </c>
      <c r="L17" s="73" t="s">
        <v>308</v>
      </c>
      <c r="M17" s="77" t="str">
        <f>IFERROR(M10*M13/100,"")</f>
        <v/>
      </c>
      <c r="N17" s="77" t="str">
        <f>IFERROR(N10*N13/100,"")</f>
        <v/>
      </c>
      <c r="O17" s="77" t="str">
        <f>IFERROR(O10*O13*N13/100,"")</f>
        <v/>
      </c>
      <c r="P17" s="77" t="str">
        <f>IFERROR(P10*P13*N13/100,"")</f>
        <v/>
      </c>
      <c r="Q17" s="78" t="str">
        <f>IFERROR(Q10*Q13/100,"")</f>
        <v/>
      </c>
      <c r="R17" s="78" t="str">
        <f>IFERROR(R10*R13/100,"")</f>
        <v/>
      </c>
      <c r="S17" s="78" t="str">
        <f>IFERROR(S10*S13*R13/100,"")</f>
        <v/>
      </c>
      <c r="T17" s="78" t="str">
        <f>IFERROR(T10*T13*R13/100,"")</f>
        <v/>
      </c>
    </row>
    <row r="18" spans="2:20" ht="30" customHeight="1" x14ac:dyDescent="0.2">
      <c r="B18" s="72" t="s">
        <v>309</v>
      </c>
      <c r="C18" s="79" t="str">
        <f>IFERROR(C10*C14/100,"")</f>
        <v/>
      </c>
      <c r="D18" s="79" t="str">
        <f t="shared" ref="D18:I18" si="3">IFERROR(D10*D14/100,"")</f>
        <v/>
      </c>
      <c r="E18" s="79" t="str">
        <f t="shared" si="3"/>
        <v/>
      </c>
      <c r="F18" s="79" t="str">
        <f t="shared" si="3"/>
        <v/>
      </c>
      <c r="G18" s="79" t="str">
        <f>IFERROR(G10*G14*F14/100,"")</f>
        <v/>
      </c>
      <c r="H18" s="79" t="str">
        <f>IFERROR(H10*H14*F14/100,"")</f>
        <v/>
      </c>
      <c r="I18" s="79" t="str">
        <f t="shared" si="3"/>
        <v/>
      </c>
      <c r="L18" s="74" t="s">
        <v>309</v>
      </c>
      <c r="M18" s="79" t="str">
        <f>IFERROR(M10*M14/100,"")</f>
        <v/>
      </c>
      <c r="N18" s="79" t="str">
        <f t="shared" ref="N18" si="4">IFERROR(N10*N14/100,"")</f>
        <v/>
      </c>
      <c r="O18" s="79" t="str">
        <f>IFERROR(O10*O14*N14/100,"")</f>
        <v/>
      </c>
      <c r="P18" s="79" t="str">
        <f>IFERROR(P10*P14*N14/100,"")</f>
        <v/>
      </c>
      <c r="Q18" s="80" t="str">
        <f>IFERROR(Q10*Q14/100,"")</f>
        <v/>
      </c>
      <c r="R18" s="80" t="str">
        <f t="shared" ref="R18" si="5">IFERROR(R10*R14/100,"")</f>
        <v/>
      </c>
      <c r="S18" s="80" t="str">
        <f>IFERROR(S10*S14*R14/100,"")</f>
        <v/>
      </c>
      <c r="T18" s="80" t="str">
        <f>IFERROR(T10*T14*R14/100,"")</f>
        <v/>
      </c>
    </row>
    <row r="19" spans="2:20" ht="7.5" customHeight="1" x14ac:dyDescent="0.2"/>
    <row r="20" spans="2:20" ht="39.75" customHeight="1" x14ac:dyDescent="0.2">
      <c r="C20" s="75" t="s">
        <v>313</v>
      </c>
      <c r="M20" s="67" t="s">
        <v>333</v>
      </c>
      <c r="N20" s="68" t="s">
        <v>334</v>
      </c>
    </row>
    <row r="21" spans="2:20" ht="30" customHeight="1" x14ac:dyDescent="0.2">
      <c r="B21" s="71" t="s">
        <v>308</v>
      </c>
      <c r="C21" s="77">
        <f>SUM(C17:I17)</f>
        <v>0</v>
      </c>
      <c r="L21" s="71" t="s">
        <v>308</v>
      </c>
      <c r="M21" s="77">
        <f>SUM(M17:P17)</f>
        <v>0</v>
      </c>
      <c r="N21" s="78">
        <f>SUM(Q17:T17)</f>
        <v>0</v>
      </c>
    </row>
    <row r="22" spans="2:20" ht="30" customHeight="1" x14ac:dyDescent="0.2">
      <c r="B22" s="72" t="s">
        <v>309</v>
      </c>
      <c r="C22" s="79">
        <f>SUM(C18:I18)</f>
        <v>0</v>
      </c>
      <c r="L22" s="72" t="s">
        <v>309</v>
      </c>
      <c r="M22" s="79">
        <f>SUM(M18:P18)</f>
        <v>0</v>
      </c>
      <c r="N22" s="80">
        <f>SUM(Q18:T18)</f>
        <v>0</v>
      </c>
    </row>
    <row r="24" spans="2:20" ht="30.75" customHeight="1" x14ac:dyDescent="0.2">
      <c r="B24" s="542" t="s">
        <v>335</v>
      </c>
      <c r="C24" s="543"/>
      <c r="D24" s="544"/>
      <c r="L24" s="542" t="s">
        <v>336</v>
      </c>
      <c r="M24" s="543"/>
      <c r="N24" s="544"/>
    </row>
  </sheetData>
  <dataConsolidate/>
  <mergeCells count="11">
    <mergeCell ref="B2:T2"/>
    <mergeCell ref="B24:D24"/>
    <mergeCell ref="L24:N24"/>
    <mergeCell ref="B4:I4"/>
    <mergeCell ref="L4:T4"/>
    <mergeCell ref="B6:I6"/>
    <mergeCell ref="B5:I5"/>
    <mergeCell ref="B7:I7"/>
    <mergeCell ref="L5:T5"/>
    <mergeCell ref="L6:T6"/>
    <mergeCell ref="L7:T7"/>
  </mergeCells>
  <conditionalFormatting sqref="C9:I9">
    <cfRule type="expression" dxfId="8" priority="12">
      <formula>OR(C10="",C10=0)</formula>
    </cfRule>
  </conditionalFormatting>
  <conditionalFormatting sqref="C12:I12">
    <cfRule type="expression" dxfId="7" priority="16">
      <formula>OR(C10="",C10=0)</formula>
    </cfRule>
  </conditionalFormatting>
  <conditionalFormatting sqref="C16:I16">
    <cfRule type="expression" dxfId="6" priority="14">
      <formula>OR(C10="",C10=0)</formula>
    </cfRule>
  </conditionalFormatting>
  <conditionalFormatting sqref="M9:P9">
    <cfRule type="expression" dxfId="5" priority="11">
      <formula>OR(M10="",M10=0)</formula>
    </cfRule>
  </conditionalFormatting>
  <conditionalFormatting sqref="M12:P12">
    <cfRule type="expression" dxfId="4" priority="7">
      <formula>OR(M10="",M10=0)</formula>
    </cfRule>
  </conditionalFormatting>
  <conditionalFormatting sqref="M16:P16">
    <cfRule type="expression" dxfId="3" priority="9">
      <formula>OR(M10="",M10=0)</formula>
    </cfRule>
  </conditionalFormatting>
  <conditionalFormatting sqref="Q9:T9">
    <cfRule type="expression" dxfId="2" priority="3">
      <formula>OR(Q10="",Q10=0)</formula>
    </cfRule>
  </conditionalFormatting>
  <conditionalFormatting sqref="Q12:T12">
    <cfRule type="expression" dxfId="1" priority="2">
      <formula>OR(Q10="",Q10=0)</formula>
    </cfRule>
  </conditionalFormatting>
  <conditionalFormatting sqref="Q16:T16">
    <cfRule type="expression" dxfId="0" priority="1">
      <formula>OR(Q10="",Q10=0)</formula>
    </cfRule>
  </conditionalFormatting>
  <dataValidations count="2">
    <dataValidation type="list" errorStyle="information" allowBlank="1" showInputMessage="1" showErrorMessage="1" promptTitle="Tariff selection" prompt="Choose tariff from drop down list" sqref="B10" xr:uid="{00000000-0002-0000-3200-000000000000}">
      <formula1>#REF!</formula1>
    </dataValidation>
    <dataValidation type="list" errorStyle="information" allowBlank="1" showInputMessage="1" showErrorMessage="1" promptTitle="Choose site" prompt="Select the EHV site that you would like to calculate charges." sqref="L10" xr:uid="{00000000-0002-0000-3200-000001000000}">
      <formula1>#REF!</formula1>
    </dataValidation>
  </dataValidations>
  <hyperlinks>
    <hyperlink ref="B1" location="Overview!A1" display="Back to Overview" xr:uid="{00000000-0004-0000-3200-000000000000}"/>
  </hyperlinks>
  <pageMargins left="0.70866141732283472" right="0.70866141732283472" top="0.74803149606299213" bottom="0.74803149606299213" header="0.31496062992125984" footer="0.31496062992125984"/>
  <pageSetup paperSize="9" scale="50" orientation="landscape" r:id="rId1"/>
  <ignoredErrors>
    <ignoredError sqref="G17:G18" formula="1"/>
    <ignoredError sqref="M14:T14 R13 C14:G14"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83" t="s">
        <v>367</v>
      </c>
      <c r="F1" s="383"/>
      <c r="G1" s="383"/>
      <c r="H1" s="383"/>
      <c r="I1" s="383"/>
      <c r="J1" s="383"/>
      <c r="K1" s="383"/>
      <c r="L1" s="241"/>
      <c r="M1" s="340"/>
    </row>
    <row r="2" spans="1:13" ht="27" customHeight="1" x14ac:dyDescent="0.2">
      <c r="A2" s="384" t="str">
        <f>Overview!B4&amp;" - Effective from "&amp;TEXT(Overview!$D$4,"d mmmm yyyy")&amp;" - Final LV and HV charges in NPG Northeast Area (GSP Group _F)"</f>
        <v>Leep Electricity Networks Limited - Effective from 1 April 2027 - Final LV and HV charges in NPG Northeast Area (GSP Group _F)</v>
      </c>
      <c r="B2" s="384"/>
      <c r="C2" s="384"/>
      <c r="D2" s="384"/>
      <c r="E2" s="384"/>
      <c r="F2" s="384"/>
      <c r="G2" s="384"/>
      <c r="H2" s="384"/>
      <c r="I2" s="384"/>
      <c r="J2" s="384"/>
      <c r="K2" s="384"/>
    </row>
    <row r="3" spans="1:13" s="40" customFormat="1" ht="15" customHeight="1" x14ac:dyDescent="0.2">
      <c r="A3" s="45"/>
      <c r="B3" s="45"/>
      <c r="C3" s="45"/>
      <c r="D3" s="45"/>
      <c r="E3" s="45"/>
      <c r="F3" s="45"/>
      <c r="G3" s="45"/>
      <c r="H3" s="45"/>
      <c r="I3" s="45"/>
      <c r="J3" s="45"/>
      <c r="K3" s="45"/>
      <c r="L3" s="98"/>
      <c r="M3" s="342"/>
    </row>
    <row r="4" spans="1:13" ht="27" customHeight="1" x14ac:dyDescent="0.2">
      <c r="A4" s="384" t="s">
        <v>290</v>
      </c>
      <c r="B4" s="384"/>
      <c r="C4" s="384"/>
      <c r="D4" s="384"/>
      <c r="E4" s="384"/>
      <c r="F4" s="45"/>
      <c r="G4" s="384" t="s">
        <v>289</v>
      </c>
      <c r="H4" s="384"/>
      <c r="I4" s="384"/>
      <c r="J4" s="384"/>
      <c r="K4" s="384"/>
    </row>
    <row r="5" spans="1:13" ht="28.5" customHeight="1" x14ac:dyDescent="0.2">
      <c r="A5" s="39" t="s">
        <v>13</v>
      </c>
      <c r="B5" s="256" t="s">
        <v>281</v>
      </c>
      <c r="C5" s="379" t="s">
        <v>282</v>
      </c>
      <c r="D5" s="380"/>
      <c r="E5" s="41" t="s">
        <v>283</v>
      </c>
      <c r="F5" s="45"/>
      <c r="G5" s="381"/>
      <c r="H5" s="382"/>
      <c r="I5" s="43" t="s">
        <v>287</v>
      </c>
      <c r="J5" s="44" t="s">
        <v>288</v>
      </c>
      <c r="K5" s="41" t="s">
        <v>283</v>
      </c>
      <c r="L5" s="45"/>
    </row>
    <row r="6" spans="1:13" ht="54.75" customHeight="1" x14ac:dyDescent="0.2">
      <c r="A6" s="42" t="s">
        <v>794</v>
      </c>
      <c r="B6" s="13" t="s">
        <v>2061</v>
      </c>
      <c r="C6" s="375" t="s">
        <v>2062</v>
      </c>
      <c r="D6" s="375"/>
      <c r="E6" s="13" t="s">
        <v>2063</v>
      </c>
      <c r="F6" s="45" t="s">
        <v>797</v>
      </c>
      <c r="G6" s="418" t="s">
        <v>285</v>
      </c>
      <c r="H6" s="418"/>
      <c r="I6" s="13" t="s">
        <v>2061</v>
      </c>
      <c r="J6" s="248" t="s">
        <v>2062</v>
      </c>
      <c r="K6" s="248" t="s">
        <v>2063</v>
      </c>
      <c r="L6" s="45"/>
    </row>
    <row r="7" spans="1:13" ht="51.75" customHeight="1" x14ac:dyDescent="0.2">
      <c r="A7" s="42" t="s">
        <v>798</v>
      </c>
      <c r="B7" s="119" t="s">
        <v>797</v>
      </c>
      <c r="C7" s="419" t="s">
        <v>797</v>
      </c>
      <c r="D7" s="420"/>
      <c r="E7" s="13" t="s">
        <v>2027</v>
      </c>
      <c r="F7" s="45" t="s">
        <v>797</v>
      </c>
      <c r="G7" s="418" t="s">
        <v>2064</v>
      </c>
      <c r="H7" s="418"/>
      <c r="I7" s="119" t="s">
        <v>797</v>
      </c>
      <c r="J7" s="248" t="s">
        <v>2065</v>
      </c>
      <c r="K7" s="248" t="s">
        <v>2063</v>
      </c>
      <c r="L7" s="45"/>
    </row>
    <row r="8" spans="1:13" ht="65.25" customHeight="1" x14ac:dyDescent="0.2">
      <c r="A8" s="257" t="s">
        <v>14</v>
      </c>
      <c r="B8" s="407" t="s">
        <v>15</v>
      </c>
      <c r="C8" s="408"/>
      <c r="D8" s="408"/>
      <c r="E8" s="409"/>
      <c r="F8" s="45" t="s">
        <v>797</v>
      </c>
      <c r="G8" s="418" t="s">
        <v>2030</v>
      </c>
      <c r="H8" s="418"/>
      <c r="I8" s="119" t="s">
        <v>797</v>
      </c>
      <c r="J8" s="119" t="s">
        <v>797</v>
      </c>
      <c r="K8" s="248" t="s">
        <v>2027</v>
      </c>
      <c r="L8" s="45"/>
    </row>
    <row r="9" spans="1:13" s="40" customFormat="1" ht="27" customHeight="1" x14ac:dyDescent="0.2">
      <c r="A9" s="45" t="s">
        <v>797</v>
      </c>
      <c r="B9" s="45" t="s">
        <v>797</v>
      </c>
      <c r="C9" s="45" t="s">
        <v>797</v>
      </c>
      <c r="D9" s="45" t="s">
        <v>797</v>
      </c>
      <c r="E9" s="45" t="s">
        <v>797</v>
      </c>
      <c r="F9" s="45" t="s">
        <v>797</v>
      </c>
      <c r="G9" s="417" t="s">
        <v>14</v>
      </c>
      <c r="H9" s="417"/>
      <c r="I9" s="407" t="s">
        <v>15</v>
      </c>
      <c r="J9" s="408"/>
      <c r="K9" s="409"/>
      <c r="L9" s="45"/>
      <c r="M9" s="342"/>
    </row>
    <row r="10" spans="1:13" s="40" customFormat="1" ht="12.75" customHeight="1" x14ac:dyDescent="0.2">
      <c r="A10" s="45"/>
      <c r="B10" s="45"/>
      <c r="C10" s="45"/>
      <c r="D10" s="45"/>
      <c r="E10" s="45"/>
      <c r="F10" s="45"/>
      <c r="G10" s="45"/>
      <c r="H10" s="45"/>
      <c r="I10" s="45"/>
      <c r="J10" s="45"/>
      <c r="K10" s="45"/>
      <c r="L10" s="45"/>
      <c r="M10" s="342"/>
    </row>
    <row r="11" spans="1:13" s="40" customFormat="1" ht="12.75" customHeight="1" x14ac:dyDescent="0.2">
      <c r="A11" s="45"/>
      <c r="B11" s="45"/>
      <c r="C11" s="45"/>
      <c r="D11" s="45"/>
      <c r="E11" s="45"/>
      <c r="F11" s="45"/>
      <c r="G11" s="45"/>
      <c r="H11" s="45"/>
      <c r="I11" s="45"/>
      <c r="J11" s="45"/>
      <c r="K11" s="45"/>
      <c r="L11" s="45"/>
      <c r="M11" s="342"/>
    </row>
    <row r="12" spans="1:13" s="40" customFormat="1" ht="12.7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947</v>
      </c>
      <c r="C14" s="311" t="s">
        <v>802</v>
      </c>
      <c r="D14" s="90">
        <v>11.471</v>
      </c>
      <c r="E14" s="91">
        <v>1.853</v>
      </c>
      <c r="F14" s="92">
        <v>0.314</v>
      </c>
      <c r="G14" s="28">
        <v>22.05</v>
      </c>
      <c r="H14" s="29" t="s">
        <v>797</v>
      </c>
      <c r="I14" s="29" t="s">
        <v>797</v>
      </c>
      <c r="J14" s="26" t="s">
        <v>797</v>
      </c>
      <c r="K14" s="27"/>
    </row>
    <row r="15" spans="1:13" ht="30.2" customHeight="1" x14ac:dyDescent="0.2">
      <c r="A15" s="10" t="s">
        <v>495</v>
      </c>
      <c r="B15" s="332" t="s">
        <v>797</v>
      </c>
      <c r="C15" s="311">
        <v>2</v>
      </c>
      <c r="D15" s="90">
        <v>11.471</v>
      </c>
      <c r="E15" s="91">
        <v>1.853</v>
      </c>
      <c r="F15" s="92">
        <v>0.314</v>
      </c>
      <c r="G15" s="29" t="s">
        <v>797</v>
      </c>
      <c r="H15" s="29" t="s">
        <v>797</v>
      </c>
      <c r="I15" s="29" t="s">
        <v>797</v>
      </c>
      <c r="J15" s="26" t="s">
        <v>797</v>
      </c>
      <c r="K15" s="27"/>
    </row>
    <row r="16" spans="1:13" ht="30.2" customHeight="1" x14ac:dyDescent="0.2">
      <c r="A16" s="10" t="s">
        <v>675</v>
      </c>
      <c r="B16" s="332" t="s">
        <v>948</v>
      </c>
      <c r="C16" s="311" t="s">
        <v>803</v>
      </c>
      <c r="D16" s="90">
        <v>12.211</v>
      </c>
      <c r="E16" s="91">
        <v>1.9730000000000001</v>
      </c>
      <c r="F16" s="92">
        <v>0.33400000000000002</v>
      </c>
      <c r="G16" s="28">
        <v>14.72</v>
      </c>
      <c r="H16" s="29" t="s">
        <v>797</v>
      </c>
      <c r="I16" s="29" t="s">
        <v>797</v>
      </c>
      <c r="J16" s="26" t="s">
        <v>797</v>
      </c>
      <c r="K16" s="27"/>
    </row>
    <row r="17" spans="1:11" ht="30.2" customHeight="1" x14ac:dyDescent="0.2">
      <c r="A17" s="10" t="s">
        <v>676</v>
      </c>
      <c r="B17" s="332" t="s">
        <v>949</v>
      </c>
      <c r="C17" s="311" t="s">
        <v>803</v>
      </c>
      <c r="D17" s="90">
        <v>12.211</v>
      </c>
      <c r="E17" s="91">
        <v>1.9730000000000001</v>
      </c>
      <c r="F17" s="92">
        <v>0.33400000000000002</v>
      </c>
      <c r="G17" s="28">
        <v>21.28</v>
      </c>
      <c r="H17" s="29" t="s">
        <v>797</v>
      </c>
      <c r="I17" s="29" t="s">
        <v>797</v>
      </c>
      <c r="J17" s="26" t="s">
        <v>797</v>
      </c>
      <c r="K17" s="27"/>
    </row>
    <row r="18" spans="1:11" ht="30.2" customHeight="1" x14ac:dyDescent="0.2">
      <c r="A18" s="10" t="s">
        <v>677</v>
      </c>
      <c r="B18" s="332" t="s">
        <v>950</v>
      </c>
      <c r="C18" s="311" t="s">
        <v>803</v>
      </c>
      <c r="D18" s="90">
        <v>12.211</v>
      </c>
      <c r="E18" s="91">
        <v>1.9730000000000001</v>
      </c>
      <c r="F18" s="92">
        <v>0.33400000000000002</v>
      </c>
      <c r="G18" s="28">
        <v>31.67</v>
      </c>
      <c r="H18" s="29" t="s">
        <v>797</v>
      </c>
      <c r="I18" s="29" t="s">
        <v>797</v>
      </c>
      <c r="J18" s="26" t="s">
        <v>797</v>
      </c>
      <c r="K18" s="27"/>
    </row>
    <row r="19" spans="1:11" ht="30.2" customHeight="1" x14ac:dyDescent="0.2">
      <c r="A19" s="10" t="s">
        <v>678</v>
      </c>
      <c r="B19" s="332" t="s">
        <v>951</v>
      </c>
      <c r="C19" s="311" t="s">
        <v>803</v>
      </c>
      <c r="D19" s="90">
        <v>12.211</v>
      </c>
      <c r="E19" s="91">
        <v>1.9730000000000001</v>
      </c>
      <c r="F19" s="92">
        <v>0.33400000000000002</v>
      </c>
      <c r="G19" s="28">
        <v>50.9</v>
      </c>
      <c r="H19" s="29" t="s">
        <v>797</v>
      </c>
      <c r="I19" s="29" t="s">
        <v>797</v>
      </c>
      <c r="J19" s="26" t="s">
        <v>797</v>
      </c>
      <c r="K19" s="27"/>
    </row>
    <row r="20" spans="1:11" ht="30.2" customHeight="1" x14ac:dyDescent="0.2">
      <c r="A20" s="10" t="s">
        <v>679</v>
      </c>
      <c r="B20" s="332" t="s">
        <v>952</v>
      </c>
      <c r="C20" s="311" t="s">
        <v>803</v>
      </c>
      <c r="D20" s="90">
        <v>12.211</v>
      </c>
      <c r="E20" s="91">
        <v>1.9730000000000001</v>
      </c>
      <c r="F20" s="92">
        <v>0.33400000000000002</v>
      </c>
      <c r="G20" s="28">
        <v>112.71</v>
      </c>
      <c r="H20" s="29" t="s">
        <v>797</v>
      </c>
      <c r="I20" s="29" t="s">
        <v>797</v>
      </c>
      <c r="J20" s="26" t="s">
        <v>797</v>
      </c>
      <c r="K20" s="27"/>
    </row>
    <row r="21" spans="1:11" ht="30.2" customHeight="1" x14ac:dyDescent="0.2">
      <c r="A21" s="10" t="s">
        <v>476</v>
      </c>
      <c r="B21" s="332" t="s">
        <v>797</v>
      </c>
      <c r="C21" s="311">
        <v>4</v>
      </c>
      <c r="D21" s="90">
        <v>12.211</v>
      </c>
      <c r="E21" s="91">
        <v>1.9730000000000001</v>
      </c>
      <c r="F21" s="92">
        <v>0.33400000000000002</v>
      </c>
      <c r="G21" s="29" t="s">
        <v>797</v>
      </c>
      <c r="H21" s="29" t="s">
        <v>797</v>
      </c>
      <c r="I21" s="29" t="s">
        <v>797</v>
      </c>
      <c r="J21" s="26" t="s">
        <v>797</v>
      </c>
      <c r="K21" s="27"/>
    </row>
    <row r="22" spans="1:11" ht="30.2" customHeight="1" x14ac:dyDescent="0.2">
      <c r="A22" s="10" t="s">
        <v>496</v>
      </c>
      <c r="B22" s="332" t="s">
        <v>953</v>
      </c>
      <c r="C22" s="311">
        <v>0</v>
      </c>
      <c r="D22" s="90">
        <v>8.5419999999999998</v>
      </c>
      <c r="E22" s="91">
        <v>1.3240000000000001</v>
      </c>
      <c r="F22" s="92">
        <v>0.22700000000000001</v>
      </c>
      <c r="G22" s="28">
        <v>14.96</v>
      </c>
      <c r="H22" s="28">
        <v>5.65</v>
      </c>
      <c r="I22" s="89">
        <v>5.65</v>
      </c>
      <c r="J22" s="25">
        <v>0.153</v>
      </c>
      <c r="K22" s="27"/>
    </row>
    <row r="23" spans="1:11" ht="30.2" customHeight="1" x14ac:dyDescent="0.2">
      <c r="A23" s="10" t="s">
        <v>497</v>
      </c>
      <c r="B23" s="332" t="s">
        <v>954</v>
      </c>
      <c r="C23" s="311">
        <v>0</v>
      </c>
      <c r="D23" s="90">
        <v>8.5419999999999998</v>
      </c>
      <c r="E23" s="91">
        <v>1.3240000000000001</v>
      </c>
      <c r="F23" s="92">
        <v>0.22700000000000001</v>
      </c>
      <c r="G23" s="28">
        <v>177.95</v>
      </c>
      <c r="H23" s="28">
        <v>5.65</v>
      </c>
      <c r="I23" s="89">
        <v>5.65</v>
      </c>
      <c r="J23" s="25">
        <v>0.153</v>
      </c>
      <c r="K23" s="27"/>
    </row>
    <row r="24" spans="1:11" ht="30.2" customHeight="1" x14ac:dyDescent="0.2">
      <c r="A24" s="10" t="s">
        <v>498</v>
      </c>
      <c r="B24" s="332" t="s">
        <v>955</v>
      </c>
      <c r="C24" s="311">
        <v>0</v>
      </c>
      <c r="D24" s="90">
        <v>8.5419999999999998</v>
      </c>
      <c r="E24" s="91">
        <v>1.3240000000000001</v>
      </c>
      <c r="F24" s="92">
        <v>0.22700000000000001</v>
      </c>
      <c r="G24" s="28">
        <v>364.33</v>
      </c>
      <c r="H24" s="28">
        <v>5.65</v>
      </c>
      <c r="I24" s="89">
        <v>5.65</v>
      </c>
      <c r="J24" s="25">
        <v>0.153</v>
      </c>
      <c r="K24" s="27"/>
    </row>
    <row r="25" spans="1:11" ht="30.2" customHeight="1" x14ac:dyDescent="0.2">
      <c r="A25" s="10" t="s">
        <v>499</v>
      </c>
      <c r="B25" s="332" t="s">
        <v>956</v>
      </c>
      <c r="C25" s="311">
        <v>0</v>
      </c>
      <c r="D25" s="90">
        <v>8.5419999999999998</v>
      </c>
      <c r="E25" s="91">
        <v>1.3240000000000001</v>
      </c>
      <c r="F25" s="92">
        <v>0.22700000000000001</v>
      </c>
      <c r="G25" s="28">
        <v>583.83000000000004</v>
      </c>
      <c r="H25" s="28">
        <v>5.65</v>
      </c>
      <c r="I25" s="89">
        <v>5.65</v>
      </c>
      <c r="J25" s="25">
        <v>0.153</v>
      </c>
      <c r="K25" s="27"/>
    </row>
    <row r="26" spans="1:11" ht="30.2" customHeight="1" x14ac:dyDescent="0.2">
      <c r="A26" s="10" t="s">
        <v>500</v>
      </c>
      <c r="B26" s="332" t="s">
        <v>957</v>
      </c>
      <c r="C26" s="311">
        <v>0</v>
      </c>
      <c r="D26" s="90">
        <v>8.5419999999999998</v>
      </c>
      <c r="E26" s="91">
        <v>1.3240000000000001</v>
      </c>
      <c r="F26" s="92">
        <v>0.22700000000000001</v>
      </c>
      <c r="G26" s="28">
        <v>1505.85</v>
      </c>
      <c r="H26" s="28">
        <v>5.65</v>
      </c>
      <c r="I26" s="89">
        <v>5.65</v>
      </c>
      <c r="J26" s="25">
        <v>0.153</v>
      </c>
      <c r="K26" s="27"/>
    </row>
    <row r="27" spans="1:11" ht="30.2" customHeight="1" x14ac:dyDescent="0.2">
      <c r="A27" s="10" t="s">
        <v>501</v>
      </c>
      <c r="B27" s="332" t="s">
        <v>958</v>
      </c>
      <c r="C27" s="311">
        <v>0</v>
      </c>
      <c r="D27" s="90">
        <v>4.8220000000000001</v>
      </c>
      <c r="E27" s="91">
        <v>0.65900000000000003</v>
      </c>
      <c r="F27" s="92">
        <v>0.11899999999999999</v>
      </c>
      <c r="G27" s="28">
        <v>14.96</v>
      </c>
      <c r="H27" s="28">
        <v>5.29</v>
      </c>
      <c r="I27" s="89">
        <v>5.29</v>
      </c>
      <c r="J27" s="25">
        <v>8.2000000000000003E-2</v>
      </c>
      <c r="K27" s="27"/>
    </row>
    <row r="28" spans="1:11" ht="30.2" customHeight="1" x14ac:dyDescent="0.2">
      <c r="A28" s="10" t="s">
        <v>502</v>
      </c>
      <c r="B28" s="332" t="s">
        <v>959</v>
      </c>
      <c r="C28" s="311">
        <v>0</v>
      </c>
      <c r="D28" s="90">
        <v>4.8220000000000001</v>
      </c>
      <c r="E28" s="91">
        <v>0.65900000000000003</v>
      </c>
      <c r="F28" s="92">
        <v>0.11899999999999999</v>
      </c>
      <c r="G28" s="28">
        <v>177.95</v>
      </c>
      <c r="H28" s="28">
        <v>5.29</v>
      </c>
      <c r="I28" s="89">
        <v>5.29</v>
      </c>
      <c r="J28" s="25">
        <v>8.2000000000000003E-2</v>
      </c>
      <c r="K28" s="27"/>
    </row>
    <row r="29" spans="1:11" ht="30.2" customHeight="1" x14ac:dyDescent="0.2">
      <c r="A29" s="10" t="s">
        <v>503</v>
      </c>
      <c r="B29" s="332" t="s">
        <v>960</v>
      </c>
      <c r="C29" s="311">
        <v>0</v>
      </c>
      <c r="D29" s="90">
        <v>4.8220000000000001</v>
      </c>
      <c r="E29" s="91">
        <v>0.65900000000000003</v>
      </c>
      <c r="F29" s="92">
        <v>0.11899999999999999</v>
      </c>
      <c r="G29" s="28">
        <v>364.33</v>
      </c>
      <c r="H29" s="28">
        <v>5.29</v>
      </c>
      <c r="I29" s="89">
        <v>5.29</v>
      </c>
      <c r="J29" s="25">
        <v>8.2000000000000003E-2</v>
      </c>
      <c r="K29" s="27"/>
    </row>
    <row r="30" spans="1:11" ht="30.2" customHeight="1" x14ac:dyDescent="0.2">
      <c r="A30" s="10" t="s">
        <v>504</v>
      </c>
      <c r="B30" s="332" t="s">
        <v>961</v>
      </c>
      <c r="C30" s="311">
        <v>0</v>
      </c>
      <c r="D30" s="90">
        <v>4.8220000000000001</v>
      </c>
      <c r="E30" s="91">
        <v>0.65900000000000003</v>
      </c>
      <c r="F30" s="92">
        <v>0.11899999999999999</v>
      </c>
      <c r="G30" s="28">
        <v>583.83000000000004</v>
      </c>
      <c r="H30" s="28">
        <v>5.29</v>
      </c>
      <c r="I30" s="89">
        <v>5.29</v>
      </c>
      <c r="J30" s="25">
        <v>8.2000000000000003E-2</v>
      </c>
      <c r="K30" s="27"/>
    </row>
    <row r="31" spans="1:11" ht="30.2" customHeight="1" x14ac:dyDescent="0.2">
      <c r="A31" s="10" t="s">
        <v>505</v>
      </c>
      <c r="B31" s="332" t="s">
        <v>962</v>
      </c>
      <c r="C31" s="311">
        <v>0</v>
      </c>
      <c r="D31" s="90">
        <v>4.8220000000000001</v>
      </c>
      <c r="E31" s="91">
        <v>0.65900000000000003</v>
      </c>
      <c r="F31" s="92">
        <v>0.11899999999999999</v>
      </c>
      <c r="G31" s="28">
        <v>1505.85</v>
      </c>
      <c r="H31" s="28">
        <v>5.29</v>
      </c>
      <c r="I31" s="89">
        <v>5.29</v>
      </c>
      <c r="J31" s="25">
        <v>8.2000000000000003E-2</v>
      </c>
      <c r="K31" s="27"/>
    </row>
    <row r="32" spans="1:11" ht="30.2" customHeight="1" x14ac:dyDescent="0.2">
      <c r="A32" s="10" t="s">
        <v>506</v>
      </c>
      <c r="B32" s="332" t="s">
        <v>963</v>
      </c>
      <c r="C32" s="311">
        <v>0</v>
      </c>
      <c r="D32" s="90">
        <v>3.5579999999999998</v>
      </c>
      <c r="E32" s="91">
        <v>0.432</v>
      </c>
      <c r="F32" s="92">
        <v>8.1000000000000003E-2</v>
      </c>
      <c r="G32" s="28">
        <v>310.63</v>
      </c>
      <c r="H32" s="28">
        <v>5.95</v>
      </c>
      <c r="I32" s="89">
        <v>5.95</v>
      </c>
      <c r="J32" s="25">
        <v>5.8999999999999997E-2</v>
      </c>
      <c r="K32" s="27"/>
    </row>
    <row r="33" spans="1:11" ht="30.2" customHeight="1" x14ac:dyDescent="0.2">
      <c r="A33" s="10" t="s">
        <v>507</v>
      </c>
      <c r="B33" s="332" t="s">
        <v>964</v>
      </c>
      <c r="C33" s="311">
        <v>0</v>
      </c>
      <c r="D33" s="90">
        <v>3.5579999999999998</v>
      </c>
      <c r="E33" s="91">
        <v>0.432</v>
      </c>
      <c r="F33" s="92">
        <v>8.1000000000000003E-2</v>
      </c>
      <c r="G33" s="28">
        <v>1688.73</v>
      </c>
      <c r="H33" s="28">
        <v>5.95</v>
      </c>
      <c r="I33" s="89">
        <v>5.95</v>
      </c>
      <c r="J33" s="25">
        <v>5.8999999999999997E-2</v>
      </c>
      <c r="K33" s="27"/>
    </row>
    <row r="34" spans="1:11" ht="30.2" customHeight="1" x14ac:dyDescent="0.2">
      <c r="A34" s="10" t="s">
        <v>508</v>
      </c>
      <c r="B34" s="332" t="s">
        <v>965</v>
      </c>
      <c r="C34" s="311">
        <v>0</v>
      </c>
      <c r="D34" s="90">
        <v>3.5579999999999998</v>
      </c>
      <c r="E34" s="91">
        <v>0.432</v>
      </c>
      <c r="F34" s="92">
        <v>8.1000000000000003E-2</v>
      </c>
      <c r="G34" s="28">
        <v>3689.89</v>
      </c>
      <c r="H34" s="28">
        <v>5.95</v>
      </c>
      <c r="I34" s="89">
        <v>5.95</v>
      </c>
      <c r="J34" s="25">
        <v>5.8999999999999997E-2</v>
      </c>
      <c r="K34" s="27"/>
    </row>
    <row r="35" spans="1:11" ht="30.2" customHeight="1" x14ac:dyDescent="0.2">
      <c r="A35" s="10" t="s">
        <v>509</v>
      </c>
      <c r="B35" s="332" t="s">
        <v>966</v>
      </c>
      <c r="C35" s="311">
        <v>0</v>
      </c>
      <c r="D35" s="90">
        <v>3.5579999999999998</v>
      </c>
      <c r="E35" s="91">
        <v>0.432</v>
      </c>
      <c r="F35" s="92">
        <v>8.1000000000000003E-2</v>
      </c>
      <c r="G35" s="28">
        <v>6682.78</v>
      </c>
      <c r="H35" s="28">
        <v>5.95</v>
      </c>
      <c r="I35" s="89">
        <v>5.95</v>
      </c>
      <c r="J35" s="25">
        <v>5.8999999999999997E-2</v>
      </c>
      <c r="K35" s="27"/>
    </row>
    <row r="36" spans="1:11" ht="30.2" customHeight="1" x14ac:dyDescent="0.2">
      <c r="A36" s="10" t="s">
        <v>510</v>
      </c>
      <c r="B36" s="332" t="s">
        <v>967</v>
      </c>
      <c r="C36" s="311">
        <v>0</v>
      </c>
      <c r="D36" s="90">
        <v>3.5579999999999998</v>
      </c>
      <c r="E36" s="91">
        <v>0.432</v>
      </c>
      <c r="F36" s="92">
        <v>8.1000000000000003E-2</v>
      </c>
      <c r="G36" s="28">
        <v>16390.259999999998</v>
      </c>
      <c r="H36" s="28">
        <v>5.95</v>
      </c>
      <c r="I36" s="89">
        <v>5.95</v>
      </c>
      <c r="J36" s="25">
        <v>5.8999999999999997E-2</v>
      </c>
      <c r="K36" s="27"/>
    </row>
    <row r="37" spans="1:11" ht="30.2" customHeight="1" x14ac:dyDescent="0.2">
      <c r="A37" s="10" t="s">
        <v>477</v>
      </c>
      <c r="B37" s="332" t="s">
        <v>968</v>
      </c>
      <c r="C37" s="311" t="s">
        <v>2066</v>
      </c>
      <c r="D37" s="93">
        <v>32.941000000000003</v>
      </c>
      <c r="E37" s="94">
        <v>2.258</v>
      </c>
      <c r="F37" s="92">
        <v>1.0409999999999999</v>
      </c>
      <c r="G37" s="29" t="s">
        <v>797</v>
      </c>
      <c r="H37" s="29" t="s">
        <v>797</v>
      </c>
      <c r="I37" s="29" t="s">
        <v>797</v>
      </c>
      <c r="J37" s="26" t="s">
        <v>797</v>
      </c>
      <c r="K37" s="27"/>
    </row>
    <row r="38" spans="1:11" ht="30.2" customHeight="1" x14ac:dyDescent="0.2">
      <c r="A38" s="10" t="s">
        <v>666</v>
      </c>
      <c r="B38" s="332" t="s">
        <v>969</v>
      </c>
      <c r="C38" s="311">
        <v>0</v>
      </c>
      <c r="D38" s="90">
        <v>-7.7190000000000003</v>
      </c>
      <c r="E38" s="91">
        <v>-1.2470000000000001</v>
      </c>
      <c r="F38" s="92">
        <v>-0.21099999999999999</v>
      </c>
      <c r="G38" s="28" t="s">
        <v>797</v>
      </c>
      <c r="H38" s="29" t="s">
        <v>797</v>
      </c>
      <c r="I38" s="29" t="s">
        <v>797</v>
      </c>
      <c r="J38" s="26" t="s">
        <v>797</v>
      </c>
      <c r="K38" s="27"/>
    </row>
    <row r="39" spans="1:11" ht="30.2" customHeight="1" x14ac:dyDescent="0.2">
      <c r="A39" s="10" t="s">
        <v>667</v>
      </c>
      <c r="B39" s="332" t="s">
        <v>970</v>
      </c>
      <c r="C39" s="311">
        <v>0</v>
      </c>
      <c r="D39" s="90">
        <v>-6.5</v>
      </c>
      <c r="E39" s="91">
        <v>-1.026</v>
      </c>
      <c r="F39" s="92">
        <v>-0.17499999999999999</v>
      </c>
      <c r="G39" s="28" t="s">
        <v>797</v>
      </c>
      <c r="H39" s="29" t="s">
        <v>797</v>
      </c>
      <c r="I39" s="29" t="s">
        <v>797</v>
      </c>
      <c r="J39" s="26" t="s">
        <v>797</v>
      </c>
      <c r="K39" s="27"/>
    </row>
    <row r="40" spans="1:11" ht="30.2" customHeight="1" x14ac:dyDescent="0.2">
      <c r="A40" s="10" t="s">
        <v>668</v>
      </c>
      <c r="B40" s="332" t="s">
        <v>971</v>
      </c>
      <c r="C40" s="311">
        <v>0</v>
      </c>
      <c r="D40" s="90">
        <v>-7.7190000000000003</v>
      </c>
      <c r="E40" s="91">
        <v>-1.2470000000000001</v>
      </c>
      <c r="F40" s="92">
        <v>-0.21099999999999999</v>
      </c>
      <c r="G40" s="28" t="s">
        <v>797</v>
      </c>
      <c r="H40" s="29" t="s">
        <v>797</v>
      </c>
      <c r="I40" s="29" t="s">
        <v>797</v>
      </c>
      <c r="J40" s="25">
        <v>0.122</v>
      </c>
      <c r="K40" s="27"/>
    </row>
    <row r="41" spans="1:11" ht="30.2" customHeight="1" x14ac:dyDescent="0.2">
      <c r="A41" s="10" t="s">
        <v>669</v>
      </c>
      <c r="B41" s="332" t="s">
        <v>797</v>
      </c>
      <c r="C41" s="311">
        <v>0</v>
      </c>
      <c r="D41" s="90">
        <v>-7.7190000000000003</v>
      </c>
      <c r="E41" s="91">
        <v>-1.2470000000000001</v>
      </c>
      <c r="F41" s="92">
        <v>-0.21099999999999999</v>
      </c>
      <c r="G41" s="28" t="s">
        <v>797</v>
      </c>
      <c r="H41" s="29" t="s">
        <v>797</v>
      </c>
      <c r="I41" s="29" t="s">
        <v>797</v>
      </c>
      <c r="J41" s="26" t="s">
        <v>797</v>
      </c>
      <c r="K41" s="27"/>
    </row>
    <row r="42" spans="1:11" ht="30.2" customHeight="1" x14ac:dyDescent="0.2">
      <c r="A42" s="10" t="s">
        <v>670</v>
      </c>
      <c r="B42" s="332" t="s">
        <v>797</v>
      </c>
      <c r="C42" s="311">
        <v>0</v>
      </c>
      <c r="D42" s="90">
        <v>-6.5</v>
      </c>
      <c r="E42" s="91">
        <v>-1.026</v>
      </c>
      <c r="F42" s="92">
        <v>-0.17499999999999999</v>
      </c>
      <c r="G42" s="28" t="s">
        <v>797</v>
      </c>
      <c r="H42" s="29" t="s">
        <v>797</v>
      </c>
      <c r="I42" s="29" t="s">
        <v>797</v>
      </c>
      <c r="J42" s="25">
        <v>0.114</v>
      </c>
      <c r="K42" s="27"/>
    </row>
    <row r="43" spans="1:11" ht="30.2" customHeight="1" x14ac:dyDescent="0.2">
      <c r="A43" s="10" t="s">
        <v>671</v>
      </c>
      <c r="B43" s="332" t="s">
        <v>797</v>
      </c>
      <c r="C43" s="311">
        <v>0</v>
      </c>
      <c r="D43" s="90">
        <v>-6.5</v>
      </c>
      <c r="E43" s="91">
        <v>-1.026</v>
      </c>
      <c r="F43" s="92">
        <v>-0.17499999999999999</v>
      </c>
      <c r="G43" s="28" t="s">
        <v>797</v>
      </c>
      <c r="H43" s="29" t="s">
        <v>797</v>
      </c>
      <c r="I43" s="29" t="s">
        <v>797</v>
      </c>
      <c r="J43" s="26" t="s">
        <v>797</v>
      </c>
      <c r="K43" s="27"/>
    </row>
    <row r="44" spans="1:11" ht="30.2" customHeight="1" x14ac:dyDescent="0.2">
      <c r="A44" s="10" t="s">
        <v>672</v>
      </c>
      <c r="B44" s="332" t="s">
        <v>972</v>
      </c>
      <c r="C44" s="311">
        <v>0</v>
      </c>
      <c r="D44" s="90">
        <v>-4.0590000000000002</v>
      </c>
      <c r="E44" s="91">
        <v>-0.55500000000000005</v>
      </c>
      <c r="F44" s="92">
        <v>-0.1</v>
      </c>
      <c r="G44" s="28">
        <v>69.3</v>
      </c>
      <c r="H44" s="29" t="s">
        <v>797</v>
      </c>
      <c r="I44" s="29" t="s">
        <v>797</v>
      </c>
      <c r="J44" s="25">
        <v>0.10100000000000001</v>
      </c>
      <c r="K44" s="27"/>
    </row>
    <row r="45" spans="1:11" ht="30.2" customHeight="1" x14ac:dyDescent="0.2">
      <c r="A45" s="10" t="s">
        <v>673</v>
      </c>
      <c r="B45" s="332" t="s">
        <v>797</v>
      </c>
      <c r="C45" s="311">
        <v>0</v>
      </c>
      <c r="D45" s="90">
        <v>-4.0590000000000002</v>
      </c>
      <c r="E45" s="91">
        <v>-0.55500000000000005</v>
      </c>
      <c r="F45" s="92">
        <v>-0.1</v>
      </c>
      <c r="G45" s="28">
        <v>69.3</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charges_F'; based on connection level, credits may therefore be lower than stated above.</v>
      </c>
    </row>
    <row r="47" spans="1:11" ht="27.75" customHeight="1" x14ac:dyDescent="0.2">
      <c r="A47" s="330" t="s">
        <v>422</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16B71733-C9BF-47F6-A3CA-B319A9915FD8}"/>
    <hyperlink ref="A47" location="'Annex 4 LDNO charges_F'!A1" display="Annex 4 LDNO charges_F" xr:uid="{C1C6D0BC-DAD9-4A4A-BE16-E1FFC462D26F}"/>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9"/>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84" t="str">
        <f>Overview!B4&amp;" - Effective from "&amp;TEXT(Overview!$D$4,"d mmmm yyyy")&amp;" - Final LV and HV charges in Electricity North West Area (GSP Group _G)"</f>
        <v>Leep Electricity Networks Limited - Effective from 1 April 2027 - Final LV and HV charges in Electricity North West Area (GSP Group _G)</v>
      </c>
      <c r="B2" s="384"/>
      <c r="C2" s="384"/>
      <c r="D2" s="384"/>
      <c r="E2" s="384"/>
      <c r="F2" s="384"/>
      <c r="G2" s="384"/>
      <c r="H2" s="384"/>
      <c r="I2" s="384"/>
      <c r="J2" s="384"/>
      <c r="K2" s="384"/>
    </row>
    <row r="3" spans="1:20" s="40" customFormat="1" ht="15" customHeight="1" x14ac:dyDescent="0.2">
      <c r="A3" s="45"/>
      <c r="B3" s="45"/>
      <c r="C3" s="45"/>
      <c r="D3" s="45"/>
      <c r="E3" s="45"/>
      <c r="F3" s="45"/>
      <c r="G3" s="45"/>
      <c r="H3" s="45"/>
      <c r="I3" s="45"/>
      <c r="J3" s="45"/>
      <c r="K3" s="45"/>
      <c r="L3" s="98"/>
      <c r="M3" s="342"/>
    </row>
    <row r="4" spans="1:20" ht="27" customHeight="1" x14ac:dyDescent="0.2">
      <c r="A4" s="384" t="s">
        <v>290</v>
      </c>
      <c r="B4" s="384"/>
      <c r="C4" s="384"/>
      <c r="D4" s="384"/>
      <c r="E4" s="384"/>
      <c r="F4" s="45"/>
      <c r="G4" s="384" t="s">
        <v>289</v>
      </c>
      <c r="H4" s="384"/>
      <c r="I4" s="384"/>
      <c r="J4" s="384"/>
      <c r="K4" s="384"/>
      <c r="N4" s="399"/>
      <c r="O4" s="400"/>
      <c r="P4" s="400"/>
      <c r="Q4" s="400"/>
      <c r="R4" s="400"/>
      <c r="S4" s="400"/>
      <c r="T4" s="401"/>
    </row>
    <row r="5" spans="1:20" ht="28.5" customHeight="1" x14ac:dyDescent="0.2">
      <c r="A5" s="39" t="s">
        <v>13</v>
      </c>
      <c r="B5" s="256" t="s">
        <v>281</v>
      </c>
      <c r="C5" s="379" t="s">
        <v>282</v>
      </c>
      <c r="D5" s="380"/>
      <c r="E5" s="41" t="s">
        <v>283</v>
      </c>
      <c r="F5" s="45"/>
      <c r="G5" s="381"/>
      <c r="H5" s="382"/>
      <c r="I5" s="43" t="s">
        <v>287</v>
      </c>
      <c r="J5" s="44" t="s">
        <v>288</v>
      </c>
      <c r="K5" s="41" t="s">
        <v>283</v>
      </c>
      <c r="L5" s="45"/>
      <c r="N5" s="400"/>
      <c r="O5" s="400"/>
      <c r="P5" s="400"/>
      <c r="Q5" s="400"/>
      <c r="R5" s="400"/>
      <c r="S5" s="400"/>
      <c r="T5" s="401"/>
    </row>
    <row r="6" spans="1:20" ht="65.25" customHeight="1" x14ac:dyDescent="0.2">
      <c r="A6" s="42" t="s">
        <v>794</v>
      </c>
      <c r="B6" s="13" t="s">
        <v>372</v>
      </c>
      <c r="C6" s="375" t="s">
        <v>2067</v>
      </c>
      <c r="D6" s="375"/>
      <c r="E6" s="13" t="s">
        <v>2068</v>
      </c>
      <c r="F6" s="45" t="s">
        <v>797</v>
      </c>
      <c r="G6" s="405" t="s">
        <v>800</v>
      </c>
      <c r="H6" s="406"/>
      <c r="I6" s="250" t="s">
        <v>797</v>
      </c>
      <c r="J6" s="248" t="s">
        <v>2069</v>
      </c>
      <c r="K6" s="95" t="s">
        <v>2068</v>
      </c>
      <c r="L6" s="45"/>
      <c r="N6" s="3"/>
    </row>
    <row r="7" spans="1:20" ht="65.25" customHeight="1" x14ac:dyDescent="0.2">
      <c r="A7" s="42" t="s">
        <v>798</v>
      </c>
      <c r="B7" s="250" t="s">
        <v>797</v>
      </c>
      <c r="C7" s="375" t="s">
        <v>372</v>
      </c>
      <c r="D7" s="375"/>
      <c r="E7" s="13" t="s">
        <v>2070</v>
      </c>
      <c r="F7" s="45" t="s">
        <v>797</v>
      </c>
      <c r="G7" s="405" t="s">
        <v>285</v>
      </c>
      <c r="H7" s="406"/>
      <c r="I7" s="13" t="s">
        <v>372</v>
      </c>
      <c r="J7" s="248" t="s">
        <v>2071</v>
      </c>
      <c r="K7" s="95" t="s">
        <v>2068</v>
      </c>
      <c r="L7" s="45"/>
      <c r="N7" s="3"/>
    </row>
    <row r="8" spans="1:20" ht="56.25" customHeight="1" x14ac:dyDescent="0.2">
      <c r="A8" s="257" t="s">
        <v>14</v>
      </c>
      <c r="B8" s="407" t="s">
        <v>15</v>
      </c>
      <c r="C8" s="408"/>
      <c r="D8" s="408"/>
      <c r="E8" s="409"/>
      <c r="F8" s="45" t="s">
        <v>797</v>
      </c>
      <c r="G8" s="405" t="s">
        <v>2030</v>
      </c>
      <c r="H8" s="406"/>
      <c r="I8" s="250" t="s">
        <v>797</v>
      </c>
      <c r="J8" s="13" t="s">
        <v>372</v>
      </c>
      <c r="K8" s="95" t="s">
        <v>2070</v>
      </c>
      <c r="L8" s="45"/>
      <c r="N8" s="3"/>
    </row>
    <row r="9" spans="1:20" s="40" customFormat="1" ht="32.25" customHeight="1" x14ac:dyDescent="0.2">
      <c r="A9" s="40" t="s">
        <v>797</v>
      </c>
      <c r="B9" s="40" t="s">
        <v>797</v>
      </c>
      <c r="C9" s="40" t="s">
        <v>797</v>
      </c>
      <c r="D9" s="40" t="s">
        <v>797</v>
      </c>
      <c r="E9" s="40" t="s">
        <v>797</v>
      </c>
      <c r="F9" s="45" t="s">
        <v>797</v>
      </c>
      <c r="G9" s="377" t="s">
        <v>14</v>
      </c>
      <c r="H9" s="378"/>
      <c r="I9" s="250" t="s">
        <v>15</v>
      </c>
      <c r="J9" s="250" t="s">
        <v>797</v>
      </c>
      <c r="K9" s="13" t="s">
        <v>797</v>
      </c>
      <c r="L9" s="45"/>
      <c r="M9" s="342"/>
      <c r="N9" s="30"/>
    </row>
    <row r="10" spans="1:20" s="40" customFormat="1" ht="36" customHeight="1" x14ac:dyDescent="0.2">
      <c r="A10" s="40" t="s">
        <v>797</v>
      </c>
      <c r="B10" s="40" t="s">
        <v>797</v>
      </c>
      <c r="C10" s="40" t="s">
        <v>797</v>
      </c>
      <c r="D10" s="40" t="s">
        <v>797</v>
      </c>
      <c r="E10" s="40" t="s">
        <v>797</v>
      </c>
      <c r="F10" s="45" t="s">
        <v>797</v>
      </c>
      <c r="G10" s="371" t="s">
        <v>797</v>
      </c>
      <c r="H10" s="371"/>
      <c r="I10" s="250" t="s">
        <v>797</v>
      </c>
      <c r="J10" s="13" t="s">
        <v>797</v>
      </c>
      <c r="K10" s="95" t="s">
        <v>797</v>
      </c>
      <c r="L10" s="45"/>
      <c r="M10" s="342"/>
      <c r="N10" s="30"/>
    </row>
    <row r="11" spans="1:20" s="40" customFormat="1" ht="27" customHeight="1" x14ac:dyDescent="0.2">
      <c r="A11" s="45" t="s">
        <v>359</v>
      </c>
      <c r="B11" s="45" t="s">
        <v>23</v>
      </c>
      <c r="C11" s="45" t="s">
        <v>24</v>
      </c>
      <c r="D11" s="45" t="s">
        <v>478</v>
      </c>
      <c r="E11" s="45" t="s">
        <v>479</v>
      </c>
      <c r="F11" s="45" t="s">
        <v>480</v>
      </c>
      <c r="G11" s="417" t="s">
        <v>25</v>
      </c>
      <c r="H11" s="417"/>
      <c r="I11" s="407" t="s">
        <v>360</v>
      </c>
      <c r="J11" s="408"/>
      <c r="K11" s="409"/>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973</v>
      </c>
      <c r="C14" s="311" t="s">
        <v>802</v>
      </c>
      <c r="D14" s="90">
        <v>20.135000000000002</v>
      </c>
      <c r="E14" s="91">
        <v>3.0640000000000001</v>
      </c>
      <c r="F14" s="92">
        <v>0.16900000000000001</v>
      </c>
      <c r="G14" s="28">
        <v>9.9499999999999993</v>
      </c>
      <c r="H14" s="29" t="s">
        <v>797</v>
      </c>
      <c r="I14" s="29" t="s">
        <v>797</v>
      </c>
      <c r="J14" s="26" t="s">
        <v>797</v>
      </c>
      <c r="K14" s="27"/>
    </row>
    <row r="15" spans="1:20" ht="30.2" customHeight="1" x14ac:dyDescent="0.2">
      <c r="A15" s="10" t="s">
        <v>495</v>
      </c>
      <c r="B15" s="332" t="s">
        <v>797</v>
      </c>
      <c r="C15" s="311" t="s">
        <v>2031</v>
      </c>
      <c r="D15" s="90">
        <v>20.135000000000002</v>
      </c>
      <c r="E15" s="91">
        <v>3.0640000000000001</v>
      </c>
      <c r="F15" s="92">
        <v>0.16900000000000001</v>
      </c>
      <c r="G15" s="29" t="s">
        <v>797</v>
      </c>
      <c r="H15" s="29" t="s">
        <v>797</v>
      </c>
      <c r="I15" s="29" t="s">
        <v>797</v>
      </c>
      <c r="J15" s="26" t="s">
        <v>797</v>
      </c>
      <c r="K15" s="27"/>
    </row>
    <row r="16" spans="1:20" ht="30.2" customHeight="1" x14ac:dyDescent="0.2">
      <c r="A16" s="10" t="s">
        <v>675</v>
      </c>
      <c r="B16" s="332" t="s">
        <v>974</v>
      </c>
      <c r="C16" s="311" t="s">
        <v>803</v>
      </c>
      <c r="D16" s="90">
        <v>18.542000000000002</v>
      </c>
      <c r="E16" s="91">
        <v>2.8210000000000002</v>
      </c>
      <c r="F16" s="92">
        <v>0.155</v>
      </c>
      <c r="G16" s="28">
        <v>8.6999999999999993</v>
      </c>
      <c r="H16" s="29" t="s">
        <v>797</v>
      </c>
      <c r="I16" s="29" t="s">
        <v>797</v>
      </c>
      <c r="J16" s="26" t="s">
        <v>797</v>
      </c>
      <c r="K16" s="27"/>
    </row>
    <row r="17" spans="1:14" ht="39.950000000000003" customHeight="1" x14ac:dyDescent="0.2">
      <c r="A17" s="10" t="s">
        <v>676</v>
      </c>
      <c r="B17" s="332" t="s">
        <v>975</v>
      </c>
      <c r="C17" s="311" t="s">
        <v>803</v>
      </c>
      <c r="D17" s="90">
        <v>18.542000000000002</v>
      </c>
      <c r="E17" s="91">
        <v>2.8210000000000002</v>
      </c>
      <c r="F17" s="92">
        <v>0.155</v>
      </c>
      <c r="G17" s="28">
        <v>10.84</v>
      </c>
      <c r="H17" s="29" t="s">
        <v>797</v>
      </c>
      <c r="I17" s="29" t="s">
        <v>797</v>
      </c>
      <c r="J17" s="26" t="s">
        <v>797</v>
      </c>
      <c r="K17" s="27"/>
    </row>
    <row r="18" spans="1:14" ht="39.950000000000003" customHeight="1" x14ac:dyDescent="0.2">
      <c r="A18" s="10" t="s">
        <v>677</v>
      </c>
      <c r="B18" s="332" t="s">
        <v>976</v>
      </c>
      <c r="C18" s="311" t="s">
        <v>803</v>
      </c>
      <c r="D18" s="90">
        <v>18.542000000000002</v>
      </c>
      <c r="E18" s="91">
        <v>2.8210000000000002</v>
      </c>
      <c r="F18" s="92">
        <v>0.155</v>
      </c>
      <c r="G18" s="28">
        <v>11.92</v>
      </c>
      <c r="H18" s="29" t="s">
        <v>797</v>
      </c>
      <c r="I18" s="29" t="s">
        <v>797</v>
      </c>
      <c r="J18" s="26" t="s">
        <v>797</v>
      </c>
      <c r="K18" s="27"/>
    </row>
    <row r="19" spans="1:14" ht="39.950000000000003" customHeight="1" x14ac:dyDescent="0.2">
      <c r="A19" s="10" t="s">
        <v>678</v>
      </c>
      <c r="B19" s="332" t="s">
        <v>977</v>
      </c>
      <c r="C19" s="311" t="s">
        <v>803</v>
      </c>
      <c r="D19" s="90">
        <v>18.542000000000002</v>
      </c>
      <c r="E19" s="91">
        <v>2.8210000000000002</v>
      </c>
      <c r="F19" s="92">
        <v>0.155</v>
      </c>
      <c r="G19" s="28">
        <v>15.28</v>
      </c>
      <c r="H19" s="29" t="s">
        <v>797</v>
      </c>
      <c r="I19" s="29" t="s">
        <v>797</v>
      </c>
      <c r="J19" s="26" t="s">
        <v>797</v>
      </c>
      <c r="K19" s="27"/>
    </row>
    <row r="20" spans="1:14" ht="39.950000000000003" customHeight="1" x14ac:dyDescent="0.2">
      <c r="A20" s="10" t="s">
        <v>679</v>
      </c>
      <c r="B20" s="332" t="s">
        <v>978</v>
      </c>
      <c r="C20" s="311" t="s">
        <v>803</v>
      </c>
      <c r="D20" s="90">
        <v>18.542000000000002</v>
      </c>
      <c r="E20" s="91">
        <v>2.8210000000000002</v>
      </c>
      <c r="F20" s="92">
        <v>0.155</v>
      </c>
      <c r="G20" s="28">
        <v>26.13</v>
      </c>
      <c r="H20" s="29" t="s">
        <v>797</v>
      </c>
      <c r="I20" s="29" t="s">
        <v>797</v>
      </c>
      <c r="J20" s="26" t="s">
        <v>797</v>
      </c>
      <c r="K20" s="27"/>
    </row>
    <row r="21" spans="1:14" ht="30.2" customHeight="1" x14ac:dyDescent="0.2">
      <c r="A21" s="10" t="s">
        <v>476</v>
      </c>
      <c r="B21" s="332" t="s">
        <v>797</v>
      </c>
      <c r="C21" s="311" t="s">
        <v>2032</v>
      </c>
      <c r="D21" s="90">
        <v>18.542000000000002</v>
      </c>
      <c r="E21" s="91">
        <v>2.8210000000000002</v>
      </c>
      <c r="F21" s="92">
        <v>0.155</v>
      </c>
      <c r="G21" s="29" t="s">
        <v>797</v>
      </c>
      <c r="H21" s="29" t="s">
        <v>797</v>
      </c>
      <c r="I21" s="29" t="s">
        <v>797</v>
      </c>
      <c r="J21" s="26" t="s">
        <v>797</v>
      </c>
      <c r="K21" s="27"/>
    </row>
    <row r="22" spans="1:14" ht="30.2" customHeight="1" x14ac:dyDescent="0.2">
      <c r="A22" s="10" t="s">
        <v>496</v>
      </c>
      <c r="B22" s="332" t="s">
        <v>979</v>
      </c>
      <c r="C22" s="311">
        <v>0</v>
      </c>
      <c r="D22" s="90">
        <v>12.275</v>
      </c>
      <c r="E22" s="91">
        <v>1.829</v>
      </c>
      <c r="F22" s="92">
        <v>9.9000000000000005E-2</v>
      </c>
      <c r="G22" s="28">
        <v>28.31</v>
      </c>
      <c r="H22" s="28">
        <v>8.65</v>
      </c>
      <c r="I22" s="89">
        <v>8.65</v>
      </c>
      <c r="J22" s="25">
        <v>0.24</v>
      </c>
      <c r="K22" s="27"/>
    </row>
    <row r="23" spans="1:14" ht="30.2" customHeight="1" x14ac:dyDescent="0.2">
      <c r="A23" s="10" t="s">
        <v>497</v>
      </c>
      <c r="B23" s="332" t="s">
        <v>980</v>
      </c>
      <c r="C23" s="311">
        <v>0</v>
      </c>
      <c r="D23" s="90">
        <v>12.275</v>
      </c>
      <c r="E23" s="91">
        <v>1.829</v>
      </c>
      <c r="F23" s="92">
        <v>9.9000000000000005E-2</v>
      </c>
      <c r="G23" s="28">
        <v>64.680000000000007</v>
      </c>
      <c r="H23" s="28">
        <v>8.65</v>
      </c>
      <c r="I23" s="89">
        <v>8.65</v>
      </c>
      <c r="J23" s="25">
        <v>0.24</v>
      </c>
      <c r="K23" s="27"/>
    </row>
    <row r="24" spans="1:14" ht="30.2" customHeight="1" x14ac:dyDescent="0.2">
      <c r="A24" s="10" t="s">
        <v>498</v>
      </c>
      <c r="B24" s="332" t="s">
        <v>981</v>
      </c>
      <c r="C24" s="311">
        <v>0</v>
      </c>
      <c r="D24" s="90">
        <v>12.275</v>
      </c>
      <c r="E24" s="91">
        <v>1.829</v>
      </c>
      <c r="F24" s="92">
        <v>9.9000000000000005E-2</v>
      </c>
      <c r="G24" s="28">
        <v>87.57</v>
      </c>
      <c r="H24" s="28">
        <v>8.65</v>
      </c>
      <c r="I24" s="89">
        <v>8.65</v>
      </c>
      <c r="J24" s="25">
        <v>0.24</v>
      </c>
      <c r="K24" s="27"/>
    </row>
    <row r="25" spans="1:14" ht="30.2" customHeight="1" x14ac:dyDescent="0.2">
      <c r="A25" s="10" t="s">
        <v>499</v>
      </c>
      <c r="B25" s="332" t="s">
        <v>982</v>
      </c>
      <c r="C25" s="311">
        <v>0</v>
      </c>
      <c r="D25" s="90">
        <v>12.275</v>
      </c>
      <c r="E25" s="91">
        <v>1.829</v>
      </c>
      <c r="F25" s="92">
        <v>9.9000000000000005E-2</v>
      </c>
      <c r="G25" s="28">
        <v>124.62</v>
      </c>
      <c r="H25" s="28">
        <v>8.65</v>
      </c>
      <c r="I25" s="89">
        <v>8.65</v>
      </c>
      <c r="J25" s="25">
        <v>0.24</v>
      </c>
      <c r="K25" s="27"/>
    </row>
    <row r="26" spans="1:14" ht="30.2" customHeight="1" x14ac:dyDescent="0.2">
      <c r="A26" s="10" t="s">
        <v>500</v>
      </c>
      <c r="B26" s="332" t="s">
        <v>983</v>
      </c>
      <c r="C26" s="311">
        <v>0</v>
      </c>
      <c r="D26" s="90">
        <v>12.275</v>
      </c>
      <c r="E26" s="91">
        <v>1.829</v>
      </c>
      <c r="F26" s="92">
        <v>9.9000000000000005E-2</v>
      </c>
      <c r="G26" s="28">
        <v>241.46</v>
      </c>
      <c r="H26" s="28">
        <v>8.65</v>
      </c>
      <c r="I26" s="89">
        <v>8.65</v>
      </c>
      <c r="J26" s="25">
        <v>0.24</v>
      </c>
      <c r="K26" s="27"/>
    </row>
    <row r="27" spans="1:14" ht="30.2" customHeight="1" x14ac:dyDescent="0.2">
      <c r="A27" s="10" t="s">
        <v>501</v>
      </c>
      <c r="B27" s="332" t="s">
        <v>984</v>
      </c>
      <c r="C27" s="311">
        <v>0</v>
      </c>
      <c r="D27" s="90">
        <v>8.9909999999999997</v>
      </c>
      <c r="E27" s="91">
        <v>1.306</v>
      </c>
      <c r="F27" s="92">
        <v>7.0000000000000007E-2</v>
      </c>
      <c r="G27" s="28">
        <v>91.37</v>
      </c>
      <c r="H27" s="28">
        <v>10.029999999999999</v>
      </c>
      <c r="I27" s="89">
        <v>10.029999999999999</v>
      </c>
      <c r="J27" s="25">
        <v>0.17100000000000001</v>
      </c>
      <c r="K27" s="27"/>
      <c r="N27" s="3"/>
    </row>
    <row r="28" spans="1:14" ht="30.2" customHeight="1" x14ac:dyDescent="0.2">
      <c r="A28" s="10" t="s">
        <v>502</v>
      </c>
      <c r="B28" s="332" t="s">
        <v>985</v>
      </c>
      <c r="C28" s="311">
        <v>0</v>
      </c>
      <c r="D28" s="90">
        <v>8.9909999999999997</v>
      </c>
      <c r="E28" s="91">
        <v>1.306</v>
      </c>
      <c r="F28" s="92">
        <v>7.0000000000000007E-2</v>
      </c>
      <c r="G28" s="28">
        <v>127.74</v>
      </c>
      <c r="H28" s="28">
        <v>10.029999999999999</v>
      </c>
      <c r="I28" s="89">
        <v>10.029999999999999</v>
      </c>
      <c r="J28" s="25">
        <v>0.17100000000000001</v>
      </c>
      <c r="K28" s="27"/>
      <c r="N28" s="3"/>
    </row>
    <row r="29" spans="1:14" ht="30.2" customHeight="1" x14ac:dyDescent="0.2">
      <c r="A29" s="10" t="s">
        <v>503</v>
      </c>
      <c r="B29" s="332" t="s">
        <v>986</v>
      </c>
      <c r="C29" s="311">
        <v>0</v>
      </c>
      <c r="D29" s="90">
        <v>8.9909999999999997</v>
      </c>
      <c r="E29" s="91">
        <v>1.306</v>
      </c>
      <c r="F29" s="92">
        <v>7.0000000000000007E-2</v>
      </c>
      <c r="G29" s="28">
        <v>150.62</v>
      </c>
      <c r="H29" s="28">
        <v>10.029999999999999</v>
      </c>
      <c r="I29" s="89">
        <v>10.029999999999999</v>
      </c>
      <c r="J29" s="25">
        <v>0.17100000000000001</v>
      </c>
      <c r="K29" s="27"/>
    </row>
    <row r="30" spans="1:14" ht="30.2" customHeight="1" x14ac:dyDescent="0.2">
      <c r="A30" s="10" t="s">
        <v>504</v>
      </c>
      <c r="B30" s="332" t="s">
        <v>987</v>
      </c>
      <c r="C30" s="311">
        <v>0</v>
      </c>
      <c r="D30" s="90">
        <v>8.9909999999999997</v>
      </c>
      <c r="E30" s="91">
        <v>1.306</v>
      </c>
      <c r="F30" s="92">
        <v>7.0000000000000007E-2</v>
      </c>
      <c r="G30" s="28">
        <v>187.68</v>
      </c>
      <c r="H30" s="28">
        <v>10.029999999999999</v>
      </c>
      <c r="I30" s="89">
        <v>10.029999999999999</v>
      </c>
      <c r="J30" s="25">
        <v>0.17100000000000001</v>
      </c>
      <c r="K30" s="27"/>
    </row>
    <row r="31" spans="1:14" ht="30.2" customHeight="1" x14ac:dyDescent="0.2">
      <c r="A31" s="10" t="s">
        <v>505</v>
      </c>
      <c r="B31" s="332" t="s">
        <v>988</v>
      </c>
      <c r="C31" s="311">
        <v>0</v>
      </c>
      <c r="D31" s="90">
        <v>8.9909999999999997</v>
      </c>
      <c r="E31" s="91">
        <v>1.306</v>
      </c>
      <c r="F31" s="92">
        <v>7.0000000000000007E-2</v>
      </c>
      <c r="G31" s="28">
        <v>304.52</v>
      </c>
      <c r="H31" s="28">
        <v>10.029999999999999</v>
      </c>
      <c r="I31" s="89">
        <v>10.029999999999999</v>
      </c>
      <c r="J31" s="25">
        <v>0.17100000000000001</v>
      </c>
      <c r="K31" s="27"/>
    </row>
    <row r="32" spans="1:14" ht="30.2" customHeight="1" x14ac:dyDescent="0.2">
      <c r="A32" s="10" t="s">
        <v>506</v>
      </c>
      <c r="B32" s="332" t="s">
        <v>989</v>
      </c>
      <c r="C32" s="311">
        <v>0</v>
      </c>
      <c r="D32" s="90">
        <v>5.9880000000000004</v>
      </c>
      <c r="E32" s="91">
        <v>0.83599999999999997</v>
      </c>
      <c r="F32" s="92">
        <v>4.2999999999999997E-2</v>
      </c>
      <c r="G32" s="28">
        <v>200.91</v>
      </c>
      <c r="H32" s="28">
        <v>9.9600000000000009</v>
      </c>
      <c r="I32" s="89">
        <v>9.9600000000000009</v>
      </c>
      <c r="J32" s="25">
        <v>0.10299999999999999</v>
      </c>
      <c r="K32" s="27"/>
    </row>
    <row r="33" spans="1:11" ht="30.2" customHeight="1" x14ac:dyDescent="0.2">
      <c r="A33" s="10" t="s">
        <v>507</v>
      </c>
      <c r="B33" s="332" t="s">
        <v>990</v>
      </c>
      <c r="C33" s="311">
        <v>0</v>
      </c>
      <c r="D33" s="90">
        <v>5.9880000000000004</v>
      </c>
      <c r="E33" s="91">
        <v>0.83599999999999997</v>
      </c>
      <c r="F33" s="92">
        <v>4.2999999999999997E-2</v>
      </c>
      <c r="G33" s="28">
        <v>420.04</v>
      </c>
      <c r="H33" s="28">
        <v>9.9600000000000009</v>
      </c>
      <c r="I33" s="89">
        <v>9.9600000000000009</v>
      </c>
      <c r="J33" s="25">
        <v>0.10299999999999999</v>
      </c>
      <c r="K33" s="27"/>
    </row>
    <row r="34" spans="1:11" ht="30.2" customHeight="1" x14ac:dyDescent="0.2">
      <c r="A34" s="10" t="s">
        <v>508</v>
      </c>
      <c r="B34" s="332" t="s">
        <v>991</v>
      </c>
      <c r="C34" s="311">
        <v>0</v>
      </c>
      <c r="D34" s="90">
        <v>5.9880000000000004</v>
      </c>
      <c r="E34" s="91">
        <v>0.83599999999999997</v>
      </c>
      <c r="F34" s="92">
        <v>4.2999999999999997E-2</v>
      </c>
      <c r="G34" s="28">
        <v>751.07</v>
      </c>
      <c r="H34" s="28">
        <v>9.9600000000000009</v>
      </c>
      <c r="I34" s="89">
        <v>9.9600000000000009</v>
      </c>
      <c r="J34" s="25">
        <v>0.10299999999999999</v>
      </c>
      <c r="K34" s="27"/>
    </row>
    <row r="35" spans="1:11" ht="30.2" customHeight="1" x14ac:dyDescent="0.2">
      <c r="A35" s="10" t="s">
        <v>509</v>
      </c>
      <c r="B35" s="332" t="s">
        <v>992</v>
      </c>
      <c r="C35" s="311">
        <v>0</v>
      </c>
      <c r="D35" s="90">
        <v>5.9880000000000004</v>
      </c>
      <c r="E35" s="91">
        <v>0.83599999999999997</v>
      </c>
      <c r="F35" s="92">
        <v>4.2999999999999997E-2</v>
      </c>
      <c r="G35" s="28">
        <v>1308.06</v>
      </c>
      <c r="H35" s="28">
        <v>9.9600000000000009</v>
      </c>
      <c r="I35" s="89">
        <v>9.9600000000000009</v>
      </c>
      <c r="J35" s="25">
        <v>0.10299999999999999</v>
      </c>
      <c r="K35" s="27"/>
    </row>
    <row r="36" spans="1:11" ht="30.2" customHeight="1" x14ac:dyDescent="0.2">
      <c r="A36" s="10" t="s">
        <v>510</v>
      </c>
      <c r="B36" s="332" t="s">
        <v>993</v>
      </c>
      <c r="C36" s="311">
        <v>0</v>
      </c>
      <c r="D36" s="90">
        <v>5.9880000000000004</v>
      </c>
      <c r="E36" s="91">
        <v>0.83599999999999997</v>
      </c>
      <c r="F36" s="92">
        <v>4.2999999999999997E-2</v>
      </c>
      <c r="G36" s="28">
        <v>2882.16</v>
      </c>
      <c r="H36" s="28">
        <v>9.9600000000000009</v>
      </c>
      <c r="I36" s="89">
        <v>9.9600000000000009</v>
      </c>
      <c r="J36" s="25">
        <v>0.10299999999999999</v>
      </c>
      <c r="K36" s="27"/>
    </row>
    <row r="37" spans="1:11" ht="30.2" customHeight="1" x14ac:dyDescent="0.2">
      <c r="A37" s="10" t="s">
        <v>477</v>
      </c>
      <c r="B37" s="332" t="s">
        <v>994</v>
      </c>
      <c r="C37" s="311" t="s">
        <v>804</v>
      </c>
      <c r="D37" s="93">
        <v>56.945</v>
      </c>
      <c r="E37" s="94">
        <v>5.9960000000000004</v>
      </c>
      <c r="F37" s="92">
        <v>3.8</v>
      </c>
      <c r="G37" s="29" t="s">
        <v>797</v>
      </c>
      <c r="H37" s="29" t="s">
        <v>797</v>
      </c>
      <c r="I37" s="29" t="s">
        <v>797</v>
      </c>
      <c r="J37" s="26" t="s">
        <v>797</v>
      </c>
      <c r="K37" s="27"/>
    </row>
    <row r="38" spans="1:11" ht="30.2" customHeight="1" x14ac:dyDescent="0.2">
      <c r="A38" s="10" t="s">
        <v>666</v>
      </c>
      <c r="B38" s="332" t="s">
        <v>995</v>
      </c>
      <c r="C38" s="311">
        <v>0</v>
      </c>
      <c r="D38" s="90">
        <v>-12.646000000000001</v>
      </c>
      <c r="E38" s="91">
        <v>-1.9239999999999999</v>
      </c>
      <c r="F38" s="92">
        <v>-0.106</v>
      </c>
      <c r="G38" s="28" t="s">
        <v>797</v>
      </c>
      <c r="H38" s="29" t="s">
        <v>797</v>
      </c>
      <c r="I38" s="29" t="s">
        <v>797</v>
      </c>
      <c r="J38" s="26" t="s">
        <v>797</v>
      </c>
      <c r="K38" s="27"/>
    </row>
    <row r="39" spans="1:11" ht="30.2" customHeight="1" x14ac:dyDescent="0.2">
      <c r="A39" s="10" t="s">
        <v>667</v>
      </c>
      <c r="B39" s="332" t="s">
        <v>996</v>
      </c>
      <c r="C39" s="311">
        <v>0</v>
      </c>
      <c r="D39" s="90">
        <v>-9.7940000000000005</v>
      </c>
      <c r="E39" s="91">
        <v>-1.466</v>
      </c>
      <c r="F39" s="92">
        <v>-0.08</v>
      </c>
      <c r="G39" s="28" t="s">
        <v>797</v>
      </c>
      <c r="H39" s="29" t="s">
        <v>797</v>
      </c>
      <c r="I39" s="29" t="s">
        <v>797</v>
      </c>
      <c r="J39" s="26" t="s">
        <v>797</v>
      </c>
      <c r="K39" s="27"/>
    </row>
    <row r="40" spans="1:11" ht="30.2" customHeight="1" x14ac:dyDescent="0.2">
      <c r="A40" s="10" t="s">
        <v>668</v>
      </c>
      <c r="B40" s="332" t="s">
        <v>997</v>
      </c>
      <c r="C40" s="311">
        <v>0</v>
      </c>
      <c r="D40" s="90">
        <v>-12.646000000000001</v>
      </c>
      <c r="E40" s="91">
        <v>-1.9239999999999999</v>
      </c>
      <c r="F40" s="92">
        <v>-0.106</v>
      </c>
      <c r="G40" s="28" t="s">
        <v>797</v>
      </c>
      <c r="H40" s="29" t="s">
        <v>797</v>
      </c>
      <c r="I40" s="29" t="s">
        <v>797</v>
      </c>
      <c r="J40" s="25">
        <v>0.22800000000000001</v>
      </c>
      <c r="K40" s="27"/>
    </row>
    <row r="41" spans="1:11" ht="30.2" customHeight="1" x14ac:dyDescent="0.2">
      <c r="A41" s="10" t="s">
        <v>669</v>
      </c>
      <c r="B41" s="332" t="s">
        <v>797</v>
      </c>
      <c r="C41" s="311">
        <v>0</v>
      </c>
      <c r="D41" s="90">
        <v>-12.646000000000001</v>
      </c>
      <c r="E41" s="91">
        <v>-1.9239999999999999</v>
      </c>
      <c r="F41" s="92">
        <v>-0.106</v>
      </c>
      <c r="G41" s="28" t="s">
        <v>797</v>
      </c>
      <c r="H41" s="29" t="s">
        <v>797</v>
      </c>
      <c r="I41" s="29" t="s">
        <v>797</v>
      </c>
      <c r="J41" s="26" t="s">
        <v>797</v>
      </c>
      <c r="K41" s="27"/>
    </row>
    <row r="42" spans="1:11" ht="30.2" customHeight="1" x14ac:dyDescent="0.2">
      <c r="A42" s="10" t="s">
        <v>670</v>
      </c>
      <c r="B42" s="332" t="s">
        <v>797</v>
      </c>
      <c r="C42" s="311">
        <v>0</v>
      </c>
      <c r="D42" s="90">
        <v>-9.7940000000000005</v>
      </c>
      <c r="E42" s="91">
        <v>-1.466</v>
      </c>
      <c r="F42" s="92">
        <v>-0.08</v>
      </c>
      <c r="G42" s="28" t="s">
        <v>797</v>
      </c>
      <c r="H42" s="29" t="s">
        <v>797</v>
      </c>
      <c r="I42" s="29" t="s">
        <v>797</v>
      </c>
      <c r="J42" s="25">
        <v>0.19800000000000001</v>
      </c>
      <c r="K42" s="27"/>
    </row>
    <row r="43" spans="1:11" ht="30.2" customHeight="1" x14ac:dyDescent="0.2">
      <c r="A43" s="10" t="s">
        <v>671</v>
      </c>
      <c r="B43" s="332" t="s">
        <v>797</v>
      </c>
      <c r="C43" s="311">
        <v>0</v>
      </c>
      <c r="D43" s="90">
        <v>-9.7940000000000005</v>
      </c>
      <c r="E43" s="91">
        <v>-1.466</v>
      </c>
      <c r="F43" s="92">
        <v>-0.08</v>
      </c>
      <c r="G43" s="28" t="s">
        <v>797</v>
      </c>
      <c r="H43" s="29" t="s">
        <v>797</v>
      </c>
      <c r="I43" s="29" t="s">
        <v>797</v>
      </c>
      <c r="J43" s="26" t="s">
        <v>797</v>
      </c>
      <c r="K43" s="27"/>
    </row>
    <row r="44" spans="1:11" ht="30.2" customHeight="1" x14ac:dyDescent="0.2">
      <c r="A44" s="10" t="s">
        <v>672</v>
      </c>
      <c r="B44" s="332" t="s">
        <v>998</v>
      </c>
      <c r="C44" s="311">
        <v>0</v>
      </c>
      <c r="D44" s="90">
        <v>-7.1959999999999997</v>
      </c>
      <c r="E44" s="91">
        <v>-1.046</v>
      </c>
      <c r="F44" s="92">
        <v>-5.6000000000000001E-2</v>
      </c>
      <c r="G44" s="28">
        <v>13.53</v>
      </c>
      <c r="H44" s="29" t="s">
        <v>797</v>
      </c>
      <c r="I44" s="29" t="s">
        <v>797</v>
      </c>
      <c r="J44" s="25">
        <v>0.16</v>
      </c>
      <c r="K44" s="27"/>
    </row>
    <row r="45" spans="1:11" ht="30.2" customHeight="1" x14ac:dyDescent="0.2">
      <c r="A45" s="10" t="s">
        <v>673</v>
      </c>
      <c r="B45" s="332" t="s">
        <v>797</v>
      </c>
      <c r="C45" s="311">
        <v>0</v>
      </c>
      <c r="D45" s="90">
        <v>-7.1959999999999997</v>
      </c>
      <c r="E45" s="91">
        <v>-1.046</v>
      </c>
      <c r="F45" s="92">
        <v>-5.6000000000000001E-2</v>
      </c>
      <c r="G45" s="28">
        <v>13.53</v>
      </c>
      <c r="H45" s="29" t="s">
        <v>797</v>
      </c>
      <c r="I45" s="29" t="s">
        <v>797</v>
      </c>
      <c r="J45" s="26" t="s">
        <v>797</v>
      </c>
      <c r="K45" s="27"/>
    </row>
    <row r="46" spans="1:11" ht="30.2" customHeight="1" x14ac:dyDescent="0.2">
      <c r="A46" s="10" t="s">
        <v>664</v>
      </c>
      <c r="B46" s="332" t="s">
        <v>999</v>
      </c>
      <c r="C46" s="311">
        <v>0</v>
      </c>
      <c r="D46" s="90">
        <v>5.806</v>
      </c>
      <c r="E46" s="91">
        <v>0.75</v>
      </c>
      <c r="F46" s="92">
        <v>3.5999999999999997E-2</v>
      </c>
      <c r="G46" s="28">
        <v>5922.4</v>
      </c>
      <c r="H46" s="28">
        <v>6.2</v>
      </c>
      <c r="I46" s="89">
        <v>9.33</v>
      </c>
      <c r="J46" s="25">
        <v>0.09</v>
      </c>
      <c r="K46" s="27"/>
    </row>
    <row r="47" spans="1:11" ht="30.2" customHeight="1" x14ac:dyDescent="0.2">
      <c r="A47" s="10" t="s">
        <v>665</v>
      </c>
      <c r="B47" s="332" t="s">
        <v>1000</v>
      </c>
      <c r="C47" s="311">
        <v>0</v>
      </c>
      <c r="D47" s="90">
        <v>5.806</v>
      </c>
      <c r="E47" s="91">
        <v>0.75</v>
      </c>
      <c r="F47" s="92">
        <v>3.5999999999999997E-2</v>
      </c>
      <c r="G47" s="28">
        <v>37403.72</v>
      </c>
      <c r="H47" s="28">
        <v>6.2</v>
      </c>
      <c r="I47" s="89">
        <v>9.33</v>
      </c>
      <c r="J47" s="25">
        <v>0.09</v>
      </c>
      <c r="K47" s="27"/>
    </row>
    <row r="48" spans="1:11" ht="27.75" customHeight="1" x14ac:dyDescent="0.2">
      <c r="A48"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charges_G'; based on connection level, credits may therefore be lower than stated above.</v>
      </c>
    </row>
    <row r="49" spans="1:1" ht="27.75" customHeight="1" x14ac:dyDescent="0.2">
      <c r="A49" s="330" t="s">
        <v>423</v>
      </c>
    </row>
  </sheetData>
  <mergeCells count="16">
    <mergeCell ref="N4:T5"/>
    <mergeCell ref="G10:H10"/>
    <mergeCell ref="G11:H11"/>
    <mergeCell ref="I11:K1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FA4C7EF3-66BC-4B0D-9630-A6F8406A3954}"/>
    <hyperlink ref="A49" location="'Annex 4 LDNO charges_G'!A1" display="Annex 4 LDNO charges_G" xr:uid="{647A745A-BD2A-40AA-B019-66B1920ACD9D}"/>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ED74-F961-451F-8F9A-E46F2C3E733A}">
  <sheetPr>
    <pageSetUpPr fitToPage="1"/>
  </sheetPr>
  <dimension ref="A1:T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84" t="str">
        <f>Overview!B4&amp;" - Effective from "&amp;TEXT(Overview!$D$4,"d mmmm yyyy")&amp;" - Final LV and HV charges in SSE SEPD Area (GSP Group _H)"</f>
        <v>Leep Electricity Networks Limited - Effective from 1 April 2027 - Final LV and HV charges in SSE SEPD Area (GSP Group _H)</v>
      </c>
      <c r="B2" s="384"/>
      <c r="C2" s="384"/>
      <c r="D2" s="384"/>
      <c r="E2" s="384"/>
      <c r="F2" s="384"/>
      <c r="G2" s="384"/>
      <c r="H2" s="384"/>
      <c r="I2" s="384"/>
      <c r="J2" s="384"/>
      <c r="K2" s="384"/>
    </row>
    <row r="3" spans="1:20" s="40" customFormat="1" ht="15" customHeight="1" x14ac:dyDescent="0.2">
      <c r="A3" s="45"/>
      <c r="B3" s="45"/>
      <c r="C3" s="45"/>
      <c r="D3" s="45"/>
      <c r="E3" s="45"/>
      <c r="F3" s="45"/>
      <c r="G3" s="45"/>
      <c r="H3" s="45"/>
      <c r="I3" s="45"/>
      <c r="J3" s="45"/>
      <c r="K3" s="45"/>
      <c r="L3" s="98"/>
      <c r="M3" s="342"/>
    </row>
    <row r="4" spans="1:20" ht="27" customHeight="1" x14ac:dyDescent="0.2">
      <c r="A4" s="384" t="s">
        <v>290</v>
      </c>
      <c r="B4" s="384"/>
      <c r="C4" s="384"/>
      <c r="D4" s="384"/>
      <c r="E4" s="384"/>
      <c r="F4" s="45"/>
      <c r="G4" s="384" t="s">
        <v>289</v>
      </c>
      <c r="H4" s="384"/>
      <c r="I4" s="384"/>
      <c r="J4" s="384"/>
      <c r="K4" s="384"/>
      <c r="N4" s="399"/>
      <c r="O4" s="400"/>
      <c r="P4" s="400"/>
      <c r="Q4" s="400"/>
      <c r="R4" s="400"/>
      <c r="S4" s="400"/>
      <c r="T4" s="401"/>
    </row>
    <row r="5" spans="1:20" ht="28.5" customHeight="1" x14ac:dyDescent="0.2">
      <c r="A5" s="39" t="s">
        <v>13</v>
      </c>
      <c r="B5" s="256" t="s">
        <v>281</v>
      </c>
      <c r="C5" s="379" t="s">
        <v>282</v>
      </c>
      <c r="D5" s="380"/>
      <c r="E5" s="41" t="s">
        <v>283</v>
      </c>
      <c r="F5" s="45"/>
      <c r="G5" s="381"/>
      <c r="H5" s="382"/>
      <c r="I5" s="43" t="s">
        <v>287</v>
      </c>
      <c r="J5" s="44" t="s">
        <v>288</v>
      </c>
      <c r="K5" s="41" t="s">
        <v>283</v>
      </c>
      <c r="L5" s="45"/>
      <c r="N5" s="400"/>
      <c r="O5" s="400"/>
      <c r="P5" s="400"/>
      <c r="Q5" s="400"/>
      <c r="R5" s="400"/>
      <c r="S5" s="400"/>
      <c r="T5" s="401"/>
    </row>
    <row r="6" spans="1:20" ht="65.25" customHeight="1" x14ac:dyDescent="0.2">
      <c r="A6" s="42" t="s">
        <v>794</v>
      </c>
      <c r="B6" s="13" t="s">
        <v>378</v>
      </c>
      <c r="C6" s="376" t="s">
        <v>797</v>
      </c>
      <c r="D6" s="376"/>
      <c r="E6" s="250" t="s">
        <v>797</v>
      </c>
      <c r="F6" s="45" t="s">
        <v>797</v>
      </c>
      <c r="G6" s="417" t="s">
        <v>800</v>
      </c>
      <c r="H6" s="417"/>
      <c r="I6" s="250" t="s">
        <v>797</v>
      </c>
      <c r="J6" s="248" t="s">
        <v>2075</v>
      </c>
      <c r="K6" s="250" t="s">
        <v>797</v>
      </c>
      <c r="L6" s="45"/>
      <c r="N6" s="3"/>
    </row>
    <row r="7" spans="1:20" ht="65.25" customHeight="1" x14ac:dyDescent="0.2">
      <c r="A7" s="42" t="s">
        <v>794</v>
      </c>
      <c r="B7" s="250" t="s">
        <v>797</v>
      </c>
      <c r="C7" s="391" t="s">
        <v>2076</v>
      </c>
      <c r="D7" s="393"/>
      <c r="E7" s="250" t="s">
        <v>797</v>
      </c>
      <c r="F7" s="45" t="s">
        <v>797</v>
      </c>
      <c r="G7" s="417" t="s">
        <v>285</v>
      </c>
      <c r="H7" s="417"/>
      <c r="I7" s="248" t="s">
        <v>378</v>
      </c>
      <c r="J7" s="248" t="s">
        <v>2076</v>
      </c>
      <c r="K7" s="250" t="s">
        <v>797</v>
      </c>
      <c r="L7" s="45"/>
      <c r="N7" s="3"/>
    </row>
    <row r="8" spans="1:20" ht="56.25" customHeight="1" x14ac:dyDescent="0.2">
      <c r="A8" s="42" t="s">
        <v>794</v>
      </c>
      <c r="B8" s="250" t="s">
        <v>797</v>
      </c>
      <c r="C8" s="376" t="s">
        <v>797</v>
      </c>
      <c r="D8" s="376"/>
      <c r="E8" s="95" t="s">
        <v>2077</v>
      </c>
      <c r="F8" s="45" t="s">
        <v>797</v>
      </c>
      <c r="G8" s="417" t="s">
        <v>2078</v>
      </c>
      <c r="H8" s="417"/>
      <c r="I8" s="250" t="s">
        <v>797</v>
      </c>
      <c r="J8" s="250" t="s">
        <v>797</v>
      </c>
      <c r="K8" s="95" t="s">
        <v>2077</v>
      </c>
      <c r="L8" s="45"/>
      <c r="N8" s="3"/>
    </row>
    <row r="9" spans="1:20" s="40" customFormat="1" ht="32.25" customHeight="1" x14ac:dyDescent="0.2">
      <c r="A9" s="272" t="s">
        <v>2030</v>
      </c>
      <c r="B9" s="250" t="s">
        <v>797</v>
      </c>
      <c r="C9" s="421" t="s">
        <v>2079</v>
      </c>
      <c r="D9" s="421"/>
      <c r="E9" s="95" t="s">
        <v>2080</v>
      </c>
      <c r="F9" s="45" t="s">
        <v>797</v>
      </c>
      <c r="G9" s="417" t="s">
        <v>2030</v>
      </c>
      <c r="H9" s="417"/>
      <c r="I9" s="250" t="s">
        <v>797</v>
      </c>
      <c r="J9" s="248" t="s">
        <v>2079</v>
      </c>
      <c r="K9" s="95" t="s">
        <v>2080</v>
      </c>
      <c r="L9" s="45"/>
      <c r="M9" s="342"/>
      <c r="N9" s="30"/>
    </row>
    <row r="10" spans="1:20" s="40" customFormat="1" ht="36" customHeight="1" x14ac:dyDescent="0.2">
      <c r="A10" s="257" t="s">
        <v>14</v>
      </c>
      <c r="B10" s="407" t="s">
        <v>15</v>
      </c>
      <c r="C10" s="408"/>
      <c r="D10" s="408"/>
      <c r="E10" s="409"/>
      <c r="F10" s="45" t="s">
        <v>797</v>
      </c>
      <c r="G10" s="417" t="s">
        <v>14</v>
      </c>
      <c r="H10" s="417"/>
      <c r="I10" s="422" t="s">
        <v>15</v>
      </c>
      <c r="J10" s="422"/>
      <c r="K10" s="422"/>
      <c r="L10" s="45"/>
      <c r="M10" s="342"/>
      <c r="N10" s="30"/>
    </row>
    <row r="11" spans="1:20" s="40" customFormat="1" ht="13.5" customHeight="1" x14ac:dyDescent="0.2">
      <c r="A11" s="45"/>
      <c r="B11" s="45"/>
      <c r="C11" s="45"/>
      <c r="D11" s="45"/>
      <c r="E11" s="45"/>
      <c r="F11" s="30"/>
      <c r="G11" s="30"/>
      <c r="H11" s="30"/>
      <c r="I11" s="30"/>
      <c r="J11" s="30"/>
      <c r="K11" s="30"/>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1001</v>
      </c>
      <c r="C14" s="311" t="s">
        <v>802</v>
      </c>
      <c r="D14" s="90">
        <v>12.981</v>
      </c>
      <c r="E14" s="91">
        <v>2.1240000000000001</v>
      </c>
      <c r="F14" s="92">
        <v>0.155</v>
      </c>
      <c r="G14" s="28">
        <v>11.04</v>
      </c>
      <c r="H14" s="29" t="s">
        <v>797</v>
      </c>
      <c r="I14" s="29" t="s">
        <v>797</v>
      </c>
      <c r="J14" s="26" t="s">
        <v>797</v>
      </c>
      <c r="K14" s="27"/>
    </row>
    <row r="15" spans="1:20" ht="30.2" customHeight="1" x14ac:dyDescent="0.2">
      <c r="A15" s="10" t="s">
        <v>495</v>
      </c>
      <c r="B15" s="332" t="s">
        <v>797</v>
      </c>
      <c r="C15" s="311">
        <v>2</v>
      </c>
      <c r="D15" s="90">
        <v>12.981</v>
      </c>
      <c r="E15" s="91">
        <v>2.1240000000000001</v>
      </c>
      <c r="F15" s="92">
        <v>0.155</v>
      </c>
      <c r="G15" s="29" t="s">
        <v>797</v>
      </c>
      <c r="H15" s="29" t="s">
        <v>797</v>
      </c>
      <c r="I15" s="29" t="s">
        <v>797</v>
      </c>
      <c r="J15" s="26" t="s">
        <v>797</v>
      </c>
      <c r="K15" s="27"/>
    </row>
    <row r="16" spans="1:20" ht="30.2" customHeight="1" x14ac:dyDescent="0.2">
      <c r="A16" s="10" t="s">
        <v>675</v>
      </c>
      <c r="B16" s="332" t="s">
        <v>1002</v>
      </c>
      <c r="C16" s="311" t="s">
        <v>803</v>
      </c>
      <c r="D16" s="90">
        <v>12.515000000000001</v>
      </c>
      <c r="E16" s="91">
        <v>2.048</v>
      </c>
      <c r="F16" s="92">
        <v>0.14899999999999999</v>
      </c>
      <c r="G16" s="28">
        <v>14.3</v>
      </c>
      <c r="H16" s="29" t="s">
        <v>797</v>
      </c>
      <c r="I16" s="29" t="s">
        <v>797</v>
      </c>
      <c r="J16" s="26" t="s">
        <v>797</v>
      </c>
      <c r="K16" s="27"/>
    </row>
    <row r="17" spans="1:11" ht="30.2" customHeight="1" x14ac:dyDescent="0.2">
      <c r="A17" s="10" t="s">
        <v>676</v>
      </c>
      <c r="B17" s="332" t="s">
        <v>1003</v>
      </c>
      <c r="C17" s="311" t="s">
        <v>803</v>
      </c>
      <c r="D17" s="90">
        <v>12.515000000000001</v>
      </c>
      <c r="E17" s="91">
        <v>2.048</v>
      </c>
      <c r="F17" s="92">
        <v>0.14899999999999999</v>
      </c>
      <c r="G17" s="28">
        <v>14.19</v>
      </c>
      <c r="H17" s="29" t="s">
        <v>797</v>
      </c>
      <c r="I17" s="29" t="s">
        <v>797</v>
      </c>
      <c r="J17" s="26" t="s">
        <v>797</v>
      </c>
      <c r="K17" s="27"/>
    </row>
    <row r="18" spans="1:11" ht="30.2" customHeight="1" x14ac:dyDescent="0.2">
      <c r="A18" s="10" t="s">
        <v>677</v>
      </c>
      <c r="B18" s="332" t="s">
        <v>1004</v>
      </c>
      <c r="C18" s="311" t="s">
        <v>803</v>
      </c>
      <c r="D18" s="90">
        <v>12.515000000000001</v>
      </c>
      <c r="E18" s="91">
        <v>2.048</v>
      </c>
      <c r="F18" s="92">
        <v>0.14899999999999999</v>
      </c>
      <c r="G18" s="28">
        <v>13.64</v>
      </c>
      <c r="H18" s="29" t="s">
        <v>797</v>
      </c>
      <c r="I18" s="29" t="s">
        <v>797</v>
      </c>
      <c r="J18" s="26" t="s">
        <v>797</v>
      </c>
      <c r="K18" s="27"/>
    </row>
    <row r="19" spans="1:11" ht="30.2" customHeight="1" x14ac:dyDescent="0.2">
      <c r="A19" s="10" t="s">
        <v>678</v>
      </c>
      <c r="B19" s="332" t="s">
        <v>1005</v>
      </c>
      <c r="C19" s="311" t="s">
        <v>803</v>
      </c>
      <c r="D19" s="90">
        <v>12.515000000000001</v>
      </c>
      <c r="E19" s="91">
        <v>2.048</v>
      </c>
      <c r="F19" s="92">
        <v>0.14899999999999999</v>
      </c>
      <c r="G19" s="28">
        <v>12.64</v>
      </c>
      <c r="H19" s="29" t="s">
        <v>797</v>
      </c>
      <c r="I19" s="29" t="s">
        <v>797</v>
      </c>
      <c r="J19" s="26" t="s">
        <v>797</v>
      </c>
      <c r="K19" s="27"/>
    </row>
    <row r="20" spans="1:11" ht="30.2" customHeight="1" x14ac:dyDescent="0.2">
      <c r="A20" s="10" t="s">
        <v>679</v>
      </c>
      <c r="B20" s="332" t="s">
        <v>1006</v>
      </c>
      <c r="C20" s="311" t="s">
        <v>803</v>
      </c>
      <c r="D20" s="90">
        <v>12.515000000000001</v>
      </c>
      <c r="E20" s="91">
        <v>2.048</v>
      </c>
      <c r="F20" s="92">
        <v>0.14899999999999999</v>
      </c>
      <c r="G20" s="28">
        <v>9.4499999999999993</v>
      </c>
      <c r="H20" s="29" t="s">
        <v>797</v>
      </c>
      <c r="I20" s="29" t="s">
        <v>797</v>
      </c>
      <c r="J20" s="26" t="s">
        <v>797</v>
      </c>
      <c r="K20" s="27"/>
    </row>
    <row r="21" spans="1:11" ht="30.2" customHeight="1" x14ac:dyDescent="0.2">
      <c r="A21" s="10" t="s">
        <v>476</v>
      </c>
      <c r="B21" s="332" t="s">
        <v>797</v>
      </c>
      <c r="C21" s="311">
        <v>4</v>
      </c>
      <c r="D21" s="90">
        <v>12.515000000000001</v>
      </c>
      <c r="E21" s="91">
        <v>2.048</v>
      </c>
      <c r="F21" s="92">
        <v>0.14899999999999999</v>
      </c>
      <c r="G21" s="29" t="s">
        <v>797</v>
      </c>
      <c r="H21" s="29" t="s">
        <v>797</v>
      </c>
      <c r="I21" s="29" t="s">
        <v>797</v>
      </c>
      <c r="J21" s="26" t="s">
        <v>797</v>
      </c>
      <c r="K21" s="27"/>
    </row>
    <row r="22" spans="1:11" ht="30.2" customHeight="1" x14ac:dyDescent="0.2">
      <c r="A22" s="10" t="s">
        <v>496</v>
      </c>
      <c r="B22" s="332" t="s">
        <v>1007</v>
      </c>
      <c r="C22" s="311">
        <v>0</v>
      </c>
      <c r="D22" s="90">
        <v>8.548</v>
      </c>
      <c r="E22" s="91">
        <v>1.2370000000000001</v>
      </c>
      <c r="F22" s="92">
        <v>8.5000000000000006E-2</v>
      </c>
      <c r="G22" s="28">
        <v>25.25</v>
      </c>
      <c r="H22" s="28">
        <v>11.27</v>
      </c>
      <c r="I22" s="89">
        <v>11.27</v>
      </c>
      <c r="J22" s="25">
        <v>0.26700000000000002</v>
      </c>
      <c r="K22" s="27"/>
    </row>
    <row r="23" spans="1:11" ht="30.2" customHeight="1" x14ac:dyDescent="0.2">
      <c r="A23" s="10" t="s">
        <v>497</v>
      </c>
      <c r="B23" s="332" t="s">
        <v>1008</v>
      </c>
      <c r="C23" s="311">
        <v>0</v>
      </c>
      <c r="D23" s="90">
        <v>8.548</v>
      </c>
      <c r="E23" s="91">
        <v>1.2370000000000001</v>
      </c>
      <c r="F23" s="92">
        <v>8.5000000000000006E-2</v>
      </c>
      <c r="G23" s="28">
        <v>16.93</v>
      </c>
      <c r="H23" s="28">
        <v>11.27</v>
      </c>
      <c r="I23" s="89">
        <v>11.27</v>
      </c>
      <c r="J23" s="25">
        <v>0.26700000000000002</v>
      </c>
      <c r="K23" s="27"/>
    </row>
    <row r="24" spans="1:11" ht="30.2" customHeight="1" x14ac:dyDescent="0.2">
      <c r="A24" s="10" t="s">
        <v>498</v>
      </c>
      <c r="B24" s="332" t="s">
        <v>1009</v>
      </c>
      <c r="C24" s="311">
        <v>0</v>
      </c>
      <c r="D24" s="90">
        <v>8.548</v>
      </c>
      <c r="E24" s="91">
        <v>1.2370000000000001</v>
      </c>
      <c r="F24" s="92">
        <v>8.5000000000000006E-2</v>
      </c>
      <c r="G24" s="28">
        <v>11.63</v>
      </c>
      <c r="H24" s="28">
        <v>11.27</v>
      </c>
      <c r="I24" s="89">
        <v>11.27</v>
      </c>
      <c r="J24" s="25">
        <v>0.26700000000000002</v>
      </c>
      <c r="K24" s="27"/>
    </row>
    <row r="25" spans="1:11" ht="30.2" customHeight="1" x14ac:dyDescent="0.2">
      <c r="A25" s="10" t="s">
        <v>499</v>
      </c>
      <c r="B25" s="332" t="s">
        <v>1010</v>
      </c>
      <c r="C25" s="311">
        <v>0</v>
      </c>
      <c r="D25" s="90">
        <v>8.548</v>
      </c>
      <c r="E25" s="91">
        <v>1.2370000000000001</v>
      </c>
      <c r="F25" s="92">
        <v>8.5000000000000006E-2</v>
      </c>
      <c r="G25" s="28">
        <v>1.38</v>
      </c>
      <c r="H25" s="28">
        <v>11.27</v>
      </c>
      <c r="I25" s="89">
        <v>11.27</v>
      </c>
      <c r="J25" s="25">
        <v>0.26700000000000002</v>
      </c>
      <c r="K25" s="27"/>
    </row>
    <row r="26" spans="1:11" ht="30.2" customHeight="1" x14ac:dyDescent="0.2">
      <c r="A26" s="10" t="s">
        <v>500</v>
      </c>
      <c r="B26" s="332" t="s">
        <v>1011</v>
      </c>
      <c r="C26" s="311">
        <v>0</v>
      </c>
      <c r="D26" s="90">
        <v>8.5310000000000006</v>
      </c>
      <c r="E26" s="91">
        <v>1.2190000000000001</v>
      </c>
      <c r="F26" s="92">
        <v>6.8000000000000005E-2</v>
      </c>
      <c r="G26" s="28" t="s">
        <v>797</v>
      </c>
      <c r="H26" s="28">
        <v>11.27</v>
      </c>
      <c r="I26" s="89">
        <v>11.27</v>
      </c>
      <c r="J26" s="25">
        <v>0.26700000000000002</v>
      </c>
      <c r="K26" s="27"/>
    </row>
    <row r="27" spans="1:11" ht="30.2" customHeight="1" x14ac:dyDescent="0.2">
      <c r="A27" s="10" t="s">
        <v>501</v>
      </c>
      <c r="B27" s="332" t="s">
        <v>1012</v>
      </c>
      <c r="C27" s="311">
        <v>0</v>
      </c>
      <c r="D27" s="90">
        <v>4.7350000000000003</v>
      </c>
      <c r="E27" s="91">
        <v>0.52100000000000002</v>
      </c>
      <c r="F27" s="92">
        <v>0.03</v>
      </c>
      <c r="G27" s="28">
        <v>58.02</v>
      </c>
      <c r="H27" s="28">
        <v>11.43</v>
      </c>
      <c r="I27" s="89">
        <v>11.43</v>
      </c>
      <c r="J27" s="25">
        <v>0.14399999999999999</v>
      </c>
      <c r="K27" s="27"/>
    </row>
    <row r="28" spans="1:11" ht="30.2" customHeight="1" x14ac:dyDescent="0.2">
      <c r="A28" s="10" t="s">
        <v>502</v>
      </c>
      <c r="B28" s="332" t="s">
        <v>1013</v>
      </c>
      <c r="C28" s="311">
        <v>0</v>
      </c>
      <c r="D28" s="90">
        <v>4.7350000000000003</v>
      </c>
      <c r="E28" s="91">
        <v>0.52100000000000002</v>
      </c>
      <c r="F28" s="92">
        <v>0.03</v>
      </c>
      <c r="G28" s="28">
        <v>49.69</v>
      </c>
      <c r="H28" s="28">
        <v>11.43</v>
      </c>
      <c r="I28" s="89">
        <v>11.43</v>
      </c>
      <c r="J28" s="25">
        <v>0.14399999999999999</v>
      </c>
      <c r="K28" s="27"/>
    </row>
    <row r="29" spans="1:11" ht="30.2" customHeight="1" x14ac:dyDescent="0.2">
      <c r="A29" s="10" t="s">
        <v>503</v>
      </c>
      <c r="B29" s="332" t="s">
        <v>1014</v>
      </c>
      <c r="C29" s="311">
        <v>0</v>
      </c>
      <c r="D29" s="90">
        <v>4.7350000000000003</v>
      </c>
      <c r="E29" s="91">
        <v>0.52100000000000002</v>
      </c>
      <c r="F29" s="92">
        <v>0.03</v>
      </c>
      <c r="G29" s="28">
        <v>44.4</v>
      </c>
      <c r="H29" s="28">
        <v>11.43</v>
      </c>
      <c r="I29" s="89">
        <v>11.43</v>
      </c>
      <c r="J29" s="25">
        <v>0.14399999999999999</v>
      </c>
      <c r="K29" s="27"/>
    </row>
    <row r="30" spans="1:11" ht="30.2" customHeight="1" x14ac:dyDescent="0.2">
      <c r="A30" s="10" t="s">
        <v>504</v>
      </c>
      <c r="B30" s="332" t="s">
        <v>1015</v>
      </c>
      <c r="C30" s="311">
        <v>0</v>
      </c>
      <c r="D30" s="90">
        <v>4.7350000000000003</v>
      </c>
      <c r="E30" s="91">
        <v>0.52100000000000002</v>
      </c>
      <c r="F30" s="92">
        <v>0.03</v>
      </c>
      <c r="G30" s="28">
        <v>34.15</v>
      </c>
      <c r="H30" s="28">
        <v>11.43</v>
      </c>
      <c r="I30" s="89">
        <v>11.43</v>
      </c>
      <c r="J30" s="25">
        <v>0.14399999999999999</v>
      </c>
      <c r="K30" s="27"/>
    </row>
    <row r="31" spans="1:11" ht="30.2" customHeight="1" x14ac:dyDescent="0.2">
      <c r="A31" s="10" t="s">
        <v>505</v>
      </c>
      <c r="B31" s="332" t="s">
        <v>1016</v>
      </c>
      <c r="C31" s="311">
        <v>0</v>
      </c>
      <c r="D31" s="90">
        <v>4.7169999999999996</v>
      </c>
      <c r="E31" s="91">
        <v>0.503</v>
      </c>
      <c r="F31" s="92">
        <v>1.2999999999999999E-2</v>
      </c>
      <c r="G31" s="28">
        <v>32.770000000000003</v>
      </c>
      <c r="H31" s="28">
        <v>11.43</v>
      </c>
      <c r="I31" s="89">
        <v>11.43</v>
      </c>
      <c r="J31" s="25">
        <v>0.14399999999999999</v>
      </c>
      <c r="K31" s="27"/>
    </row>
    <row r="32" spans="1:11" ht="30.2" customHeight="1" x14ac:dyDescent="0.2">
      <c r="A32" s="10" t="s">
        <v>506</v>
      </c>
      <c r="B32" s="332" t="s">
        <v>1017</v>
      </c>
      <c r="C32" s="311">
        <v>0</v>
      </c>
      <c r="D32" s="90">
        <v>3.7429999999999999</v>
      </c>
      <c r="E32" s="91">
        <v>0.38200000000000001</v>
      </c>
      <c r="F32" s="92">
        <v>2.1000000000000001E-2</v>
      </c>
      <c r="G32" s="28">
        <v>241.7</v>
      </c>
      <c r="H32" s="28">
        <v>11.04</v>
      </c>
      <c r="I32" s="89">
        <v>11.04</v>
      </c>
      <c r="J32" s="25">
        <v>0.104</v>
      </c>
      <c r="K32" s="27"/>
    </row>
    <row r="33" spans="1:11" ht="30.2" customHeight="1" x14ac:dyDescent="0.2">
      <c r="A33" s="10" t="s">
        <v>507</v>
      </c>
      <c r="B33" s="332" t="s">
        <v>1018</v>
      </c>
      <c r="C33" s="311">
        <v>0</v>
      </c>
      <c r="D33" s="90">
        <v>3.7429999999999999</v>
      </c>
      <c r="E33" s="91">
        <v>0.38200000000000001</v>
      </c>
      <c r="F33" s="92">
        <v>2.1000000000000001E-2</v>
      </c>
      <c r="G33" s="28">
        <v>188.01</v>
      </c>
      <c r="H33" s="28">
        <v>11.04</v>
      </c>
      <c r="I33" s="89">
        <v>11.04</v>
      </c>
      <c r="J33" s="25">
        <v>0.104</v>
      </c>
      <c r="K33" s="27"/>
    </row>
    <row r="34" spans="1:11" ht="30.2" customHeight="1" x14ac:dyDescent="0.2">
      <c r="A34" s="10" t="s">
        <v>508</v>
      </c>
      <c r="B34" s="332" t="s">
        <v>1019</v>
      </c>
      <c r="C34" s="311">
        <v>0</v>
      </c>
      <c r="D34" s="90">
        <v>3.7429999999999999</v>
      </c>
      <c r="E34" s="91">
        <v>0.38200000000000001</v>
      </c>
      <c r="F34" s="92">
        <v>2.1000000000000001E-2</v>
      </c>
      <c r="G34" s="28">
        <v>108.64</v>
      </c>
      <c r="H34" s="28">
        <v>11.04</v>
      </c>
      <c r="I34" s="89">
        <v>11.04</v>
      </c>
      <c r="J34" s="25">
        <v>0.104</v>
      </c>
      <c r="K34" s="27"/>
    </row>
    <row r="35" spans="1:11" ht="30.2" customHeight="1" x14ac:dyDescent="0.2">
      <c r="A35" s="10" t="s">
        <v>509</v>
      </c>
      <c r="B35" s="332" t="s">
        <v>1020</v>
      </c>
      <c r="C35" s="311">
        <v>0</v>
      </c>
      <c r="D35" s="90">
        <v>3.742</v>
      </c>
      <c r="E35" s="91">
        <v>0.38</v>
      </c>
      <c r="F35" s="92">
        <v>0.02</v>
      </c>
      <c r="G35" s="28" t="s">
        <v>797</v>
      </c>
      <c r="H35" s="28">
        <v>11.04</v>
      </c>
      <c r="I35" s="89">
        <v>11.04</v>
      </c>
      <c r="J35" s="25">
        <v>0.104</v>
      </c>
      <c r="K35" s="27"/>
    </row>
    <row r="36" spans="1:11" ht="30.2" customHeight="1" x14ac:dyDescent="0.2">
      <c r="A36" s="10" t="s">
        <v>510</v>
      </c>
      <c r="B36" s="332" t="s">
        <v>1021</v>
      </c>
      <c r="C36" s="311">
        <v>0</v>
      </c>
      <c r="D36" s="90">
        <v>3.7250000000000001</v>
      </c>
      <c r="E36" s="91">
        <v>0.36299999999999999</v>
      </c>
      <c r="F36" s="92">
        <v>3.0000000000000001E-3</v>
      </c>
      <c r="G36" s="28" t="s">
        <v>797</v>
      </c>
      <c r="H36" s="28">
        <v>11.04</v>
      </c>
      <c r="I36" s="89">
        <v>11.04</v>
      </c>
      <c r="J36" s="25">
        <v>0.104</v>
      </c>
      <c r="K36" s="27"/>
    </row>
    <row r="37" spans="1:11" ht="30.2" customHeight="1" x14ac:dyDescent="0.2">
      <c r="A37" s="10" t="s">
        <v>477</v>
      </c>
      <c r="B37" s="332" t="s">
        <v>1022</v>
      </c>
      <c r="C37" s="311" t="s">
        <v>804</v>
      </c>
      <c r="D37" s="93">
        <v>34.305999999999997</v>
      </c>
      <c r="E37" s="94">
        <v>5.367</v>
      </c>
      <c r="F37" s="92">
        <v>3.2029999999999998</v>
      </c>
      <c r="G37" s="29" t="s">
        <v>797</v>
      </c>
      <c r="H37" s="29" t="s">
        <v>797</v>
      </c>
      <c r="I37" s="29" t="s">
        <v>797</v>
      </c>
      <c r="J37" s="26" t="s">
        <v>797</v>
      </c>
      <c r="K37" s="27"/>
    </row>
    <row r="38" spans="1:11" ht="30.2" customHeight="1" x14ac:dyDescent="0.2">
      <c r="A38" s="10" t="s">
        <v>666</v>
      </c>
      <c r="B38" s="332" t="s">
        <v>1023</v>
      </c>
      <c r="C38" s="311" t="s">
        <v>2074</v>
      </c>
      <c r="D38" s="90">
        <v>-8.1379999999999999</v>
      </c>
      <c r="E38" s="91">
        <v>-1.3320000000000001</v>
      </c>
      <c r="F38" s="92">
        <v>-9.7000000000000003E-2</v>
      </c>
      <c r="G38" s="28" t="s">
        <v>797</v>
      </c>
      <c r="H38" s="29" t="s">
        <v>797</v>
      </c>
      <c r="I38" s="29" t="s">
        <v>797</v>
      </c>
      <c r="J38" s="26" t="s">
        <v>797</v>
      </c>
      <c r="K38" s="27"/>
    </row>
    <row r="39" spans="1:11" ht="30.2" customHeight="1" x14ac:dyDescent="0.2">
      <c r="A39" s="10" t="s">
        <v>667</v>
      </c>
      <c r="B39" s="332" t="s">
        <v>1024</v>
      </c>
      <c r="C39" s="311" t="s">
        <v>2074</v>
      </c>
      <c r="D39" s="90">
        <v>-6.9139999999999997</v>
      </c>
      <c r="E39" s="91">
        <v>-1.0429999999999999</v>
      </c>
      <c r="F39" s="92">
        <v>-7.2999999999999995E-2</v>
      </c>
      <c r="G39" s="28" t="s">
        <v>797</v>
      </c>
      <c r="H39" s="29" t="s">
        <v>797</v>
      </c>
      <c r="I39" s="29" t="s">
        <v>797</v>
      </c>
      <c r="J39" s="26" t="s">
        <v>797</v>
      </c>
      <c r="K39" s="27"/>
    </row>
    <row r="40" spans="1:11" ht="30.2" customHeight="1" x14ac:dyDescent="0.2">
      <c r="A40" s="10" t="s">
        <v>668</v>
      </c>
      <c r="B40" s="332" t="s">
        <v>1025</v>
      </c>
      <c r="C40" s="311">
        <v>0</v>
      </c>
      <c r="D40" s="90">
        <v>-8.1379999999999999</v>
      </c>
      <c r="E40" s="91">
        <v>-1.3320000000000001</v>
      </c>
      <c r="F40" s="92">
        <v>-9.7000000000000003E-2</v>
      </c>
      <c r="G40" s="28" t="s">
        <v>797</v>
      </c>
      <c r="H40" s="29" t="s">
        <v>797</v>
      </c>
      <c r="I40" s="29" t="s">
        <v>797</v>
      </c>
      <c r="J40" s="25">
        <v>0.33100000000000002</v>
      </c>
      <c r="K40" s="27"/>
    </row>
    <row r="41" spans="1:11" ht="30.2" customHeight="1" x14ac:dyDescent="0.2">
      <c r="A41" s="10" t="s">
        <v>669</v>
      </c>
      <c r="B41" s="332" t="s">
        <v>797</v>
      </c>
      <c r="C41" s="311">
        <v>0</v>
      </c>
      <c r="D41" s="90">
        <v>-8.1379999999999999</v>
      </c>
      <c r="E41" s="91">
        <v>-1.3320000000000001</v>
      </c>
      <c r="F41" s="92">
        <v>-9.7000000000000003E-2</v>
      </c>
      <c r="G41" s="28" t="s">
        <v>797</v>
      </c>
      <c r="H41" s="29" t="s">
        <v>797</v>
      </c>
      <c r="I41" s="29" t="s">
        <v>797</v>
      </c>
      <c r="J41" s="26" t="s">
        <v>797</v>
      </c>
      <c r="K41" s="27"/>
    </row>
    <row r="42" spans="1:11" ht="30.2" customHeight="1" x14ac:dyDescent="0.2">
      <c r="A42" s="10" t="s">
        <v>670</v>
      </c>
      <c r="B42" s="332" t="s">
        <v>797</v>
      </c>
      <c r="C42" s="311">
        <v>0</v>
      </c>
      <c r="D42" s="90">
        <v>-6.9139999999999997</v>
      </c>
      <c r="E42" s="91">
        <v>-1.0429999999999999</v>
      </c>
      <c r="F42" s="92">
        <v>-7.2999999999999995E-2</v>
      </c>
      <c r="G42" s="28" t="s">
        <v>797</v>
      </c>
      <c r="H42" s="29" t="s">
        <v>797</v>
      </c>
      <c r="I42" s="29" t="s">
        <v>797</v>
      </c>
      <c r="J42" s="25">
        <v>0.24399999999999999</v>
      </c>
      <c r="K42" s="27"/>
    </row>
    <row r="43" spans="1:11" ht="30.2" customHeight="1" x14ac:dyDescent="0.2">
      <c r="A43" s="10" t="s">
        <v>671</v>
      </c>
      <c r="B43" s="332" t="s">
        <v>797</v>
      </c>
      <c r="C43" s="311">
        <v>0</v>
      </c>
      <c r="D43" s="90">
        <v>-6.9139999999999997</v>
      </c>
      <c r="E43" s="91">
        <v>-1.0429999999999999</v>
      </c>
      <c r="F43" s="92">
        <v>-7.2999999999999995E-2</v>
      </c>
      <c r="G43" s="28" t="s">
        <v>797</v>
      </c>
      <c r="H43" s="29" t="s">
        <v>797</v>
      </c>
      <c r="I43" s="29" t="s">
        <v>797</v>
      </c>
      <c r="J43" s="26" t="s">
        <v>797</v>
      </c>
      <c r="K43" s="27"/>
    </row>
    <row r="44" spans="1:11" ht="30.2" customHeight="1" x14ac:dyDescent="0.2">
      <c r="A44" s="10" t="s">
        <v>672</v>
      </c>
      <c r="B44" s="332" t="s">
        <v>1026</v>
      </c>
      <c r="C44" s="311">
        <v>0</v>
      </c>
      <c r="D44" s="90">
        <v>-4.7930000000000001</v>
      </c>
      <c r="E44" s="91">
        <v>-0.52700000000000002</v>
      </c>
      <c r="F44" s="92">
        <v>-3.1E-2</v>
      </c>
      <c r="G44" s="28">
        <v>466.72</v>
      </c>
      <c r="H44" s="29" t="s">
        <v>797</v>
      </c>
      <c r="I44" s="29" t="s">
        <v>797</v>
      </c>
      <c r="J44" s="25">
        <v>0.2</v>
      </c>
      <c r="K44" s="27"/>
    </row>
    <row r="45" spans="1:11" ht="30.2" customHeight="1" x14ac:dyDescent="0.2">
      <c r="A45" s="10" t="s">
        <v>673</v>
      </c>
      <c r="B45" s="332" t="s">
        <v>797</v>
      </c>
      <c r="C45" s="311">
        <v>0</v>
      </c>
      <c r="D45" s="90">
        <v>-4.7930000000000001</v>
      </c>
      <c r="E45" s="91">
        <v>-0.52700000000000002</v>
      </c>
      <c r="F45" s="92">
        <v>-3.1E-2</v>
      </c>
      <c r="G45" s="28">
        <v>466.72</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charges_H'; based on connection level, credits may therefore be lower than stated above.</v>
      </c>
    </row>
    <row r="47" spans="1:11" ht="27.75" customHeight="1" x14ac:dyDescent="0.2">
      <c r="A47" s="330" t="s">
        <v>424</v>
      </c>
    </row>
  </sheetData>
  <mergeCells count="17">
    <mergeCell ref="A2:K2"/>
    <mergeCell ref="A4:E4"/>
    <mergeCell ref="G4:K4"/>
    <mergeCell ref="C5:D5"/>
    <mergeCell ref="G5:H5"/>
    <mergeCell ref="N4:T5"/>
    <mergeCell ref="C8:D8"/>
    <mergeCell ref="C9:D9"/>
    <mergeCell ref="B10:E10"/>
    <mergeCell ref="I10:K10"/>
    <mergeCell ref="C7:D7"/>
    <mergeCell ref="G7:H7"/>
    <mergeCell ref="G8:H8"/>
    <mergeCell ref="G9:H9"/>
    <mergeCell ref="G10:H10"/>
    <mergeCell ref="C6:D6"/>
    <mergeCell ref="G6:H6"/>
  </mergeCells>
  <hyperlinks>
    <hyperlink ref="A1" location="Overview!A1" display="Back to Overview" xr:uid="{EF1D67B0-91C2-4B78-A52D-98537696F4EE}"/>
    <hyperlink ref="A47" location="'Annex 4 LDNO charges_H'!A1" display="Annex 4 LDNO charges_H" xr:uid="{3168D78D-3C3E-478F-B98A-CA0EC19EFE4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86</vt:i4>
      </vt:variant>
    </vt:vector>
  </HeadingPairs>
  <TitlesOfParts>
    <vt:vector size="151" baseType="lpstr">
      <vt:lpstr>Overview</vt:lpstr>
      <vt:lpstr>Annex 1 LV and HV charges_A</vt:lpstr>
      <vt:lpstr>Annex 1 LV and HV charges_B</vt:lpstr>
      <vt:lpstr>Annex 1 LV and HV charges_C</vt:lpstr>
      <vt:lpstr>Annex 1 LV and HV charges_D</vt:lpstr>
      <vt:lpstr>Annex 1 LV and HV charges_E</vt:lpstr>
      <vt:lpstr>Annex 1 LV and HV charges_F</vt:lpstr>
      <vt:lpstr>Annex 1 LV and HV charges_G</vt:lpstr>
      <vt:lpstr>Annex 1 LV and HV charges_H</vt:lpstr>
      <vt:lpstr>Annex 1 LV and HV charges_J</vt:lpstr>
      <vt:lpstr>Annex 1 LV and HV charges_K</vt:lpstr>
      <vt:lpstr>Annex 1 LV and HV charges_L</vt:lpstr>
      <vt:lpstr>Annex 1 LV and HV charges_M</vt:lpstr>
      <vt:lpstr>Annex 1 LV and HV charges_N</vt:lpstr>
      <vt:lpstr>Annex 1 LV and HV charges_P</vt:lpstr>
      <vt:lpstr>Annex 2 EHV charges</vt:lpstr>
      <vt:lpstr>Annex 3 Preserved charges</vt:lpstr>
      <vt:lpstr>Annex 4 LDNO charges_A</vt:lpstr>
      <vt:lpstr>Annex 4 LDNO charges_B</vt:lpstr>
      <vt:lpstr>Annex 4 LDNO charges_C</vt:lpstr>
      <vt:lpstr>Annex 4 LDNO charges_D</vt:lpstr>
      <vt:lpstr>Annex 4 LDNO charges_E</vt:lpstr>
      <vt:lpstr>Annex 4 LDNO charges_F</vt:lpstr>
      <vt:lpstr>Annex 4 LDNO charges_G</vt:lpstr>
      <vt:lpstr>Annex 4 LDNO charges_H</vt:lpstr>
      <vt:lpstr>Annex 4 LDNO charges_J</vt:lpstr>
      <vt:lpstr>Annex 4 LDNO charges_K</vt:lpstr>
      <vt:lpstr>Annex 4 LDNO charges_L</vt:lpstr>
      <vt:lpstr>Annex 4 LDNO charges_M</vt:lpstr>
      <vt:lpstr>Annex 4 LDNO charges_N</vt:lpstr>
      <vt:lpstr>Annex 4 LDNO charges_P</vt:lpstr>
      <vt:lpstr>Annex 5 LLFs_A</vt:lpstr>
      <vt:lpstr>Annex 5 LLFs_B</vt:lpstr>
      <vt:lpstr>Annex 5 LLFs_C</vt:lpstr>
      <vt:lpstr>Annex 5 LLFs_D</vt:lpstr>
      <vt:lpstr>Annex 5 LLFs_E</vt:lpstr>
      <vt:lpstr>Annex 5 LLFs_F</vt:lpstr>
      <vt:lpstr>Annex 5 LLFs_G</vt:lpstr>
      <vt:lpstr>Annex 5 LLFs_H</vt:lpstr>
      <vt:lpstr>Annex 5 LLFs_J</vt:lpstr>
      <vt:lpstr>Annex 5 LLFs_K</vt:lpstr>
      <vt:lpstr>Annex 5 LLFs_L</vt:lpstr>
      <vt:lpstr>Annex 5 LLFs_M</vt:lpstr>
      <vt:lpstr>Annex 5 LLFs_N</vt:lpstr>
      <vt:lpstr>Annex 5 LLFs_P</vt:lpstr>
      <vt:lpstr>Annex 6 New or Amended EHV</vt:lpstr>
      <vt:lpstr>Annex 7 Pass-Through Costs_A</vt:lpstr>
      <vt:lpstr>Annex 7 Pass-Through Costs_B</vt:lpstr>
      <vt:lpstr>Annex 7 Pass-Through Costs_C</vt:lpstr>
      <vt:lpstr>Annex 7 Pass-Through Costs_D</vt:lpstr>
      <vt:lpstr>Annex 7 Pass-Through Costs_E</vt:lpstr>
      <vt:lpstr>Annex 7 Pass-Through Costs_F</vt:lpstr>
      <vt:lpstr>Annex 7 Pass-Through Costs_G</vt:lpstr>
      <vt:lpstr>Annex 7 Pass-Through Costs_H</vt:lpstr>
      <vt:lpstr>Annex 7 Pass-Through Costs_J</vt:lpstr>
      <vt:lpstr>Annex 7 Pass-Through Costs_K</vt:lpstr>
      <vt:lpstr>Annex 7 Pass-Through Costs_L</vt:lpstr>
      <vt:lpstr>Annex 7 Pass-Through Costs_M</vt:lpstr>
      <vt:lpstr>Annex 7 Pass-Through Costs_N</vt:lpstr>
      <vt:lpstr>Annex 7 Pass-Through Costs_P</vt:lpstr>
      <vt:lpstr>Nodal prices</vt:lpstr>
      <vt:lpstr>SSC TPR unit rate lookup</vt:lpstr>
      <vt:lpstr>Residual Charging Bands</vt:lpstr>
      <vt:lpstr>TNUoS Mapping</vt:lpstr>
      <vt:lpstr>Charge Calculator</vt:lpstr>
      <vt:lpstr>'Annex 1 LV and HV charges_A'!Print_Area</vt:lpstr>
      <vt:lpstr>'Annex 1 LV and HV charges_B'!Print_Area</vt:lpstr>
      <vt:lpstr>'Annex 1 LV and HV charges_C'!Print_Area</vt:lpstr>
      <vt:lpstr>'Annex 1 LV and HV charges_D'!Print_Area</vt:lpstr>
      <vt:lpstr>'Annex 1 LV and HV charges_E'!Print_Area</vt:lpstr>
      <vt:lpstr>'Annex 1 LV and HV charges_F'!Print_Area</vt:lpstr>
      <vt:lpstr>'Annex 1 LV and HV charges_G'!Print_Area</vt:lpstr>
      <vt:lpstr>'Annex 1 LV and HV charges_H'!Print_Area</vt:lpstr>
      <vt:lpstr>'Annex 1 LV and HV charges_J'!Print_Area</vt:lpstr>
      <vt:lpstr>'Annex 1 LV and HV charges_K'!Print_Area</vt:lpstr>
      <vt:lpstr>'Annex 1 LV and HV charges_L'!Print_Area</vt:lpstr>
      <vt:lpstr>'Annex 1 LV and HV charges_M'!Print_Area</vt:lpstr>
      <vt:lpstr>'Annex 1 LV and HV charges_N'!Print_Area</vt:lpstr>
      <vt:lpstr>'Annex 1 LV and HV charges_P'!Print_Area</vt:lpstr>
      <vt:lpstr>'Annex 2 EHV charges'!Print_Area</vt:lpstr>
      <vt:lpstr>'Annex 3 Preserved charges'!Print_Area</vt:lpstr>
      <vt:lpstr>'Annex 4 LDNO charges_A'!Print_Area</vt:lpstr>
      <vt:lpstr>'Annex 4 LDNO charges_B'!Print_Area</vt:lpstr>
      <vt:lpstr>'Annex 4 LDNO charges_C'!Print_Area</vt:lpstr>
      <vt:lpstr>'Annex 4 LDNO charges_D'!Print_Area</vt:lpstr>
      <vt:lpstr>'Annex 4 LDNO charges_E'!Print_Area</vt:lpstr>
      <vt:lpstr>'Annex 4 LDNO charges_F'!Print_Area</vt:lpstr>
      <vt:lpstr>'Annex 4 LDNO charges_G'!Print_Area</vt:lpstr>
      <vt:lpstr>'Annex 4 LDNO charges_H'!Print_Area</vt:lpstr>
      <vt:lpstr>'Annex 4 LDNO charges_J'!Print_Area</vt:lpstr>
      <vt:lpstr>'Annex 4 LDNO charges_K'!Print_Area</vt:lpstr>
      <vt:lpstr>'Annex 4 LDNO charges_L'!Print_Area</vt:lpstr>
      <vt:lpstr>'Annex 4 LDNO charges_M'!Print_Area</vt:lpstr>
      <vt:lpstr>'Annex 4 LDNO charges_N'!Print_Area</vt:lpstr>
      <vt:lpstr>'Annex 4 LDNO charges_P'!Print_Area</vt:lpstr>
      <vt:lpstr>'Annex 5 LLFs_A'!Print_Area</vt:lpstr>
      <vt:lpstr>'Annex 5 LLFs_B'!Print_Area</vt:lpstr>
      <vt:lpstr>'Annex 5 LLFs_C'!Print_Area</vt:lpstr>
      <vt:lpstr>'Annex 5 LLFs_D'!Print_Area</vt:lpstr>
      <vt:lpstr>'Annex 5 LLFs_E'!Print_Area</vt:lpstr>
      <vt:lpstr>'Annex 5 LLFs_F'!Print_Area</vt:lpstr>
      <vt:lpstr>'Annex 5 LLFs_G'!Print_Area</vt:lpstr>
      <vt:lpstr>'Annex 5 LLFs_H'!Print_Area</vt:lpstr>
      <vt:lpstr>'Annex 5 LLFs_J'!Print_Area</vt:lpstr>
      <vt:lpstr>'Annex 5 LLFs_K'!Print_Area</vt:lpstr>
      <vt:lpstr>'Annex 5 LLFs_L'!Print_Area</vt:lpstr>
      <vt:lpstr>'Annex 5 LLFs_M'!Print_Area</vt:lpstr>
      <vt:lpstr>'Annex 5 LLFs_N'!Print_Area</vt:lpstr>
      <vt:lpstr>'Annex 5 LLFs_P'!Print_Area</vt:lpstr>
      <vt:lpstr>'Annex 6 New or Amended EHV'!Print_Area</vt:lpstr>
      <vt:lpstr>'Nodal prices'!Print_Area</vt:lpstr>
      <vt:lpstr>'Annex 1 LV and HV charges_A'!Print_Titles</vt:lpstr>
      <vt:lpstr>'Annex 1 LV and HV charges_B'!Print_Titles</vt:lpstr>
      <vt:lpstr>'Annex 1 LV and HV charges_C'!Print_Titles</vt:lpstr>
      <vt:lpstr>'Annex 1 LV and HV charges_D'!Print_Titles</vt:lpstr>
      <vt:lpstr>'Annex 1 LV and HV charges_E'!Print_Titles</vt:lpstr>
      <vt:lpstr>'Annex 1 LV and HV charges_F'!Print_Titles</vt:lpstr>
      <vt:lpstr>'Annex 1 LV and HV charges_G'!Print_Titles</vt:lpstr>
      <vt:lpstr>'Annex 1 LV and HV charges_H'!Print_Titles</vt:lpstr>
      <vt:lpstr>'Annex 1 LV and HV charges_J'!Print_Titles</vt:lpstr>
      <vt:lpstr>'Annex 1 LV and HV charges_K'!Print_Titles</vt:lpstr>
      <vt:lpstr>'Annex 1 LV and HV charges_L'!Print_Titles</vt:lpstr>
      <vt:lpstr>'Annex 1 LV and HV charges_M'!Print_Titles</vt:lpstr>
      <vt:lpstr>'Annex 1 LV and HV charges_N'!Print_Titles</vt:lpstr>
      <vt:lpstr>'Annex 1 LV and HV charges_P'!Print_Titles</vt:lpstr>
      <vt:lpstr>'Annex 4 LDNO charges_A'!Print_Titles</vt:lpstr>
      <vt:lpstr>'Annex 4 LDNO charges_B'!Print_Titles</vt:lpstr>
      <vt:lpstr>'Annex 4 LDNO charges_C'!Print_Titles</vt:lpstr>
      <vt:lpstr>'Annex 4 LDNO charges_D'!Print_Titles</vt:lpstr>
      <vt:lpstr>'Annex 4 LDNO charges_E'!Print_Titles</vt:lpstr>
      <vt:lpstr>'Annex 4 LDNO charges_F'!Print_Titles</vt:lpstr>
      <vt:lpstr>'Annex 4 LDNO charges_G'!Print_Titles</vt:lpstr>
      <vt:lpstr>'Annex 4 LDNO charges_H'!Print_Titles</vt:lpstr>
      <vt:lpstr>'Annex 4 LDNO charges_J'!Print_Titles</vt:lpstr>
      <vt:lpstr>'Annex 4 LDNO charges_K'!Print_Titles</vt:lpstr>
      <vt:lpstr>'Annex 4 LDNO charges_L'!Print_Titles</vt:lpstr>
      <vt:lpstr>'Annex 4 LDNO charges_M'!Print_Titles</vt:lpstr>
      <vt:lpstr>'Annex 4 LDNO charges_N'!Print_Titles</vt:lpstr>
      <vt:lpstr>'Annex 4 LDNO charges_P'!Print_Titles</vt:lpstr>
      <vt:lpstr>'Annex 5 LLFs_E'!Print_Titles</vt:lpstr>
      <vt:lpstr>'Annex 5 LLFs_F'!Print_Titles</vt:lpstr>
      <vt:lpstr>'Annex 5 LLFs_H'!Print_Titles</vt:lpstr>
      <vt:lpstr>'Annex 5 LLFs_J'!Print_Titles</vt:lpstr>
      <vt:lpstr>'Annex 5 LLFs_K'!Print_Titles</vt:lpstr>
      <vt:lpstr>'Annex 5 LLFs_L'!Print_Titles</vt:lpstr>
      <vt:lpstr>'Annex 5 LLFs_M'!Print_Titles</vt:lpstr>
      <vt:lpstr>'Annex 5 LLFs_N'!Print_Titles</vt:lpstr>
      <vt:lpstr>'Annex 5 LLFs_P'!Print_Titles</vt:lpstr>
      <vt:lpstr>'Annex 6 New or Amended EHV'!Print_Titles</vt:lpstr>
      <vt:lpstr>'Nodal prices'!Print_Titles</vt:lpstr>
      <vt:lpstr>'SSC TPR unit rate lookup'!Print_Titles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UK Power Networks</dc:creator>
  <cp:lastModifiedBy>Will Ellis</cp:lastModifiedBy>
  <cp:lastPrinted>2019-01-15T12:12:59Z</cp:lastPrinted>
  <dcterms:created xsi:type="dcterms:W3CDTF">2009-11-12T11:38:00Z</dcterms:created>
  <dcterms:modified xsi:type="dcterms:W3CDTF">2026-05-22T14:42:15Z</dcterms:modified>
</cp:coreProperties>
</file>